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80" yWindow="90" windowWidth="13905" windowHeight="11640" tabRatio="885" firstSheet="9" activeTab="11"/>
  </bookViews>
  <sheets>
    <sheet name="致函链接" sheetId="60" state="hidden" r:id="rId1"/>
    <sheet name="预评函-封皮" sheetId="49" state="hidden" r:id="rId2"/>
    <sheet name="预评函-1" sheetId="54" state="hidden" r:id="rId3"/>
    <sheet name="预评函-2（1）" sheetId="50" state="hidden" r:id="rId4"/>
    <sheet name="预评函-2（2）" sheetId="52" state="hidden" r:id="rId5"/>
    <sheet name="预评函-3" sheetId="55" state="hidden" r:id="rId6"/>
    <sheet name="使用说明" sheetId="41" state="hidden" r:id="rId7"/>
    <sheet name="估价师及机构信息" sheetId="48" state="hidden" r:id="rId8"/>
    <sheet name="定义" sheetId="10" state="hidden" r:id="rId9"/>
    <sheet name="项目基本情况" sheetId="4" r:id="rId10"/>
    <sheet name="抵押物清单（分楼）" sheetId="42" state="hidden" r:id="rId11"/>
    <sheet name="数据-取费表" sheetId="1" r:id="rId12"/>
    <sheet name="估价对象房地状况" sheetId="20" r:id="rId13"/>
    <sheet name="系统读取表" sheetId="62" r:id="rId14"/>
    <sheet name="结果表" sheetId="9" r:id="rId15"/>
    <sheet name="结果表 (1修多)" sheetId="57" r:id="rId16"/>
    <sheet name="成本法" sheetId="11" r:id="rId17"/>
    <sheet name="假设开发法" sheetId="12" state="hidden" r:id="rId18"/>
    <sheet name="基准地价修正" sheetId="43" r:id="rId19"/>
    <sheet name="收益法" sheetId="15" r:id="rId20"/>
    <sheet name="酒店收入计算" sheetId="58" state="hidden" r:id="rId21"/>
    <sheet name="比较法-住宅" sheetId="21" state="hidden" r:id="rId22"/>
    <sheet name="比较法-商业" sheetId="33" state="hidden" r:id="rId23"/>
    <sheet name="典型户型修正" sheetId="31" r:id="rId24"/>
    <sheet name="比较法-办公" sheetId="34" state="hidden" r:id="rId25"/>
    <sheet name="比较法-工业" sheetId="37" state="hidden" r:id="rId26"/>
    <sheet name="比较法-车位" sheetId="35" state="hidden" r:id="rId27"/>
    <sheet name="比较法-仓储" sheetId="36" state="hidden" r:id="rId28"/>
    <sheet name="土地比较法-住宅、综合" sheetId="39" state="hidden" r:id="rId29"/>
    <sheet name="土地比较法-工业" sheetId="40" state="hidden" r:id="rId30"/>
    <sheet name="因素修正幅度" sheetId="56" state="hidden" r:id="rId31"/>
    <sheet name="基准地价修正-因素" sheetId="47" state="hidden" r:id="rId32"/>
    <sheet name="区片价" sheetId="44" state="hidden" r:id="rId33"/>
    <sheet name="修正" sheetId="45" state="hidden" r:id="rId34"/>
    <sheet name="容积率修正" sheetId="46" state="hidden" r:id="rId35"/>
    <sheet name="地价" sheetId="59" state="hidden" r:id="rId36"/>
    <sheet name="存贷款利率" sheetId="61" state="hidden" r:id="rId37"/>
  </sheets>
  <definedNames>
    <definedName name="_xlnm._FilterDatabase" localSheetId="24" hidden="1">'比较法-办公'!$A$1:$L$50</definedName>
    <definedName name="_xlnm._FilterDatabase" localSheetId="27" hidden="1">'比较法-仓储'!$A$1:$L$37</definedName>
    <definedName name="_xlnm._FilterDatabase" localSheetId="26" hidden="1">'比较法-车位'!$A$1:$L$39</definedName>
    <definedName name="_xlnm._FilterDatabase" localSheetId="25" hidden="1">'比较法-工业'!$A$1:$L$43</definedName>
    <definedName name="_xlnm._FilterDatabase" localSheetId="22" hidden="1">'比较法-商业'!$A$1:$L$49</definedName>
    <definedName name="_xlnm._FilterDatabase" localSheetId="21" hidden="1">'比较法-住宅'!$A$1:$L$49</definedName>
    <definedName name="_xlnm._FilterDatabase" localSheetId="29" hidden="1">'土地比较法-工业'!$A$1:$L$43</definedName>
    <definedName name="_xlnm._FilterDatabase" localSheetId="28" hidden="1">'土地比较法-住宅、综合'!$A$1:$L$48</definedName>
    <definedName name="_xlnm._FilterDatabase" localSheetId="9" hidden="1">项目基本情况!#REF!</definedName>
    <definedName name="_xlnm.Print_Area" localSheetId="24">'比较法-办公'!$A$1:$K$55,'比较法-办公'!$A$58:$M$132</definedName>
    <definedName name="_xlnm.Print_Area" localSheetId="27">'比较法-仓储'!$A$1:$K$42,'比较法-仓储'!$A$45:$M$96</definedName>
    <definedName name="_xlnm.Print_Area" localSheetId="26">'比较法-车位'!$A$1:$K$44,'比较法-车位'!$A$47:$M$102</definedName>
    <definedName name="_xlnm.Print_Area" localSheetId="25">'比较法-工业'!$A$1:$K$48,'比较法-工业'!$A$51:$M$113</definedName>
    <definedName name="_xlnm.Print_Area" localSheetId="22">'比较法-商业'!$A$1:$K$54,'比较法-商业'!$A$57:$M$131</definedName>
    <definedName name="_xlnm.Print_Area" localSheetId="21">'比较法-住宅'!$A$1:$K$54,'比较法-住宅'!$A$57:$M$131</definedName>
    <definedName name="_xlnm.Print_Area" localSheetId="23">典型户型修正!$A$1:$T$21,典型户型修正!$A$22:$Z$527</definedName>
    <definedName name="_xlnm.Print_Area" localSheetId="12">估价对象房地状况!$A$1:$G$24</definedName>
    <definedName name="_xlnm.Print_Area" localSheetId="7">估价师及机构信息!$A$1:$H$22</definedName>
    <definedName name="_xlnm.Print_Area" localSheetId="18">基准地价修正!$A$1:$P$41,基准地价修正!$R$1:$V$17,基准地价修正!$A$45:$N$88</definedName>
    <definedName name="_xlnm.Print_Area" localSheetId="14">结果表!$A$1:$I$132,结果表!$K$44:$P$61</definedName>
    <definedName name="_xlnm.Print_Area" localSheetId="15">'结果表 (1修多)'!$A$1:$I$136,'结果表 (1修多)'!$K$46:$P$63</definedName>
    <definedName name="_xlnm.Print_Area" localSheetId="20">酒店收入计算!$A$1:$I$32</definedName>
    <definedName name="_xlnm.Print_Area" localSheetId="19">收益法!$A$1:$F$43,收益法!$H$3:$M$43,收益法!$A$47:$F$72,收益法!$I$47:$N$66,收益法!$O$42,收益法!$O$43:$R$73</definedName>
    <definedName name="_xlnm.Print_Area" localSheetId="11">'数据-取费表'!$A$1:$F$51</definedName>
    <definedName name="_xlnm.Print_Area" localSheetId="29">'土地比较法-工业'!$A$1:$K$61,'土地比较法-工业'!$A$64:$M$121</definedName>
    <definedName name="_xlnm.Print_Area" localSheetId="28">'土地比较法-住宅、综合'!$A$1:$K$66,'土地比较法-住宅、综合'!$A$69:$M$132</definedName>
    <definedName name="_xlnm.Print_Area" localSheetId="13">系统读取表!$A$1:$I$23</definedName>
    <definedName name="_xlnm.Print_Area" localSheetId="9">项目基本情况!$A$1:$G$23</definedName>
    <definedName name="_xlnm.Print_Area" localSheetId="5">'预评函-3'!$A$1:$D$29</definedName>
    <definedName name="八级">区片价!$P$1:$P$40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'数据-取费表'!$D$41:$D$51</definedName>
    <definedName name="单价内涵">定义!$V$1:$V$3</definedName>
    <definedName name="抵押">定义!$B$52:$D$52</definedName>
    <definedName name="抵押净值">定义!$B$57:$C$57</definedName>
    <definedName name="抵押净值定义">定义!$B$57:$C$57</definedName>
    <definedName name="地类判定">定义!$H$1:$H$9</definedName>
    <definedName name="二级">区片价!$J$1:$J$20</definedName>
    <definedName name="二级分类">修正!$C$17:$C$39</definedName>
    <definedName name="法定最高年限">定义!$G$1:$G$4</definedName>
    <definedName name="房地产估价师及注册号">估价师及机构信息!$D$3:$D$16</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估价目的">定义!$A$51:$C$51</definedName>
    <definedName name="环境">定义!$S$1:$S$6</definedName>
    <definedName name="基础设施水平">定义!$R$1:$R$7</definedName>
    <definedName name="季度">基准地价修正!$N$19:$AD$19</definedName>
    <definedName name="价值类型">定义!$B$53:$B$58</definedName>
    <definedName name="价值类型2">定义!$B$54:$B$56</definedName>
    <definedName name="建筑使用方向">定义!$Y:$Y</definedName>
    <definedName name="交通便捷度">定义!$O$1:$O$6</definedName>
    <definedName name="结构">定义!$X:$X</definedName>
    <definedName name="仅抵押价值">定义!$B$54:$C$54</definedName>
    <definedName name="九级">区片价!$Q$1:$Q$46</definedName>
    <definedName name="居住社区成熟度">定义!$K$1:$K$6</definedName>
    <definedName name="类别">定义!$J$1:$J$3</definedName>
    <definedName name="临街状况">定义!$T$1:$T$5</definedName>
    <definedName name="六级">区片价!$N$1:$N$49</definedName>
    <definedName name="内部装修维护情况">定义!$U$1:$U$6</definedName>
    <definedName name="判定">定义!$D$1:$D$4</definedName>
    <definedName name="七级">区片价!$O$1:$O$49</definedName>
    <definedName name="七通一平">修正!$A$6:$A$14</definedName>
    <definedName name="区域土地利用方向">定义!$P$1:$P$6</definedName>
    <definedName name="三级">区片价!$K$1:$K$21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区片价!$T$1:$T$8</definedName>
    <definedName name="十级">区片价!$R$1:$R$27</definedName>
    <definedName name="十一级">区片价!$S$1:$S$22</definedName>
    <definedName name="是否封闭">'比较法-仓储'!$B$89:$M$89</definedName>
    <definedName name="是否直接入户">'比较法-车位'!$B$95:$M$95</definedName>
    <definedName name="四级">区片价!$L$1:$L$28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内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估价师及机构信息!$E$3:$E$16</definedName>
    <definedName name="土地估价师及注册号">估价师及机构信息!$H$3:$H$16</definedName>
    <definedName name="土地级别">定义!$C$1:$C$13</definedName>
    <definedName name="土地利用方向">定义!$P$1:$P$6</definedName>
    <definedName name="土地年限区间">定义!$I$1:$I$8</definedName>
    <definedName name="位置">定义!$E$2:$E$4</definedName>
    <definedName name="五等判定">定义!$W$1:$W$6</definedName>
    <definedName name="五级">区片价!$M$1:$M$35</definedName>
    <definedName name="项目类型取费">'数据-取费表'!$A$19:$A$19</definedName>
    <definedName name="写字楼等级">'比较法-办公'!$B$113:$M$113</definedName>
    <definedName name="一级">区片价!$I$1:$I$6</definedName>
    <definedName name="一修多修正项2">典型户型修正!$8:$8</definedName>
    <definedName name="一修多修正项3">典型户型修正!$10:$10</definedName>
    <definedName name="一修多修正项4">典型户型修正!$12:$12</definedName>
    <definedName name="一修多修正项5">典型户型修正!$14:$14</definedName>
    <definedName name="一修多修正项6">典型户型修正!$16:$16</definedName>
    <definedName name="一修多修正项7">典型户型修正!$18:$18</definedName>
    <definedName name="一修多修正项8">典型户型修正!$20:$20</definedName>
    <definedName name="已注销">定义!$B$55:$C$55</definedName>
    <definedName name="已注销及未注销">定义!$B$56:$C$56</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5621"/>
</workbook>
</file>

<file path=xl/calcChain.xml><?xml version="1.0" encoding="utf-8"?>
<calcChain xmlns="http://schemas.openxmlformats.org/spreadsheetml/2006/main">
  <c r="H20" i="1" l="1"/>
  <c r="E20" i="1" s="1"/>
  <c r="E20" i="43" l="1"/>
  <c r="AH5" i="59" l="1"/>
  <c r="AG5" i="59"/>
  <c r="AE5" i="59"/>
  <c r="AF5" i="59" s="1"/>
  <c r="AD5" i="59"/>
  <c r="Q5" i="59"/>
  <c r="P5" i="59"/>
  <c r="O5" i="59"/>
  <c r="N5" i="59"/>
  <c r="G13" i="61" l="1"/>
  <c r="F13" i="61"/>
  <c r="E13" i="61"/>
  <c r="G14" i="61"/>
  <c r="F14" i="61"/>
  <c r="E14" i="61"/>
  <c r="G15" i="61"/>
  <c r="F15" i="61"/>
  <c r="E15" i="61"/>
  <c r="E16" i="61"/>
  <c r="F16" i="61"/>
  <c r="G16" i="61"/>
  <c r="G17" i="61"/>
  <c r="F17" i="61"/>
  <c r="E17" i="61"/>
  <c r="AH6" i="59" l="1"/>
  <c r="AG6" i="59"/>
  <c r="AE6" i="59"/>
  <c r="AF6" i="59" s="1"/>
  <c r="AD6" i="59"/>
  <c r="Q6" i="59"/>
  <c r="P6" i="59"/>
  <c r="O6" i="59"/>
  <c r="N6" i="59"/>
  <c r="AH7" i="59" l="1"/>
  <c r="AG7" i="59"/>
  <c r="AE7" i="59"/>
  <c r="AF7" i="59" s="1"/>
  <c r="AD7" i="59"/>
  <c r="Q7" i="59"/>
  <c r="P7" i="59"/>
  <c r="O7" i="59"/>
  <c r="N7" i="59"/>
  <c r="D15" i="48" l="1"/>
  <c r="I1" i="4" l="1"/>
  <c r="F61" i="57" l="1"/>
  <c r="F59" i="9"/>
  <c r="E61" i="57" l="1"/>
  <c r="K42" i="40"/>
  <c r="K47" i="39"/>
  <c r="K36" i="36"/>
  <c r="K38" i="35"/>
  <c r="K42" i="37"/>
  <c r="K49" i="34"/>
  <c r="K48" i="33"/>
  <c r="K48" i="21"/>
  <c r="E59" i="9" l="1"/>
  <c r="B14" i="62" l="1"/>
  <c r="A14" i="55"/>
  <c r="I108" i="57" l="1"/>
  <c r="I106" i="9"/>
  <c r="AH8" i="59" l="1"/>
  <c r="AG8" i="59"/>
  <c r="AE8" i="59"/>
  <c r="AF8" i="59" s="1"/>
  <c r="AD8" i="59"/>
  <c r="Q8" i="59"/>
  <c r="P8" i="59"/>
  <c r="O8" i="59"/>
  <c r="N8" i="59"/>
  <c r="AH9" i="59" l="1"/>
  <c r="AG9" i="59"/>
  <c r="AE9" i="59"/>
  <c r="AF9" i="59" s="1"/>
  <c r="AD9" i="59"/>
  <c r="Q9" i="59"/>
  <c r="P9" i="59"/>
  <c r="O9" i="59"/>
  <c r="N9" i="59"/>
  <c r="O11" i="59" l="1"/>
  <c r="N11" i="59"/>
  <c r="AH10" i="59"/>
  <c r="AG10" i="59"/>
  <c r="AE10" i="59"/>
  <c r="AF10" i="59" s="1"/>
  <c r="AD10" i="59"/>
  <c r="Q10" i="59"/>
  <c r="Q11" i="59"/>
  <c r="P10" i="59"/>
  <c r="P11" i="59"/>
  <c r="O10" i="59"/>
  <c r="N10" i="59"/>
  <c r="B2" i="48"/>
  <c r="O12" i="59"/>
  <c r="O13" i="59"/>
  <c r="N12" i="59"/>
  <c r="N13" i="59"/>
  <c r="AH11" i="59"/>
  <c r="AG11" i="59"/>
  <c r="AE11" i="59"/>
  <c r="AF11" i="59" s="1"/>
  <c r="AD11" i="59"/>
  <c r="Q12" i="59"/>
  <c r="Q13" i="59"/>
  <c r="P12" i="59"/>
  <c r="P13" i="59"/>
  <c r="AH12" i="59"/>
  <c r="AG12" i="59"/>
  <c r="AE12" i="59"/>
  <c r="AF12" i="59" s="1"/>
  <c r="AD12" i="59"/>
  <c r="M15" i="45"/>
  <c r="L15" i="45"/>
  <c r="K15" i="45"/>
  <c r="J15" i="45"/>
  <c r="I15" i="45"/>
  <c r="H15" i="45"/>
  <c r="G15" i="45"/>
  <c r="F15" i="45"/>
  <c r="E15" i="45"/>
  <c r="D15" i="45"/>
  <c r="C15" i="45"/>
  <c r="B15" i="45"/>
  <c r="AH13" i="59"/>
  <c r="AG13" i="59"/>
  <c r="AE13" i="59"/>
  <c r="AF13" i="59"/>
  <c r="AD13" i="59"/>
  <c r="AH14" i="59"/>
  <c r="AG14" i="59"/>
  <c r="AE14" i="59"/>
  <c r="AF14" i="59" s="1"/>
  <c r="AD14" i="59"/>
  <c r="Q14" i="59"/>
  <c r="P14" i="59"/>
  <c r="O14" i="59"/>
  <c r="N14" i="59"/>
  <c r="L3" i="59"/>
  <c r="AH3" i="59" s="1"/>
  <c r="K3" i="59"/>
  <c r="AG3" i="59" s="1"/>
  <c r="J3" i="59"/>
  <c r="AE3" i="59" s="1"/>
  <c r="I3" i="59"/>
  <c r="AD3" i="59" s="1"/>
  <c r="AH15" i="59"/>
  <c r="AG15" i="59"/>
  <c r="AE15" i="59"/>
  <c r="AF15" i="59" s="1"/>
  <c r="AD15" i="59"/>
  <c r="Q15" i="59"/>
  <c r="Q16" i="59"/>
  <c r="P15" i="59"/>
  <c r="P16" i="59"/>
  <c r="O15" i="59"/>
  <c r="O16" i="59"/>
  <c r="N15" i="59"/>
  <c r="N16" i="59"/>
  <c r="N17" i="59"/>
  <c r="O17" i="59"/>
  <c r="P17" i="59"/>
  <c r="Q17" i="59"/>
  <c r="AD16" i="59"/>
  <c r="AE16" i="59"/>
  <c r="AF16" i="59" s="1"/>
  <c r="AG16" i="59"/>
  <c r="AH16" i="59"/>
  <c r="M48" i="15"/>
  <c r="B2" i="1"/>
  <c r="F30" i="1" s="1"/>
  <c r="B24" i="1"/>
  <c r="J50" i="15"/>
  <c r="J51" i="15"/>
  <c r="B26" i="1"/>
  <c r="AH17" i="59"/>
  <c r="AG17" i="59"/>
  <c r="AE17" i="59"/>
  <c r="AF17" i="59"/>
  <c r="AD17" i="59"/>
  <c r="AH18" i="59"/>
  <c r="AG18" i="59"/>
  <c r="AE18" i="59"/>
  <c r="AF18" i="59" s="1"/>
  <c r="AD18" i="59"/>
  <c r="Q18" i="59"/>
  <c r="F18" i="59" s="1"/>
  <c r="F17" i="59" s="1"/>
  <c r="F16" i="59" s="1"/>
  <c r="P18" i="59"/>
  <c r="O18" i="59"/>
  <c r="N18" i="59"/>
  <c r="Q19" i="59"/>
  <c r="P19" i="59"/>
  <c r="O19" i="59"/>
  <c r="N19" i="59"/>
  <c r="D19" i="59"/>
  <c r="E18" i="59"/>
  <c r="E17" i="59"/>
  <c r="E16" i="59" s="1"/>
  <c r="E15" i="59" s="1"/>
  <c r="E14" i="59" s="1"/>
  <c r="E13" i="59" s="1"/>
  <c r="E12" i="59" s="1"/>
  <c r="E11" i="59" s="1"/>
  <c r="E10" i="59" s="1"/>
  <c r="C18" i="59"/>
  <c r="C17" i="59" s="1"/>
  <c r="A2" i="50"/>
  <c r="K60" i="15"/>
  <c r="P59" i="15" s="1"/>
  <c r="A127" i="57"/>
  <c r="A123" i="9"/>
  <c r="A16" i="54"/>
  <c r="B14" i="60" s="1"/>
  <c r="A14" i="54"/>
  <c r="B12" i="60" s="1"/>
  <c r="A19" i="55"/>
  <c r="A13" i="55"/>
  <c r="A1" i="52"/>
  <c r="A4" i="50"/>
  <c r="P20" i="59"/>
  <c r="O20" i="59"/>
  <c r="N20" i="59"/>
  <c r="Q20" i="59"/>
  <c r="C76" i="9"/>
  <c r="C78" i="57"/>
  <c r="K57" i="57"/>
  <c r="L55" i="9"/>
  <c r="K55" i="9"/>
  <c r="I6" i="4"/>
  <c r="L56" i="9" s="1"/>
  <c r="E15" i="62"/>
  <c r="F15" i="62"/>
  <c r="E16" i="62"/>
  <c r="F16" i="62"/>
  <c r="E17" i="62"/>
  <c r="F17" i="62"/>
  <c r="E18" i="62"/>
  <c r="F18" i="62"/>
  <c r="E19" i="62"/>
  <c r="F19" i="62"/>
  <c r="E20" i="62"/>
  <c r="F20" i="62"/>
  <c r="E21" i="62"/>
  <c r="F21" i="62"/>
  <c r="E22" i="62"/>
  <c r="F22" i="62"/>
  <c r="E23" i="62"/>
  <c r="F23" i="62"/>
  <c r="C14" i="62"/>
  <c r="B2" i="62" s="1"/>
  <c r="B1" i="62"/>
  <c r="B3" i="62"/>
  <c r="O21" i="59"/>
  <c r="P21" i="59"/>
  <c r="Q21" i="59"/>
  <c r="N21" i="59"/>
  <c r="AD19" i="59"/>
  <c r="AE19" i="59"/>
  <c r="AF19" i="59"/>
  <c r="AG19" i="59"/>
  <c r="AH19" i="59"/>
  <c r="AD20" i="59"/>
  <c r="AE20" i="59"/>
  <c r="AF20" i="59" s="1"/>
  <c r="AG20" i="59"/>
  <c r="AH20" i="59"/>
  <c r="AD21" i="59"/>
  <c r="AE21" i="59"/>
  <c r="AF21" i="59" s="1"/>
  <c r="AG21" i="59"/>
  <c r="AH21" i="59"/>
  <c r="AD22" i="59"/>
  <c r="AE22" i="59"/>
  <c r="AF22" i="59" s="1"/>
  <c r="AG22" i="59"/>
  <c r="AH22" i="59"/>
  <c r="AD23" i="59"/>
  <c r="AE23" i="59"/>
  <c r="AF23" i="59"/>
  <c r="AG23" i="59"/>
  <c r="AH23" i="59"/>
  <c r="AD24" i="59"/>
  <c r="AE24" i="59"/>
  <c r="AF24" i="59" s="1"/>
  <c r="AG24" i="59"/>
  <c r="AH24" i="59"/>
  <c r="AD25" i="59"/>
  <c r="AE25" i="59"/>
  <c r="AF25" i="59" s="1"/>
  <c r="AG25" i="59"/>
  <c r="AH25" i="59"/>
  <c r="AD26" i="59"/>
  <c r="AE26" i="59"/>
  <c r="AF26" i="59" s="1"/>
  <c r="AG26" i="59"/>
  <c r="AH26" i="59"/>
  <c r="AD27" i="59"/>
  <c r="AE27" i="59"/>
  <c r="AF27" i="59"/>
  <c r="AG27" i="59"/>
  <c r="AH27" i="59"/>
  <c r="AD28" i="59"/>
  <c r="AE28" i="59"/>
  <c r="AF28" i="59" s="1"/>
  <c r="AG28" i="59"/>
  <c r="AH28" i="59"/>
  <c r="AD29" i="59"/>
  <c r="AE29" i="59"/>
  <c r="AF29" i="59" s="1"/>
  <c r="AG29" i="59"/>
  <c r="AH29" i="59"/>
  <c r="AD30" i="59"/>
  <c r="AE30" i="59"/>
  <c r="AF30" i="59" s="1"/>
  <c r="AG30" i="59"/>
  <c r="AH30" i="59"/>
  <c r="AD31" i="59"/>
  <c r="AE31" i="59"/>
  <c r="AF31" i="59"/>
  <c r="AG31" i="59"/>
  <c r="AH31" i="59"/>
  <c r="AD32" i="59"/>
  <c r="AE32" i="59"/>
  <c r="AF32" i="59" s="1"/>
  <c r="AG32" i="59"/>
  <c r="AH32" i="59"/>
  <c r="AH33" i="59"/>
  <c r="AG33" i="59"/>
  <c r="AE33" i="59"/>
  <c r="AD33" i="59"/>
  <c r="AF33" i="59"/>
  <c r="AD34" i="59"/>
  <c r="AE34" i="59"/>
  <c r="AF34" i="59" s="1"/>
  <c r="AG34" i="59"/>
  <c r="AH34" i="59"/>
  <c r="S5" i="31"/>
  <c r="M5" i="31"/>
  <c r="N5" i="31"/>
  <c r="O5" i="31"/>
  <c r="P5" i="31"/>
  <c r="Q5" i="31"/>
  <c r="R5" i="31"/>
  <c r="C1" i="61"/>
  <c r="L1" i="61" s="1"/>
  <c r="B68" i="60"/>
  <c r="D28" i="57"/>
  <c r="D29" i="57"/>
  <c r="D28" i="9"/>
  <c r="D29" i="9"/>
  <c r="A6" i="52"/>
  <c r="B64" i="60" s="1"/>
  <c r="A10" i="54"/>
  <c r="B9" i="60" s="1"/>
  <c r="Y12" i="43"/>
  <c r="Y10" i="43"/>
  <c r="AJ9" i="43"/>
  <c r="AJ12" i="43"/>
  <c r="AI9" i="43"/>
  <c r="AI12" i="43"/>
  <c r="AH9" i="43"/>
  <c r="AH12" i="43"/>
  <c r="AG9" i="43"/>
  <c r="AG12" i="43"/>
  <c r="AF9" i="43"/>
  <c r="AF12" i="43"/>
  <c r="AE9" i="43"/>
  <c r="AE12" i="43"/>
  <c r="AD9" i="43"/>
  <c r="AD12" i="43"/>
  <c r="AC9" i="43"/>
  <c r="AC12" i="43"/>
  <c r="AB9" i="43"/>
  <c r="AB12" i="43"/>
  <c r="AA9" i="43"/>
  <c r="AA12" i="43"/>
  <c r="Z9" i="43"/>
  <c r="Z12" i="43"/>
  <c r="AA10" i="43"/>
  <c r="AC10" i="43"/>
  <c r="AE10" i="43"/>
  <c r="AG10" i="43"/>
  <c r="AI10" i="43"/>
  <c r="Z10" i="43"/>
  <c r="AB10" i="43"/>
  <c r="AD10" i="43"/>
  <c r="AF10" i="43"/>
  <c r="AH10" i="43"/>
  <c r="AJ10" i="43"/>
  <c r="L51" i="57"/>
  <c r="L49" i="9"/>
  <c r="F112" i="57"/>
  <c r="A116" i="57"/>
  <c r="A129" i="57" s="1"/>
  <c r="A112" i="9"/>
  <c r="A125" i="9" s="1"/>
  <c r="F110" i="9"/>
  <c r="F116" i="57"/>
  <c r="A133" i="57" s="1"/>
  <c r="A120" i="57"/>
  <c r="A116" i="9"/>
  <c r="F114" i="57"/>
  <c r="A118" i="57"/>
  <c r="A131" i="57" s="1"/>
  <c r="A114" i="9"/>
  <c r="A127" i="9" s="1"/>
  <c r="F114" i="9"/>
  <c r="A129" i="9" s="1"/>
  <c r="A12" i="52" s="1"/>
  <c r="B67" i="60" s="1"/>
  <c r="F112" i="9"/>
  <c r="B45" i="50"/>
  <c r="B59" i="60" s="1"/>
  <c r="D2" i="52"/>
  <c r="B60" i="60" s="1"/>
  <c r="B18" i="50"/>
  <c r="B10" i="50"/>
  <c r="B31" i="50" s="1"/>
  <c r="C6" i="50"/>
  <c r="B18" i="60" s="1"/>
  <c r="A13" i="54"/>
  <c r="B51" i="60"/>
  <c r="B50" i="60"/>
  <c r="B47" i="60"/>
  <c r="B16" i="60"/>
  <c r="B51" i="10"/>
  <c r="B49" i="60"/>
  <c r="A15" i="55"/>
  <c r="B45" i="60" s="1"/>
  <c r="B44" i="60"/>
  <c r="B43" i="60"/>
  <c r="C10" i="50"/>
  <c r="B24" i="60" s="1"/>
  <c r="C7" i="50"/>
  <c r="C15" i="50" s="1"/>
  <c r="C35" i="50"/>
  <c r="C34" i="50"/>
  <c r="C33" i="50"/>
  <c r="B13" i="60"/>
  <c r="C42" i="50"/>
  <c r="C36" i="50"/>
  <c r="C39" i="50"/>
  <c r="I19" i="43"/>
  <c r="A136" i="57"/>
  <c r="F119" i="57"/>
  <c r="D83" i="59"/>
  <c r="F82" i="59"/>
  <c r="E82" i="59"/>
  <c r="E81" i="59" s="1"/>
  <c r="E80" i="59"/>
  <c r="C82" i="59"/>
  <c r="D82" i="59"/>
  <c r="B82" i="59"/>
  <c r="F81" i="59"/>
  <c r="F80" i="59" s="1"/>
  <c r="B81" i="59"/>
  <c r="B80" i="59" s="1"/>
  <c r="D79" i="59"/>
  <c r="F78" i="59"/>
  <c r="E78" i="59"/>
  <c r="E77" i="59" s="1"/>
  <c r="E76" i="59" s="1"/>
  <c r="C78" i="59"/>
  <c r="D78" i="59"/>
  <c r="B78" i="59"/>
  <c r="F77" i="59"/>
  <c r="F76" i="59" s="1"/>
  <c r="B77" i="59"/>
  <c r="B76" i="59" s="1"/>
  <c r="D75" i="59"/>
  <c r="Q74" i="59"/>
  <c r="P74" i="59"/>
  <c r="O74" i="59"/>
  <c r="N74" i="59"/>
  <c r="F74" i="59"/>
  <c r="V74" i="59" s="1"/>
  <c r="E74" i="59"/>
  <c r="U74" i="59" s="1"/>
  <c r="C74" i="59"/>
  <c r="T74" i="59" s="1"/>
  <c r="B74" i="59"/>
  <c r="S74" i="59" s="1"/>
  <c r="Q73" i="59"/>
  <c r="P73" i="59"/>
  <c r="O73" i="59"/>
  <c r="N73" i="59"/>
  <c r="F73" i="59"/>
  <c r="F72" i="59" s="1"/>
  <c r="B73" i="59"/>
  <c r="B72" i="59" s="1"/>
  <c r="Q72" i="59"/>
  <c r="P72" i="59"/>
  <c r="O72" i="59"/>
  <c r="N72" i="59"/>
  <c r="Q71" i="59"/>
  <c r="P71" i="59"/>
  <c r="O71" i="59"/>
  <c r="N71" i="59"/>
  <c r="D71" i="59"/>
  <c r="Q70" i="59"/>
  <c r="P70" i="59"/>
  <c r="O70" i="59"/>
  <c r="N70" i="59"/>
  <c r="F70" i="59"/>
  <c r="E70" i="59"/>
  <c r="U70" i="59" s="1"/>
  <c r="C70" i="59"/>
  <c r="T70" i="59" s="1"/>
  <c r="B70" i="59"/>
  <c r="Q69" i="59"/>
  <c r="P69" i="59"/>
  <c r="O69" i="59"/>
  <c r="N69" i="59"/>
  <c r="Q68" i="59"/>
  <c r="P68" i="59"/>
  <c r="O68" i="59"/>
  <c r="N68" i="59"/>
  <c r="Q67" i="59"/>
  <c r="P67" i="59"/>
  <c r="O67" i="59"/>
  <c r="N67" i="59"/>
  <c r="D67" i="59"/>
  <c r="Q66" i="59"/>
  <c r="P66" i="59"/>
  <c r="O66" i="59"/>
  <c r="N66" i="59"/>
  <c r="F66" i="59"/>
  <c r="V66" i="59" s="1"/>
  <c r="E66" i="59"/>
  <c r="U66" i="59" s="1"/>
  <c r="C66" i="59"/>
  <c r="D66" i="59" s="1"/>
  <c r="B66" i="59"/>
  <c r="S66" i="59" s="1"/>
  <c r="Q65" i="59"/>
  <c r="P65" i="59"/>
  <c r="O65" i="59"/>
  <c r="N65" i="59"/>
  <c r="B65" i="59"/>
  <c r="B64" i="59" s="1"/>
  <c r="Q64" i="59"/>
  <c r="P64" i="59"/>
  <c r="O64" i="59"/>
  <c r="N64" i="59"/>
  <c r="Q63" i="59"/>
  <c r="P63" i="59"/>
  <c r="O63" i="59"/>
  <c r="N63" i="59"/>
  <c r="D63" i="59"/>
  <c r="S62" i="59"/>
  <c r="F62" i="59"/>
  <c r="V62" i="59" s="1"/>
  <c r="E62" i="59"/>
  <c r="U62" i="59" s="1"/>
  <c r="C62" i="59"/>
  <c r="T62" i="59" s="1"/>
  <c r="B62" i="59"/>
  <c r="N62" i="59" s="1"/>
  <c r="F61" i="59"/>
  <c r="F60" i="59" s="1"/>
  <c r="Q60" i="59" s="1"/>
  <c r="B61" i="59"/>
  <c r="B60" i="59" s="1"/>
  <c r="D59" i="59"/>
  <c r="Q58" i="59"/>
  <c r="P58" i="59"/>
  <c r="O58" i="59"/>
  <c r="N58" i="59"/>
  <c r="Q57" i="59"/>
  <c r="P57" i="59"/>
  <c r="O57" i="59"/>
  <c r="N57" i="59"/>
  <c r="Q56" i="59"/>
  <c r="P56" i="59"/>
  <c r="O56" i="59"/>
  <c r="N56" i="59"/>
  <c r="Q55" i="59"/>
  <c r="F56" i="59" s="1"/>
  <c r="F57" i="59" s="1"/>
  <c r="F58" i="59" s="1"/>
  <c r="V58" i="59" s="1"/>
  <c r="P55" i="59"/>
  <c r="E56" i="59" s="1"/>
  <c r="E57" i="59" s="1"/>
  <c r="E58" i="59" s="1"/>
  <c r="U58" i="59" s="1"/>
  <c r="O55" i="59"/>
  <c r="C56" i="59" s="1"/>
  <c r="C57" i="59" s="1"/>
  <c r="N55" i="59"/>
  <c r="B56" i="59" s="1"/>
  <c r="B57" i="59" s="1"/>
  <c r="B58" i="59" s="1"/>
  <c r="S58" i="59" s="1"/>
  <c r="D55" i="59"/>
  <c r="Q54" i="59"/>
  <c r="P54" i="59"/>
  <c r="O54" i="59"/>
  <c r="N54" i="59"/>
  <c r="Q53" i="59"/>
  <c r="P53" i="59"/>
  <c r="O53" i="59"/>
  <c r="N53" i="59"/>
  <c r="Q52" i="59"/>
  <c r="P52" i="59"/>
  <c r="O52" i="59"/>
  <c r="N52" i="59"/>
  <c r="Q51" i="59"/>
  <c r="F52" i="59"/>
  <c r="F53" i="59" s="1"/>
  <c r="F54" i="59" s="1"/>
  <c r="V54" i="59" s="1"/>
  <c r="P51" i="59"/>
  <c r="E52" i="59" s="1"/>
  <c r="O51" i="59"/>
  <c r="C52" i="59" s="1"/>
  <c r="N51" i="59"/>
  <c r="B52" i="59"/>
  <c r="D51" i="59"/>
  <c r="Q50" i="59"/>
  <c r="P50" i="59"/>
  <c r="O50" i="59"/>
  <c r="N50" i="59"/>
  <c r="Q49" i="59"/>
  <c r="P49" i="59"/>
  <c r="O49" i="59"/>
  <c r="N49" i="59"/>
  <c r="Q48" i="59"/>
  <c r="P48" i="59"/>
  <c r="O48" i="59"/>
  <c r="N48" i="59"/>
  <c r="Q47" i="59"/>
  <c r="F48" i="59" s="1"/>
  <c r="F49" i="59" s="1"/>
  <c r="F50" i="59" s="1"/>
  <c r="V50" i="59" s="1"/>
  <c r="P47" i="59"/>
  <c r="E48" i="59" s="1"/>
  <c r="E49" i="59" s="1"/>
  <c r="E50" i="59" s="1"/>
  <c r="U50" i="59" s="1"/>
  <c r="O47" i="59"/>
  <c r="C48" i="59" s="1"/>
  <c r="C49" i="59" s="1"/>
  <c r="N47" i="59"/>
  <c r="B48" i="59" s="1"/>
  <c r="B49" i="59"/>
  <c r="B50" i="59" s="1"/>
  <c r="S50" i="59" s="1"/>
  <c r="D47" i="59"/>
  <c r="Q46" i="59"/>
  <c r="P46" i="59"/>
  <c r="O46" i="59"/>
  <c r="N46" i="59"/>
  <c r="Q45" i="59"/>
  <c r="P45" i="59"/>
  <c r="O45" i="59"/>
  <c r="N45" i="59"/>
  <c r="Q44" i="59"/>
  <c r="P44" i="59"/>
  <c r="O44" i="59"/>
  <c r="N44" i="59"/>
  <c r="Q43" i="59"/>
  <c r="F44" i="59" s="1"/>
  <c r="F45" i="59" s="1"/>
  <c r="F46" i="59" s="1"/>
  <c r="V46" i="59" s="1"/>
  <c r="P43" i="59"/>
  <c r="E44" i="59" s="1"/>
  <c r="E45" i="59" s="1"/>
  <c r="E46" i="59" s="1"/>
  <c r="U46" i="59" s="1"/>
  <c r="O43" i="59"/>
  <c r="C44" i="59" s="1"/>
  <c r="N43" i="59"/>
  <c r="B44" i="59" s="1"/>
  <c r="B45" i="59" s="1"/>
  <c r="B46" i="59" s="1"/>
  <c r="S46" i="59" s="1"/>
  <c r="D43" i="59"/>
  <c r="T42" i="59"/>
  <c r="Q42" i="59"/>
  <c r="P42" i="59"/>
  <c r="O42" i="59"/>
  <c r="N42" i="59"/>
  <c r="D42" i="59"/>
  <c r="Q41" i="59"/>
  <c r="P41" i="59"/>
  <c r="O41" i="59"/>
  <c r="N41" i="59"/>
  <c r="Q40" i="59"/>
  <c r="P40" i="59"/>
  <c r="O40" i="59"/>
  <c r="N40" i="59"/>
  <c r="Q39" i="59"/>
  <c r="F40" i="59" s="1"/>
  <c r="F41" i="59" s="1"/>
  <c r="F42" i="59" s="1"/>
  <c r="V42" i="59" s="1"/>
  <c r="P39" i="59"/>
  <c r="E40" i="59"/>
  <c r="E41" i="59" s="1"/>
  <c r="E42" i="59" s="1"/>
  <c r="U42" i="59" s="1"/>
  <c r="O39" i="59"/>
  <c r="C40" i="59" s="1"/>
  <c r="N39" i="59"/>
  <c r="B40" i="59" s="1"/>
  <c r="B41" i="59" s="1"/>
  <c r="B42" i="59" s="1"/>
  <c r="S42" i="59" s="1"/>
  <c r="D39" i="59"/>
  <c r="Q38" i="59"/>
  <c r="P38" i="59"/>
  <c r="O38" i="59"/>
  <c r="N38" i="59"/>
  <c r="Q37" i="59"/>
  <c r="P37" i="59"/>
  <c r="O37" i="59"/>
  <c r="N37" i="59"/>
  <c r="Q36" i="59"/>
  <c r="P36" i="59"/>
  <c r="O36" i="59"/>
  <c r="N36" i="59"/>
  <c r="Q35" i="59"/>
  <c r="F36" i="59" s="1"/>
  <c r="F37" i="59" s="1"/>
  <c r="F38" i="59" s="1"/>
  <c r="V38" i="59" s="1"/>
  <c r="P35" i="59"/>
  <c r="E36" i="59" s="1"/>
  <c r="E37" i="59" s="1"/>
  <c r="E38" i="59" s="1"/>
  <c r="U38" i="59" s="1"/>
  <c r="O35" i="59"/>
  <c r="C36" i="59" s="1"/>
  <c r="N35" i="59"/>
  <c r="B36" i="59" s="1"/>
  <c r="B37" i="59" s="1"/>
  <c r="B38" i="59" s="1"/>
  <c r="S38" i="59" s="1"/>
  <c r="D35" i="59"/>
  <c r="Q34" i="59"/>
  <c r="P34" i="59"/>
  <c r="O34" i="59"/>
  <c r="N34" i="59"/>
  <c r="AB33" i="59"/>
  <c r="Q33" i="59"/>
  <c r="P33" i="59"/>
  <c r="AA33" i="59" s="1"/>
  <c r="O33" i="59"/>
  <c r="Y33" i="59" s="1"/>
  <c r="Z33" i="59"/>
  <c r="N33" i="59"/>
  <c r="X33" i="59"/>
  <c r="Q32" i="59"/>
  <c r="AB32" i="59" s="1"/>
  <c r="P32" i="59"/>
  <c r="O32" i="59"/>
  <c r="Y32" i="59" s="1"/>
  <c r="Z32" i="59" s="1"/>
  <c r="N32" i="59"/>
  <c r="X32" i="59" s="1"/>
  <c r="Q31" i="59"/>
  <c r="AB31" i="59" s="1"/>
  <c r="P31" i="59"/>
  <c r="AA31" i="59" s="1"/>
  <c r="O31" i="59"/>
  <c r="C32" i="59" s="1"/>
  <c r="N31" i="59"/>
  <c r="D31" i="59"/>
  <c r="Q30" i="59"/>
  <c r="AB30" i="59" s="1"/>
  <c r="P30" i="59"/>
  <c r="O30" i="59"/>
  <c r="Y30" i="59" s="1"/>
  <c r="Z30" i="59" s="1"/>
  <c r="N30" i="59"/>
  <c r="Q29" i="59"/>
  <c r="AB29" i="59" s="1"/>
  <c r="P29" i="59"/>
  <c r="O29" i="59"/>
  <c r="Y29" i="59" s="1"/>
  <c r="Z29" i="59" s="1"/>
  <c r="N29" i="59"/>
  <c r="Q28" i="59"/>
  <c r="AB28" i="59" s="1"/>
  <c r="P28" i="59"/>
  <c r="O28" i="59"/>
  <c r="Y28" i="59" s="1"/>
  <c r="Z28" i="59" s="1"/>
  <c r="N28" i="59"/>
  <c r="Q27" i="59"/>
  <c r="AB27" i="59" s="1"/>
  <c r="P27" i="59"/>
  <c r="O27" i="59"/>
  <c r="Y27" i="59" s="1"/>
  <c r="Z27" i="59" s="1"/>
  <c r="N27" i="59"/>
  <c r="B28" i="59" s="1"/>
  <c r="B29" i="59" s="1"/>
  <c r="B30" i="59" s="1"/>
  <c r="S30" i="59" s="1"/>
  <c r="D27" i="59"/>
  <c r="Q26" i="59"/>
  <c r="P26" i="59"/>
  <c r="AA26" i="59" s="1"/>
  <c r="O26" i="59"/>
  <c r="N26" i="59"/>
  <c r="X26" i="59" s="1"/>
  <c r="Q25" i="59"/>
  <c r="P25" i="59"/>
  <c r="AA25" i="59" s="1"/>
  <c r="O25" i="59"/>
  <c r="N25" i="59"/>
  <c r="X25" i="59" s="1"/>
  <c r="Q24" i="59"/>
  <c r="P24" i="59"/>
  <c r="AA24" i="59" s="1"/>
  <c r="O24" i="59"/>
  <c r="N24" i="59"/>
  <c r="X24" i="59" s="1"/>
  <c r="Q23" i="59"/>
  <c r="P23" i="59"/>
  <c r="AA23" i="59" s="1"/>
  <c r="O23" i="59"/>
  <c r="C24" i="59"/>
  <c r="D24" i="59" s="1"/>
  <c r="N23" i="59"/>
  <c r="B24" i="59"/>
  <c r="B25" i="59" s="1"/>
  <c r="B26" i="59" s="1"/>
  <c r="S26" i="59" s="1"/>
  <c r="D23" i="59"/>
  <c r="O22" i="59"/>
  <c r="N22" i="59"/>
  <c r="B22" i="59" s="1"/>
  <c r="C22" i="59"/>
  <c r="T22" i="59" s="1"/>
  <c r="Y19" i="59"/>
  <c r="Z19" i="59" s="1"/>
  <c r="Y20" i="59"/>
  <c r="Z20" i="59" s="1"/>
  <c r="Y22" i="59"/>
  <c r="Z22" i="59" s="1"/>
  <c r="Y21" i="59"/>
  <c r="Z21" i="59" s="1"/>
  <c r="X22" i="59"/>
  <c r="C25" i="59"/>
  <c r="C26" i="59" s="1"/>
  <c r="C33" i="59"/>
  <c r="C34" i="59" s="1"/>
  <c r="D32" i="59"/>
  <c r="C37" i="59"/>
  <c r="C38" i="59" s="1"/>
  <c r="D36" i="59"/>
  <c r="C41" i="59"/>
  <c r="D41" i="59" s="1"/>
  <c r="D40" i="59"/>
  <c r="C45" i="59"/>
  <c r="D45" i="59" s="1"/>
  <c r="D44" i="59"/>
  <c r="P22" i="59"/>
  <c r="AA20" i="59" s="1"/>
  <c r="E65" i="59"/>
  <c r="E64" i="59" s="1"/>
  <c r="Q22" i="59"/>
  <c r="F22" i="59" s="1"/>
  <c r="D48" i="59"/>
  <c r="D56" i="59"/>
  <c r="N61" i="59"/>
  <c r="Q61" i="59"/>
  <c r="O62" i="59"/>
  <c r="C61" i="59"/>
  <c r="O61" i="59" s="1"/>
  <c r="T66" i="59"/>
  <c r="C65" i="59"/>
  <c r="C64" i="59" s="1"/>
  <c r="D64" i="59" s="1"/>
  <c r="C69" i="59"/>
  <c r="C68" i="59" s="1"/>
  <c r="D68" i="59" s="1"/>
  <c r="C73" i="59"/>
  <c r="D73" i="59" s="1"/>
  <c r="C77" i="59"/>
  <c r="D77" i="59" s="1"/>
  <c r="C81" i="59"/>
  <c r="C80" i="59" s="1"/>
  <c r="D80" i="59" s="1"/>
  <c r="AB20" i="59"/>
  <c r="E22" i="59"/>
  <c r="U22" i="59" s="1"/>
  <c r="AA22" i="59"/>
  <c r="C21" i="59"/>
  <c r="C20" i="59" s="1"/>
  <c r="D20" i="59" s="1"/>
  <c r="C76" i="59"/>
  <c r="D76" i="59" s="1"/>
  <c r="C46" i="59"/>
  <c r="T46" i="59" s="1"/>
  <c r="D81" i="59"/>
  <c r="C60" i="59"/>
  <c r="D60" i="59" s="1"/>
  <c r="D61" i="59"/>
  <c r="D37" i="59"/>
  <c r="D21" i="59"/>
  <c r="E21" i="59"/>
  <c r="E20" i="59" s="1"/>
  <c r="O60" i="59"/>
  <c r="D46" i="59"/>
  <c r="Q25" i="40"/>
  <c r="Z25" i="40" s="1"/>
  <c r="D94" i="40"/>
  <c r="E94" i="40" s="1"/>
  <c r="F94" i="40" s="1"/>
  <c r="G94" i="40" s="1"/>
  <c r="H25" i="40"/>
  <c r="U25" i="40" s="1"/>
  <c r="F25" i="40"/>
  <c r="AA25" i="40" s="1"/>
  <c r="Q27" i="39"/>
  <c r="Z27" i="39" s="1"/>
  <c r="D101" i="39"/>
  <c r="E101" i="39" s="1"/>
  <c r="F101" i="39" s="1"/>
  <c r="G101" i="39" s="1"/>
  <c r="Q18" i="36"/>
  <c r="Z18" i="36" s="1"/>
  <c r="F18" i="36"/>
  <c r="AA18" i="36" s="1"/>
  <c r="C18" i="36"/>
  <c r="D66" i="36"/>
  <c r="E66" i="36" s="1"/>
  <c r="F66" i="36" s="1"/>
  <c r="G66" i="36" s="1"/>
  <c r="Q18" i="35"/>
  <c r="Z18" i="35" s="1"/>
  <c r="D68" i="35"/>
  <c r="E68" i="35"/>
  <c r="F68" i="35" s="1"/>
  <c r="G68" i="35" s="1"/>
  <c r="J18" i="35"/>
  <c r="AC18" i="35"/>
  <c r="H18" i="35"/>
  <c r="AB18" i="35" s="1"/>
  <c r="F18" i="35"/>
  <c r="AA18" i="35" s="1"/>
  <c r="C18" i="35"/>
  <c r="Q21" i="37"/>
  <c r="Z21" i="37" s="1"/>
  <c r="D77" i="37"/>
  <c r="E77" i="37" s="1"/>
  <c r="F77" i="37" s="1"/>
  <c r="G77" i="37" s="1"/>
  <c r="H21" i="37"/>
  <c r="AB21" i="37" s="1"/>
  <c r="F21" i="37"/>
  <c r="AA21" i="37" s="1"/>
  <c r="C21" i="37"/>
  <c r="Q21" i="34"/>
  <c r="Z21" i="34" s="1"/>
  <c r="D84" i="34"/>
  <c r="E84" i="34" s="1"/>
  <c r="F84" i="34" s="1"/>
  <c r="F21" i="34"/>
  <c r="AA21" i="34" s="1"/>
  <c r="C21" i="34"/>
  <c r="Q21" i="33"/>
  <c r="Z21" i="33" s="1"/>
  <c r="D83" i="33"/>
  <c r="E83" i="33"/>
  <c r="F83" i="33" s="1"/>
  <c r="G83" i="33" s="1"/>
  <c r="H21" i="33"/>
  <c r="AB21" i="33" s="1"/>
  <c r="F21" i="33"/>
  <c r="AA21" i="33" s="1"/>
  <c r="C21" i="33"/>
  <c r="Q21" i="21"/>
  <c r="Z21" i="21" s="1"/>
  <c r="D83" i="21"/>
  <c r="E83" i="21"/>
  <c r="F21" i="21"/>
  <c r="AA21" i="21"/>
  <c r="C21" i="21"/>
  <c r="G20" i="20"/>
  <c r="B86" i="43" s="1"/>
  <c r="C22" i="20"/>
  <c r="B66" i="43" s="1"/>
  <c r="AB25" i="40"/>
  <c r="S18" i="36"/>
  <c r="W18" i="35"/>
  <c r="U18" i="35"/>
  <c r="S18" i="35"/>
  <c r="S21" i="37"/>
  <c r="S21" i="33"/>
  <c r="S21" i="21"/>
  <c r="J25" i="40"/>
  <c r="J27" i="39"/>
  <c r="H27" i="39"/>
  <c r="F27" i="39"/>
  <c r="H18" i="36"/>
  <c r="J18" i="36"/>
  <c r="J21" i="37"/>
  <c r="H21" i="34"/>
  <c r="J21" i="33"/>
  <c r="F83" i="21"/>
  <c r="H21" i="21"/>
  <c r="F8" i="15"/>
  <c r="F52" i="15" s="1"/>
  <c r="F15" i="15"/>
  <c r="F16" i="15"/>
  <c r="F17" i="15"/>
  <c r="F18" i="15"/>
  <c r="F20" i="15"/>
  <c r="F23" i="15"/>
  <c r="D23" i="15" s="1"/>
  <c r="F26" i="15"/>
  <c r="F21" i="15"/>
  <c r="C21" i="15" s="1"/>
  <c r="F33" i="15"/>
  <c r="F62" i="15" s="1"/>
  <c r="F36" i="15"/>
  <c r="F65" i="15" s="1"/>
  <c r="F13" i="15"/>
  <c r="F37" i="15"/>
  <c r="F66" i="15" s="1"/>
  <c r="F38" i="15"/>
  <c r="F67" i="15" s="1"/>
  <c r="M6" i="15"/>
  <c r="M8" i="15"/>
  <c r="M9" i="15"/>
  <c r="F6" i="15"/>
  <c r="G58" i="40"/>
  <c r="C58" i="40" s="1"/>
  <c r="M19" i="15"/>
  <c r="M24" i="15"/>
  <c r="M22" i="15"/>
  <c r="J15" i="15"/>
  <c r="M23" i="15"/>
  <c r="F9" i="15"/>
  <c r="C2" i="11"/>
  <c r="F2" i="11" s="1"/>
  <c r="C7" i="12"/>
  <c r="C8" i="12" s="1"/>
  <c r="C4" i="12" s="1"/>
  <c r="D20" i="12"/>
  <c r="D19" i="12"/>
  <c r="D17" i="12"/>
  <c r="D14" i="12"/>
  <c r="C2" i="12"/>
  <c r="B25" i="1"/>
  <c r="F11" i="12"/>
  <c r="F28" i="12"/>
  <c r="B6" i="50"/>
  <c r="B17" i="60" s="1"/>
  <c r="B1" i="4"/>
  <c r="B9" i="49" s="1"/>
  <c r="B2" i="60" s="1"/>
  <c r="C27" i="58"/>
  <c r="I23" i="58"/>
  <c r="D20" i="58"/>
  <c r="I19" i="58"/>
  <c r="I18" i="58"/>
  <c r="I17" i="58"/>
  <c r="E15" i="58"/>
  <c r="I14" i="58"/>
  <c r="I13" i="58"/>
  <c r="I12" i="58"/>
  <c r="I15" i="58"/>
  <c r="I9" i="58"/>
  <c r="I8" i="58"/>
  <c r="I7" i="58"/>
  <c r="I6" i="58"/>
  <c r="I5" i="58"/>
  <c r="I4" i="58"/>
  <c r="I3" i="58"/>
  <c r="I10" i="58"/>
  <c r="I21" i="58" s="1"/>
  <c r="G57" i="40"/>
  <c r="C57" i="40" s="1"/>
  <c r="G56" i="40"/>
  <c r="C56" i="40" s="1"/>
  <c r="B21" i="50"/>
  <c r="B42" i="50" s="1"/>
  <c r="F113" i="43"/>
  <c r="N99" i="43"/>
  <c r="N108" i="43" s="1"/>
  <c r="M99" i="43"/>
  <c r="M108" i="43" s="1"/>
  <c r="L99" i="43"/>
  <c r="L108" i="43" s="1"/>
  <c r="K99" i="43"/>
  <c r="K108" i="43" s="1"/>
  <c r="J99" i="43"/>
  <c r="J108" i="43" s="1"/>
  <c r="I99" i="43"/>
  <c r="I108" i="43" s="1"/>
  <c r="H99" i="43"/>
  <c r="H108" i="43" s="1"/>
  <c r="G99" i="43"/>
  <c r="G108" i="43" s="1"/>
  <c r="F99" i="43"/>
  <c r="F108" i="43" s="1"/>
  <c r="E99" i="43"/>
  <c r="E108" i="43" s="1"/>
  <c r="D99" i="43"/>
  <c r="D108" i="43" s="1"/>
  <c r="C99" i="43"/>
  <c r="C108" i="43" s="1"/>
  <c r="C100" i="43"/>
  <c r="G100" i="43"/>
  <c r="K100" i="43"/>
  <c r="D100" i="43"/>
  <c r="H100" i="43"/>
  <c r="L100" i="43"/>
  <c r="B84" i="43"/>
  <c r="B83" i="43"/>
  <c r="B72" i="43"/>
  <c r="B61" i="43"/>
  <c r="B50" i="43"/>
  <c r="M78" i="43"/>
  <c r="N78" i="43" s="1"/>
  <c r="K78" i="43"/>
  <c r="J78" i="43" s="1"/>
  <c r="D78" i="43"/>
  <c r="M77" i="43"/>
  <c r="N77" i="43" s="1"/>
  <c r="K77" i="43"/>
  <c r="J77" i="43" s="1"/>
  <c r="D77" i="43"/>
  <c r="M76" i="43"/>
  <c r="N76" i="43" s="1"/>
  <c r="K76" i="43"/>
  <c r="J76" i="43" s="1"/>
  <c r="D76" i="43"/>
  <c r="M75" i="43"/>
  <c r="N75" i="43" s="1"/>
  <c r="K75" i="43"/>
  <c r="J75" i="43" s="1"/>
  <c r="D75" i="43"/>
  <c r="M74" i="43"/>
  <c r="N74" i="43" s="1"/>
  <c r="K74" i="43"/>
  <c r="J74" i="43" s="1"/>
  <c r="D74" i="43"/>
  <c r="M73" i="43"/>
  <c r="N73" i="43" s="1"/>
  <c r="K73" i="43"/>
  <c r="J73" i="43" s="1"/>
  <c r="D73" i="43"/>
  <c r="M72" i="43"/>
  <c r="N72" i="43" s="1"/>
  <c r="K72" i="43"/>
  <c r="J72" i="43" s="1"/>
  <c r="D72" i="43"/>
  <c r="M71" i="43"/>
  <c r="N71" i="43" s="1"/>
  <c r="K71" i="43"/>
  <c r="J71" i="43" s="1"/>
  <c r="D71" i="43"/>
  <c r="M70" i="43"/>
  <c r="N70" i="43" s="1"/>
  <c r="K70" i="43"/>
  <c r="J70" i="43" s="1"/>
  <c r="D70" i="43"/>
  <c r="D63" i="43"/>
  <c r="Q70" i="15"/>
  <c r="Q57" i="15"/>
  <c r="Q56" i="15"/>
  <c r="Q49" i="15"/>
  <c r="L48" i="15"/>
  <c r="D9" i="31"/>
  <c r="E9" i="31" s="1"/>
  <c r="F9" i="31" s="1"/>
  <c r="G9" i="31" s="1"/>
  <c r="H9" i="31" s="1"/>
  <c r="I9" i="31" s="1"/>
  <c r="J9" i="31" s="1"/>
  <c r="K9" i="31" s="1"/>
  <c r="L9" i="31" s="1"/>
  <c r="M9" i="31" s="1"/>
  <c r="N9" i="31" s="1"/>
  <c r="O9" i="31" s="1"/>
  <c r="P9" i="31" s="1"/>
  <c r="Q9" i="31" s="1"/>
  <c r="R9" i="31" s="1"/>
  <c r="S9" i="31" s="1"/>
  <c r="B6" i="1"/>
  <c r="M21" i="15" s="1"/>
  <c r="B5" i="1"/>
  <c r="F7" i="15" s="1"/>
  <c r="B27" i="31"/>
  <c r="D29" i="43" s="1"/>
  <c r="D1" i="43" s="1"/>
  <c r="X28" i="31"/>
  <c r="Y28" i="31"/>
  <c r="X29" i="31"/>
  <c r="Y29" i="31"/>
  <c r="X30" i="31"/>
  <c r="Y30" i="31"/>
  <c r="X31" i="31"/>
  <c r="Y31" i="31"/>
  <c r="X32" i="31"/>
  <c r="Y32" i="31"/>
  <c r="X33" i="31"/>
  <c r="Y33" i="31"/>
  <c r="X34" i="31"/>
  <c r="Y34" i="31"/>
  <c r="X35" i="31"/>
  <c r="Y35" i="31"/>
  <c r="X36" i="31"/>
  <c r="Y36" i="31"/>
  <c r="X37" i="31"/>
  <c r="Y37" i="31"/>
  <c r="X38" i="31"/>
  <c r="Y38" i="31"/>
  <c r="X39" i="31"/>
  <c r="Y39" i="31"/>
  <c r="X40" i="31"/>
  <c r="Y40" i="31"/>
  <c r="X41" i="31"/>
  <c r="Y41" i="31"/>
  <c r="X42" i="31"/>
  <c r="Y42" i="31"/>
  <c r="X43" i="31"/>
  <c r="Y43" i="31"/>
  <c r="X44" i="31"/>
  <c r="Y44" i="31"/>
  <c r="X45" i="31"/>
  <c r="Y45" i="31"/>
  <c r="X46" i="31"/>
  <c r="Y46" i="31"/>
  <c r="X47" i="31"/>
  <c r="Y47" i="31"/>
  <c r="X48" i="31"/>
  <c r="Y48" i="31"/>
  <c r="X49" i="31"/>
  <c r="Y49" i="31"/>
  <c r="X50" i="31"/>
  <c r="Y50" i="31"/>
  <c r="X51" i="31"/>
  <c r="Y51" i="31"/>
  <c r="X52" i="31"/>
  <c r="Y52" i="31"/>
  <c r="X53" i="31"/>
  <c r="Y53" i="31"/>
  <c r="X54" i="31"/>
  <c r="Y54" i="31"/>
  <c r="X55" i="31"/>
  <c r="Y55" i="31"/>
  <c r="X56" i="31"/>
  <c r="Y56" i="31"/>
  <c r="X57" i="31"/>
  <c r="Y57" i="31"/>
  <c r="X58" i="31"/>
  <c r="Y58" i="31"/>
  <c r="X59" i="31"/>
  <c r="Y59" i="31"/>
  <c r="X60" i="31"/>
  <c r="Y60" i="31"/>
  <c r="X61" i="31"/>
  <c r="Y61" i="31"/>
  <c r="X62" i="31"/>
  <c r="Y62" i="31"/>
  <c r="X63" i="31"/>
  <c r="Y63" i="31"/>
  <c r="X64" i="31"/>
  <c r="Y64" i="31"/>
  <c r="X65" i="31"/>
  <c r="Y65" i="31"/>
  <c r="X66" i="31"/>
  <c r="Y66" i="31"/>
  <c r="X67" i="31"/>
  <c r="Y67" i="31"/>
  <c r="X68" i="31"/>
  <c r="Y68" i="31"/>
  <c r="X69" i="31"/>
  <c r="Y69" i="31"/>
  <c r="X70" i="31"/>
  <c r="Y70" i="31"/>
  <c r="X71" i="31"/>
  <c r="Y71" i="31"/>
  <c r="X72" i="31"/>
  <c r="Y72" i="31"/>
  <c r="X73" i="31"/>
  <c r="Y73" i="31"/>
  <c r="X74" i="31"/>
  <c r="Y74" i="31"/>
  <c r="X75" i="31"/>
  <c r="Y75" i="31"/>
  <c r="X76" i="31"/>
  <c r="Y76" i="31"/>
  <c r="X77" i="31"/>
  <c r="Y77" i="31"/>
  <c r="X78" i="31"/>
  <c r="Y78" i="31"/>
  <c r="X79" i="31"/>
  <c r="Y79" i="31"/>
  <c r="X80" i="31"/>
  <c r="Y80" i="31"/>
  <c r="X81" i="31"/>
  <c r="Y81" i="31"/>
  <c r="X82" i="31"/>
  <c r="Y82" i="31"/>
  <c r="X83" i="31"/>
  <c r="Y83" i="31"/>
  <c r="X84" i="31"/>
  <c r="Y84" i="31"/>
  <c r="X85" i="31"/>
  <c r="Y85" i="31"/>
  <c r="X86" i="31"/>
  <c r="Y86" i="31"/>
  <c r="X87" i="31"/>
  <c r="Y87" i="31"/>
  <c r="X88" i="31"/>
  <c r="Y88" i="31"/>
  <c r="X89" i="31"/>
  <c r="Y89" i="31"/>
  <c r="X90" i="31"/>
  <c r="Y90" i="31"/>
  <c r="X91" i="31"/>
  <c r="Y91" i="31"/>
  <c r="X92" i="31"/>
  <c r="Y92" i="31"/>
  <c r="X93" i="31"/>
  <c r="Y93" i="31"/>
  <c r="X94" i="31"/>
  <c r="Y94" i="31"/>
  <c r="X95" i="31"/>
  <c r="Y95" i="31"/>
  <c r="X96" i="31"/>
  <c r="Y96" i="31"/>
  <c r="X97" i="31"/>
  <c r="Y97" i="31"/>
  <c r="X98" i="31"/>
  <c r="Y98" i="31"/>
  <c r="X99" i="31"/>
  <c r="Y99" i="31"/>
  <c r="X100" i="31"/>
  <c r="Y100" i="31"/>
  <c r="X101" i="31"/>
  <c r="Y101" i="31"/>
  <c r="X102" i="31"/>
  <c r="Y102" i="31"/>
  <c r="X103" i="31"/>
  <c r="Y103" i="31"/>
  <c r="X104" i="31"/>
  <c r="Y104" i="31"/>
  <c r="X105" i="31"/>
  <c r="Y105" i="31"/>
  <c r="X106" i="31"/>
  <c r="Y106" i="31"/>
  <c r="X107" i="31"/>
  <c r="Y107" i="31"/>
  <c r="X108" i="31"/>
  <c r="Y108" i="31"/>
  <c r="X109" i="31"/>
  <c r="Y109" i="31"/>
  <c r="X110" i="31"/>
  <c r="Y110" i="31"/>
  <c r="X111" i="31"/>
  <c r="Y111" i="31"/>
  <c r="X112" i="31"/>
  <c r="Y112" i="31"/>
  <c r="X113" i="31"/>
  <c r="Y113" i="31"/>
  <c r="X114" i="31"/>
  <c r="Y114" i="31"/>
  <c r="X115" i="31"/>
  <c r="Y115" i="31"/>
  <c r="X116" i="31"/>
  <c r="Y116" i="31"/>
  <c r="X117" i="31"/>
  <c r="Y117" i="31"/>
  <c r="X118" i="31"/>
  <c r="Y118" i="31"/>
  <c r="X119" i="31"/>
  <c r="Y119" i="31"/>
  <c r="X120" i="31"/>
  <c r="Y120" i="31"/>
  <c r="X121" i="31"/>
  <c r="Y121" i="31"/>
  <c r="X122" i="31"/>
  <c r="Y122" i="31"/>
  <c r="X123" i="31"/>
  <c r="Y123" i="31"/>
  <c r="X124" i="31"/>
  <c r="Y124" i="31"/>
  <c r="X125" i="31"/>
  <c r="Y125" i="31"/>
  <c r="X126" i="31"/>
  <c r="Y126" i="31"/>
  <c r="X127" i="31"/>
  <c r="Y127" i="31"/>
  <c r="X128" i="31"/>
  <c r="Y128" i="31"/>
  <c r="X129" i="31"/>
  <c r="Y129" i="31"/>
  <c r="X130" i="31"/>
  <c r="Y130" i="31"/>
  <c r="X131" i="31"/>
  <c r="Y131" i="31"/>
  <c r="X132" i="31"/>
  <c r="Y132" i="31"/>
  <c r="X133" i="31"/>
  <c r="Y133" i="31"/>
  <c r="X134" i="31"/>
  <c r="Y134" i="31"/>
  <c r="X135" i="31"/>
  <c r="Y135" i="31"/>
  <c r="X136" i="31"/>
  <c r="Y136" i="31"/>
  <c r="X137" i="31"/>
  <c r="Y137" i="31"/>
  <c r="X138" i="31"/>
  <c r="Y138" i="31"/>
  <c r="X139" i="31"/>
  <c r="Y139" i="31"/>
  <c r="X140" i="31"/>
  <c r="Y140" i="31"/>
  <c r="X141" i="31"/>
  <c r="Y141" i="31"/>
  <c r="X142" i="31"/>
  <c r="Y142" i="31"/>
  <c r="X143" i="31"/>
  <c r="Y143" i="31"/>
  <c r="X144" i="31"/>
  <c r="Y144" i="31"/>
  <c r="X145" i="31"/>
  <c r="Y145" i="31"/>
  <c r="X146" i="31"/>
  <c r="Y146" i="31"/>
  <c r="X147" i="31"/>
  <c r="Y147" i="31"/>
  <c r="X148" i="31"/>
  <c r="Y148" i="31"/>
  <c r="X149" i="31"/>
  <c r="Y149" i="31"/>
  <c r="X150" i="31"/>
  <c r="Y150" i="31"/>
  <c r="X151" i="31"/>
  <c r="Y151" i="31"/>
  <c r="X152" i="31"/>
  <c r="Y152" i="31"/>
  <c r="X153" i="31"/>
  <c r="Y153" i="31"/>
  <c r="X154" i="31"/>
  <c r="Y154" i="31"/>
  <c r="X155" i="31"/>
  <c r="Y155" i="31"/>
  <c r="X156" i="31"/>
  <c r="Y156" i="31"/>
  <c r="X157" i="31"/>
  <c r="Y157" i="31"/>
  <c r="X158" i="31"/>
  <c r="Y158" i="31"/>
  <c r="X159" i="31"/>
  <c r="Y159" i="31"/>
  <c r="X160" i="31"/>
  <c r="Y160" i="31"/>
  <c r="X161" i="31"/>
  <c r="Y161" i="31"/>
  <c r="X162" i="31"/>
  <c r="Y162" i="31"/>
  <c r="X163" i="31"/>
  <c r="Y163" i="31"/>
  <c r="X164" i="31"/>
  <c r="Y164" i="31"/>
  <c r="X165" i="31"/>
  <c r="Y165" i="31"/>
  <c r="X166" i="31"/>
  <c r="Y166" i="31"/>
  <c r="X167" i="31"/>
  <c r="Y167" i="31"/>
  <c r="X168" i="31"/>
  <c r="Y168" i="31"/>
  <c r="X169" i="31"/>
  <c r="Y169" i="31"/>
  <c r="X170" i="31"/>
  <c r="Y170" i="31"/>
  <c r="X171" i="31"/>
  <c r="Y171" i="31"/>
  <c r="X172" i="31"/>
  <c r="Y172" i="31"/>
  <c r="X173" i="31"/>
  <c r="Y173" i="31"/>
  <c r="X174" i="31"/>
  <c r="Y174" i="31"/>
  <c r="X175" i="31"/>
  <c r="Y175" i="31"/>
  <c r="X176" i="31"/>
  <c r="Y176" i="31"/>
  <c r="X177" i="31"/>
  <c r="Y177" i="31"/>
  <c r="X178" i="31"/>
  <c r="Y178" i="31"/>
  <c r="X179" i="31"/>
  <c r="Y179" i="31"/>
  <c r="X180" i="31"/>
  <c r="Y180" i="31"/>
  <c r="X181" i="31"/>
  <c r="Y181" i="31"/>
  <c r="X182" i="31"/>
  <c r="Y182" i="31"/>
  <c r="X183" i="31"/>
  <c r="Y183" i="31"/>
  <c r="X184" i="31"/>
  <c r="Y184" i="31"/>
  <c r="X185" i="31"/>
  <c r="Y185" i="31"/>
  <c r="X186" i="31"/>
  <c r="Y186" i="31"/>
  <c r="X187" i="31"/>
  <c r="Y187" i="31"/>
  <c r="X188" i="31"/>
  <c r="Y188" i="31"/>
  <c r="X189" i="31"/>
  <c r="Y189" i="31"/>
  <c r="X190" i="31"/>
  <c r="Y190" i="31"/>
  <c r="X191" i="31"/>
  <c r="Y191" i="31"/>
  <c r="X192" i="31"/>
  <c r="Y192" i="31"/>
  <c r="X193" i="31"/>
  <c r="Y193" i="31"/>
  <c r="X194" i="31"/>
  <c r="Y194" i="31"/>
  <c r="X195" i="31"/>
  <c r="Y195" i="31"/>
  <c r="X196" i="31"/>
  <c r="Y196" i="31"/>
  <c r="X197" i="31"/>
  <c r="Y197" i="31"/>
  <c r="X198" i="31"/>
  <c r="Y198" i="31"/>
  <c r="X199" i="31"/>
  <c r="Y199" i="31"/>
  <c r="X200" i="31"/>
  <c r="Y200" i="31"/>
  <c r="X201" i="31"/>
  <c r="Y201" i="31"/>
  <c r="X202" i="31"/>
  <c r="Y202" i="31"/>
  <c r="X203" i="31"/>
  <c r="Y203" i="31"/>
  <c r="X204" i="31"/>
  <c r="Y204" i="31"/>
  <c r="X205" i="31"/>
  <c r="Y205" i="31"/>
  <c r="X206" i="31"/>
  <c r="Y206" i="31"/>
  <c r="X207" i="31"/>
  <c r="Y207" i="31"/>
  <c r="X208" i="31"/>
  <c r="Y208" i="31"/>
  <c r="X209" i="31"/>
  <c r="Y209" i="31"/>
  <c r="X210" i="31"/>
  <c r="Y210" i="31"/>
  <c r="X211" i="31"/>
  <c r="Y211" i="31"/>
  <c r="X212" i="31"/>
  <c r="Y212" i="31"/>
  <c r="X213" i="31"/>
  <c r="Y213" i="31"/>
  <c r="X214" i="31"/>
  <c r="Y214" i="31"/>
  <c r="X215" i="31"/>
  <c r="Y215" i="31"/>
  <c r="X216" i="31"/>
  <c r="Y216" i="31"/>
  <c r="X217" i="31"/>
  <c r="Y217" i="31"/>
  <c r="X218" i="31"/>
  <c r="Y218" i="31"/>
  <c r="X219" i="31"/>
  <c r="Y219" i="31"/>
  <c r="X220" i="31"/>
  <c r="Y220" i="31"/>
  <c r="X221" i="31"/>
  <c r="Y221" i="31"/>
  <c r="X222" i="31"/>
  <c r="Y222" i="31"/>
  <c r="X223" i="31"/>
  <c r="Y223" i="31"/>
  <c r="X224" i="31"/>
  <c r="Y224" i="31"/>
  <c r="X225" i="31"/>
  <c r="Y225" i="31"/>
  <c r="X226" i="31"/>
  <c r="Y226" i="31"/>
  <c r="X227" i="31"/>
  <c r="Y227" i="31"/>
  <c r="X228" i="31"/>
  <c r="Y228" i="31"/>
  <c r="X229" i="31"/>
  <c r="Y229" i="31"/>
  <c r="X230" i="31"/>
  <c r="Y230" i="31"/>
  <c r="X231" i="31"/>
  <c r="Y231" i="31"/>
  <c r="X232" i="31"/>
  <c r="Y232" i="31"/>
  <c r="X233" i="31"/>
  <c r="Y233" i="31"/>
  <c r="X234" i="31"/>
  <c r="Y234" i="31"/>
  <c r="X235" i="31"/>
  <c r="Y235" i="31"/>
  <c r="X236" i="31"/>
  <c r="Y236" i="31"/>
  <c r="X237" i="31"/>
  <c r="Y237" i="31"/>
  <c r="X238" i="31"/>
  <c r="Y238" i="31"/>
  <c r="X239" i="31"/>
  <c r="Y239" i="31"/>
  <c r="X240" i="31"/>
  <c r="Y240" i="31"/>
  <c r="X241" i="31"/>
  <c r="Y241" i="31"/>
  <c r="X242" i="31"/>
  <c r="Y242" i="31"/>
  <c r="X243" i="31"/>
  <c r="Y243" i="31"/>
  <c r="X244" i="31"/>
  <c r="Y244" i="31"/>
  <c r="X245" i="31"/>
  <c r="Y245" i="31"/>
  <c r="X246" i="31"/>
  <c r="Y246" i="31"/>
  <c r="X247" i="31"/>
  <c r="Y247" i="31"/>
  <c r="X248" i="31"/>
  <c r="Y248" i="31"/>
  <c r="X249" i="31"/>
  <c r="Y249" i="31"/>
  <c r="X250" i="31"/>
  <c r="Y250" i="31"/>
  <c r="X251" i="31"/>
  <c r="Y251" i="31"/>
  <c r="X252" i="31"/>
  <c r="Y252" i="31"/>
  <c r="X253" i="31"/>
  <c r="Y253" i="31"/>
  <c r="X254" i="31"/>
  <c r="Y254" i="31"/>
  <c r="X255" i="31"/>
  <c r="Y255" i="31"/>
  <c r="X256" i="31"/>
  <c r="Y256" i="31"/>
  <c r="X257" i="31"/>
  <c r="Y257" i="31"/>
  <c r="X258" i="31"/>
  <c r="Y258" i="31"/>
  <c r="X259" i="31"/>
  <c r="Y259" i="31"/>
  <c r="X260" i="31"/>
  <c r="Y260" i="31"/>
  <c r="X261" i="31"/>
  <c r="Y261" i="31"/>
  <c r="X262" i="31"/>
  <c r="Y262" i="31"/>
  <c r="X263" i="31"/>
  <c r="Y263" i="31"/>
  <c r="X264" i="31"/>
  <c r="Y264" i="31"/>
  <c r="X265" i="31"/>
  <c r="Y265" i="31"/>
  <c r="X266" i="31"/>
  <c r="Y266" i="31"/>
  <c r="X267" i="31"/>
  <c r="Y267" i="31"/>
  <c r="X268" i="31"/>
  <c r="Y268" i="31"/>
  <c r="X269" i="31"/>
  <c r="Y269" i="31"/>
  <c r="X270" i="31"/>
  <c r="Y270" i="31"/>
  <c r="X271" i="31"/>
  <c r="Y271" i="31"/>
  <c r="X272" i="31"/>
  <c r="Y272" i="31"/>
  <c r="X273" i="31"/>
  <c r="Y273" i="31"/>
  <c r="X274" i="31"/>
  <c r="Y274" i="31"/>
  <c r="X275" i="31"/>
  <c r="Y275" i="31"/>
  <c r="X276" i="31"/>
  <c r="Y276" i="31"/>
  <c r="X277" i="31"/>
  <c r="Y277" i="31"/>
  <c r="X278" i="31"/>
  <c r="Y278" i="31"/>
  <c r="X279" i="31"/>
  <c r="Y279" i="31"/>
  <c r="X280" i="31"/>
  <c r="Y280" i="31"/>
  <c r="X281" i="31"/>
  <c r="Y281" i="31"/>
  <c r="X282" i="31"/>
  <c r="Y282" i="31"/>
  <c r="X283" i="31"/>
  <c r="Y283" i="31"/>
  <c r="X284" i="31"/>
  <c r="Y284" i="31"/>
  <c r="X285" i="31"/>
  <c r="Y285" i="31"/>
  <c r="X286" i="31"/>
  <c r="Y286" i="31"/>
  <c r="X287" i="31"/>
  <c r="Y287" i="31"/>
  <c r="X288" i="31"/>
  <c r="Y288" i="31"/>
  <c r="X289" i="31"/>
  <c r="Y289" i="31"/>
  <c r="X290" i="31"/>
  <c r="Y290" i="31"/>
  <c r="X291" i="31"/>
  <c r="Y291" i="31"/>
  <c r="X292" i="31"/>
  <c r="Y292" i="31"/>
  <c r="X293" i="31"/>
  <c r="Y293" i="31"/>
  <c r="X294" i="31"/>
  <c r="Y294" i="31"/>
  <c r="X295" i="31"/>
  <c r="Y295" i="31"/>
  <c r="X296" i="31"/>
  <c r="Y296" i="31"/>
  <c r="X297" i="31"/>
  <c r="Y297" i="31"/>
  <c r="X298" i="31"/>
  <c r="Y298" i="31"/>
  <c r="X299" i="31"/>
  <c r="Y299" i="31"/>
  <c r="X300" i="31"/>
  <c r="Y300" i="31"/>
  <c r="X301" i="31"/>
  <c r="Y301" i="31"/>
  <c r="X302" i="31"/>
  <c r="Y302" i="31"/>
  <c r="X303" i="31"/>
  <c r="Y303" i="31"/>
  <c r="X304" i="31"/>
  <c r="Y304" i="31"/>
  <c r="X305" i="31"/>
  <c r="Y305" i="31"/>
  <c r="X306" i="31"/>
  <c r="Y306" i="31"/>
  <c r="X307" i="31"/>
  <c r="Y307" i="31"/>
  <c r="X308" i="31"/>
  <c r="Y308" i="31"/>
  <c r="X309" i="31"/>
  <c r="Y309" i="31"/>
  <c r="X310" i="31"/>
  <c r="Y310" i="31"/>
  <c r="X311" i="31"/>
  <c r="Y311" i="31"/>
  <c r="X312" i="31"/>
  <c r="Y312" i="31"/>
  <c r="X313" i="31"/>
  <c r="Y313" i="31"/>
  <c r="X314" i="31"/>
  <c r="Y314" i="31"/>
  <c r="X315" i="31"/>
  <c r="Y315" i="31"/>
  <c r="X316" i="31"/>
  <c r="Y316" i="31"/>
  <c r="X317" i="31"/>
  <c r="Y317" i="31"/>
  <c r="X318" i="31"/>
  <c r="Y318" i="31"/>
  <c r="X319" i="31"/>
  <c r="Y319" i="31"/>
  <c r="X320" i="31"/>
  <c r="Y320" i="31"/>
  <c r="X321" i="31"/>
  <c r="Y321" i="31"/>
  <c r="X322" i="31"/>
  <c r="Y322" i="31"/>
  <c r="X323" i="31"/>
  <c r="Y323" i="31"/>
  <c r="X324" i="31"/>
  <c r="Y324" i="31"/>
  <c r="X325" i="31"/>
  <c r="Y325" i="31"/>
  <c r="X326" i="31"/>
  <c r="Y326" i="31"/>
  <c r="X327" i="31"/>
  <c r="Y327" i="31"/>
  <c r="X328" i="31"/>
  <c r="Y328" i="31"/>
  <c r="X329" i="31"/>
  <c r="Y329" i="31"/>
  <c r="X330" i="31"/>
  <c r="Y330" i="31"/>
  <c r="X331" i="31"/>
  <c r="Y331" i="31"/>
  <c r="X332" i="31"/>
  <c r="Y332" i="31"/>
  <c r="X333" i="31"/>
  <c r="Y333" i="31"/>
  <c r="X334" i="31"/>
  <c r="Y334" i="31"/>
  <c r="X335" i="31"/>
  <c r="Y335" i="31"/>
  <c r="X336" i="31"/>
  <c r="Y336" i="31"/>
  <c r="X337" i="31"/>
  <c r="Y337" i="31"/>
  <c r="X338" i="31"/>
  <c r="Y338" i="31"/>
  <c r="X339" i="31"/>
  <c r="Y339" i="31"/>
  <c r="X340" i="31"/>
  <c r="Y340" i="31"/>
  <c r="X341" i="31"/>
  <c r="Y341" i="31"/>
  <c r="X342" i="31"/>
  <c r="Y342" i="31"/>
  <c r="X343" i="31"/>
  <c r="Y343" i="31"/>
  <c r="X344" i="31"/>
  <c r="Y344" i="31"/>
  <c r="X345" i="31"/>
  <c r="Y345" i="31"/>
  <c r="X346" i="31"/>
  <c r="Y346" i="31"/>
  <c r="X347" i="31"/>
  <c r="Y347" i="31"/>
  <c r="X348" i="31"/>
  <c r="Y348" i="31"/>
  <c r="X349" i="31"/>
  <c r="Y349" i="31"/>
  <c r="X350" i="31"/>
  <c r="Y350" i="31"/>
  <c r="X351" i="31"/>
  <c r="Y351" i="31"/>
  <c r="X352" i="31"/>
  <c r="Y352" i="31"/>
  <c r="X353" i="31"/>
  <c r="Y353" i="31"/>
  <c r="X354" i="31"/>
  <c r="Y354" i="31"/>
  <c r="X355" i="31"/>
  <c r="Y355" i="31"/>
  <c r="X356" i="31"/>
  <c r="Y356" i="31"/>
  <c r="X357" i="31"/>
  <c r="Y357" i="31"/>
  <c r="X358" i="31"/>
  <c r="Y358" i="31"/>
  <c r="X359" i="31"/>
  <c r="Y359" i="31"/>
  <c r="X360" i="31"/>
  <c r="Y360" i="31"/>
  <c r="X361" i="31"/>
  <c r="Y361" i="31"/>
  <c r="X362" i="31"/>
  <c r="Y362" i="31"/>
  <c r="X363" i="31"/>
  <c r="Y363" i="31"/>
  <c r="X364" i="31"/>
  <c r="Y364" i="31"/>
  <c r="X365" i="31"/>
  <c r="Y365" i="31"/>
  <c r="X366" i="31"/>
  <c r="Y366" i="31"/>
  <c r="X367" i="31"/>
  <c r="Y367" i="31"/>
  <c r="X368" i="31"/>
  <c r="Y368" i="31"/>
  <c r="X369" i="31"/>
  <c r="Y369" i="31"/>
  <c r="X370" i="31"/>
  <c r="Y370" i="31"/>
  <c r="X371" i="31"/>
  <c r="Y371" i="31"/>
  <c r="X372" i="31"/>
  <c r="Y372" i="31"/>
  <c r="X373" i="31"/>
  <c r="Y373" i="31"/>
  <c r="X374" i="31"/>
  <c r="Y374" i="31"/>
  <c r="X375" i="31"/>
  <c r="Y375" i="31"/>
  <c r="X376" i="31"/>
  <c r="Y376" i="31"/>
  <c r="X377" i="31"/>
  <c r="Y377" i="31"/>
  <c r="X378" i="31"/>
  <c r="Y378" i="31"/>
  <c r="X379" i="31"/>
  <c r="Y379" i="31"/>
  <c r="X380" i="31"/>
  <c r="Y380" i="31"/>
  <c r="X381" i="31"/>
  <c r="Y381" i="31"/>
  <c r="X382" i="31"/>
  <c r="Y382" i="31"/>
  <c r="X383" i="31"/>
  <c r="Y383" i="31"/>
  <c r="X384" i="31"/>
  <c r="Y384" i="31"/>
  <c r="X385" i="31"/>
  <c r="Y385" i="31"/>
  <c r="X386" i="31"/>
  <c r="Y386" i="31"/>
  <c r="X387" i="31"/>
  <c r="Y387" i="31"/>
  <c r="X388" i="31"/>
  <c r="Y388" i="31"/>
  <c r="X389" i="31"/>
  <c r="Y389" i="31"/>
  <c r="X390" i="31"/>
  <c r="Y390" i="31"/>
  <c r="X391" i="31"/>
  <c r="Y391" i="31"/>
  <c r="X392" i="31"/>
  <c r="Y392" i="31"/>
  <c r="X393" i="31"/>
  <c r="Y393" i="31"/>
  <c r="X394" i="31"/>
  <c r="Y394" i="31"/>
  <c r="X395" i="31"/>
  <c r="Y395" i="31"/>
  <c r="X396" i="31"/>
  <c r="Y396" i="31"/>
  <c r="X397" i="31"/>
  <c r="Y397" i="31"/>
  <c r="X398" i="31"/>
  <c r="Y398" i="31"/>
  <c r="X399" i="31"/>
  <c r="Y399" i="31"/>
  <c r="X400" i="31"/>
  <c r="Y400" i="31"/>
  <c r="X401" i="31"/>
  <c r="Y401" i="31"/>
  <c r="X402" i="31"/>
  <c r="Y402" i="31"/>
  <c r="X403" i="31"/>
  <c r="Y403" i="31"/>
  <c r="X404" i="31"/>
  <c r="Y404" i="31"/>
  <c r="X405" i="31"/>
  <c r="Y405" i="31"/>
  <c r="X406" i="31"/>
  <c r="Y406" i="31"/>
  <c r="X407" i="31"/>
  <c r="Y407" i="31"/>
  <c r="X408" i="31"/>
  <c r="Y408" i="31"/>
  <c r="X409" i="31"/>
  <c r="Y409" i="31"/>
  <c r="X410" i="31"/>
  <c r="Y410" i="31"/>
  <c r="X411" i="31"/>
  <c r="Y411" i="31"/>
  <c r="X412" i="31"/>
  <c r="Y412" i="31"/>
  <c r="X413" i="31"/>
  <c r="Y413" i="31"/>
  <c r="X414" i="31"/>
  <c r="Y414" i="31"/>
  <c r="X415" i="31"/>
  <c r="Y415" i="31"/>
  <c r="X416" i="31"/>
  <c r="Y416" i="31"/>
  <c r="X417" i="31"/>
  <c r="Y417" i="31"/>
  <c r="X418" i="31"/>
  <c r="Y418" i="31"/>
  <c r="X419" i="31"/>
  <c r="Y419" i="31"/>
  <c r="X420" i="31"/>
  <c r="Y420" i="31"/>
  <c r="X421" i="31"/>
  <c r="Y421" i="31"/>
  <c r="X422" i="31"/>
  <c r="Y422" i="31"/>
  <c r="X423" i="31"/>
  <c r="Y423" i="31"/>
  <c r="X424" i="31"/>
  <c r="Y424" i="31"/>
  <c r="X425" i="31"/>
  <c r="Y425" i="31"/>
  <c r="X426" i="31"/>
  <c r="Y426" i="31"/>
  <c r="X427" i="31"/>
  <c r="Y427" i="31"/>
  <c r="X428" i="31"/>
  <c r="Y428" i="31"/>
  <c r="X429" i="31"/>
  <c r="Y429" i="31"/>
  <c r="X430" i="31"/>
  <c r="Y430" i="31"/>
  <c r="X431" i="31"/>
  <c r="Y431" i="31"/>
  <c r="X432" i="31"/>
  <c r="Y432" i="31"/>
  <c r="X433" i="31"/>
  <c r="Y433" i="31"/>
  <c r="X434" i="31"/>
  <c r="Y434" i="31"/>
  <c r="X435" i="31"/>
  <c r="Y435" i="31"/>
  <c r="X436" i="31"/>
  <c r="Y436" i="31"/>
  <c r="X437" i="31"/>
  <c r="Y437" i="31"/>
  <c r="X438" i="31"/>
  <c r="Y438" i="31"/>
  <c r="X439" i="31"/>
  <c r="Y439" i="31"/>
  <c r="X440" i="31"/>
  <c r="Y440" i="31"/>
  <c r="X441" i="31"/>
  <c r="Y441" i="31"/>
  <c r="X442" i="31"/>
  <c r="Y442" i="31"/>
  <c r="X443" i="31"/>
  <c r="Y443" i="31"/>
  <c r="X444" i="31"/>
  <c r="Y444" i="31"/>
  <c r="X445" i="31"/>
  <c r="Y445" i="31"/>
  <c r="X446" i="31"/>
  <c r="Y446" i="31"/>
  <c r="X447" i="31"/>
  <c r="Y447" i="31"/>
  <c r="X448" i="31"/>
  <c r="Y448" i="31"/>
  <c r="X449" i="31"/>
  <c r="Y449" i="31"/>
  <c r="X450" i="31"/>
  <c r="Y450" i="31"/>
  <c r="X451" i="31"/>
  <c r="Y451" i="31"/>
  <c r="X452" i="31"/>
  <c r="Y452" i="31"/>
  <c r="X453" i="31"/>
  <c r="Y453" i="31"/>
  <c r="X454" i="31"/>
  <c r="Y454" i="31"/>
  <c r="X455" i="31"/>
  <c r="Y455" i="31"/>
  <c r="X456" i="31"/>
  <c r="Y456" i="31"/>
  <c r="X457" i="31"/>
  <c r="Y457" i="31"/>
  <c r="X458" i="31"/>
  <c r="Y458" i="31"/>
  <c r="X459" i="31"/>
  <c r="Y459" i="31"/>
  <c r="X460" i="31"/>
  <c r="Y460" i="31"/>
  <c r="X461" i="31"/>
  <c r="Y461" i="31"/>
  <c r="X462" i="31"/>
  <c r="Y462" i="31"/>
  <c r="X463" i="31"/>
  <c r="Y463" i="31"/>
  <c r="X464" i="31"/>
  <c r="Y464" i="31"/>
  <c r="X465" i="31"/>
  <c r="Y465" i="31"/>
  <c r="X466" i="31"/>
  <c r="Y466" i="31"/>
  <c r="X467" i="31"/>
  <c r="Y467" i="31"/>
  <c r="X468" i="31"/>
  <c r="Y468" i="31"/>
  <c r="X469" i="31"/>
  <c r="Y469" i="31"/>
  <c r="X470" i="31"/>
  <c r="Y470" i="31"/>
  <c r="X471" i="31"/>
  <c r="Y471" i="31"/>
  <c r="X472" i="31"/>
  <c r="Y472" i="31"/>
  <c r="X473" i="31"/>
  <c r="Y473" i="31"/>
  <c r="X474" i="31"/>
  <c r="Y474" i="31"/>
  <c r="X475" i="31"/>
  <c r="Y475" i="31"/>
  <c r="X476" i="31"/>
  <c r="Y476" i="31"/>
  <c r="X477" i="31"/>
  <c r="Y477" i="31"/>
  <c r="X478" i="31"/>
  <c r="Y478" i="31"/>
  <c r="X479" i="31"/>
  <c r="Y479" i="31"/>
  <c r="X480" i="31"/>
  <c r="Y480" i="31"/>
  <c r="X481" i="31"/>
  <c r="Y481" i="31"/>
  <c r="X482" i="31"/>
  <c r="Y482" i="31"/>
  <c r="X483" i="31"/>
  <c r="Y483" i="31"/>
  <c r="X484" i="31"/>
  <c r="Y484" i="31"/>
  <c r="X485" i="31"/>
  <c r="Y485" i="31"/>
  <c r="X486" i="31"/>
  <c r="Y486" i="31"/>
  <c r="X487" i="31"/>
  <c r="Y487" i="31"/>
  <c r="X488" i="31"/>
  <c r="Y488" i="31"/>
  <c r="X489" i="31"/>
  <c r="Y489" i="31"/>
  <c r="X490" i="31"/>
  <c r="Y490" i="31"/>
  <c r="X491" i="31"/>
  <c r="Y491" i="31"/>
  <c r="X492" i="31"/>
  <c r="Y492" i="31"/>
  <c r="X493" i="31"/>
  <c r="Y493" i="31"/>
  <c r="X494" i="31"/>
  <c r="Y494" i="31"/>
  <c r="X495" i="31"/>
  <c r="Y495" i="31"/>
  <c r="X496" i="31"/>
  <c r="Y496" i="31"/>
  <c r="X497" i="31"/>
  <c r="Y497" i="31"/>
  <c r="X498" i="31"/>
  <c r="Y498" i="31"/>
  <c r="X499" i="31"/>
  <c r="Y499" i="31"/>
  <c r="X500" i="31"/>
  <c r="Y500" i="31"/>
  <c r="X501" i="31"/>
  <c r="Y501" i="31"/>
  <c r="X502" i="31"/>
  <c r="Y502" i="31"/>
  <c r="X503" i="31"/>
  <c r="Y503" i="31"/>
  <c r="X504" i="31"/>
  <c r="Y504" i="31"/>
  <c r="X505" i="31"/>
  <c r="Y505" i="31"/>
  <c r="X506" i="31"/>
  <c r="Y506" i="31"/>
  <c r="X507" i="31"/>
  <c r="Y507" i="31"/>
  <c r="X508" i="31"/>
  <c r="Y508" i="31"/>
  <c r="X509" i="31"/>
  <c r="Y509" i="31"/>
  <c r="X510" i="31"/>
  <c r="Y510" i="31"/>
  <c r="X511" i="31"/>
  <c r="Y511" i="31"/>
  <c r="X512" i="31"/>
  <c r="Y512" i="31"/>
  <c r="X513" i="31"/>
  <c r="Y513" i="31"/>
  <c r="X514" i="31"/>
  <c r="Y514" i="31"/>
  <c r="X515" i="31"/>
  <c r="Y515" i="31"/>
  <c r="X516" i="31"/>
  <c r="Y516" i="31"/>
  <c r="X517" i="31"/>
  <c r="Y517" i="31"/>
  <c r="X518" i="31"/>
  <c r="Y518" i="31"/>
  <c r="X519" i="31"/>
  <c r="Y519" i="31"/>
  <c r="X520" i="31"/>
  <c r="Y520" i="31"/>
  <c r="X521" i="31"/>
  <c r="Y521" i="31"/>
  <c r="X522" i="31"/>
  <c r="Y522" i="31"/>
  <c r="X523" i="31"/>
  <c r="Y523" i="31"/>
  <c r="X524" i="31"/>
  <c r="Y524" i="31"/>
  <c r="X525" i="31"/>
  <c r="Y525" i="31"/>
  <c r="X526" i="31"/>
  <c r="Y526" i="31"/>
  <c r="X527" i="31"/>
  <c r="Y527" i="31"/>
  <c r="U28" i="31"/>
  <c r="V28" i="31"/>
  <c r="U29" i="31"/>
  <c r="V29" i="31"/>
  <c r="U30" i="31"/>
  <c r="V30" i="31"/>
  <c r="U31" i="31"/>
  <c r="V31" i="31"/>
  <c r="U32" i="31"/>
  <c r="V32" i="31"/>
  <c r="U33" i="31"/>
  <c r="V33" i="31"/>
  <c r="U34" i="31"/>
  <c r="V34" i="31"/>
  <c r="U35" i="31"/>
  <c r="V35" i="31"/>
  <c r="U36" i="31"/>
  <c r="V36" i="31"/>
  <c r="U37" i="31"/>
  <c r="V37" i="31"/>
  <c r="U38" i="31"/>
  <c r="V38" i="31"/>
  <c r="U39" i="31"/>
  <c r="V39" i="31"/>
  <c r="U40" i="31"/>
  <c r="V40" i="31"/>
  <c r="U41" i="31"/>
  <c r="V41" i="31"/>
  <c r="U42" i="31"/>
  <c r="V42" i="31"/>
  <c r="U43" i="31"/>
  <c r="V43" i="31"/>
  <c r="U44" i="31"/>
  <c r="V44" i="31"/>
  <c r="U45" i="31"/>
  <c r="V45" i="31"/>
  <c r="U46" i="31"/>
  <c r="V46" i="31"/>
  <c r="U47" i="31"/>
  <c r="V47" i="31"/>
  <c r="U48" i="31"/>
  <c r="V48" i="31"/>
  <c r="U49" i="31"/>
  <c r="V49" i="31"/>
  <c r="U50" i="31"/>
  <c r="V50" i="31"/>
  <c r="U51" i="31"/>
  <c r="V51" i="31"/>
  <c r="U52" i="31"/>
  <c r="V52" i="31"/>
  <c r="U53" i="31"/>
  <c r="V53" i="31"/>
  <c r="U54" i="31"/>
  <c r="V54" i="31"/>
  <c r="U55" i="31"/>
  <c r="V55" i="31"/>
  <c r="U56" i="31"/>
  <c r="V56" i="31"/>
  <c r="U57" i="31"/>
  <c r="V57" i="31"/>
  <c r="U58" i="31"/>
  <c r="V58" i="31"/>
  <c r="U59" i="31"/>
  <c r="V59" i="31"/>
  <c r="U60" i="31"/>
  <c r="V60" i="31"/>
  <c r="U61" i="31"/>
  <c r="V61" i="31"/>
  <c r="U62" i="31"/>
  <c r="V62" i="31"/>
  <c r="U63" i="31"/>
  <c r="V63" i="31"/>
  <c r="U64" i="31"/>
  <c r="V64" i="31"/>
  <c r="U65" i="31"/>
  <c r="V65" i="31"/>
  <c r="U66" i="31"/>
  <c r="V66" i="31"/>
  <c r="U67" i="31"/>
  <c r="V67" i="31"/>
  <c r="U68" i="31"/>
  <c r="V68" i="31"/>
  <c r="U69" i="31"/>
  <c r="V69" i="31"/>
  <c r="U70" i="31"/>
  <c r="V70" i="31"/>
  <c r="U71" i="31"/>
  <c r="V71" i="31"/>
  <c r="U72" i="31"/>
  <c r="V72" i="31"/>
  <c r="U73" i="31"/>
  <c r="V73" i="31"/>
  <c r="U74" i="31"/>
  <c r="V74" i="31"/>
  <c r="U75" i="31"/>
  <c r="V75" i="31"/>
  <c r="U76" i="31"/>
  <c r="V76" i="31"/>
  <c r="U77" i="31"/>
  <c r="V77" i="31"/>
  <c r="U78" i="31"/>
  <c r="V78" i="31"/>
  <c r="U79" i="31"/>
  <c r="V79" i="31"/>
  <c r="U80" i="31"/>
  <c r="V80" i="31"/>
  <c r="U81" i="31"/>
  <c r="V81" i="31"/>
  <c r="U82" i="31"/>
  <c r="V82" i="31"/>
  <c r="U83" i="31"/>
  <c r="V83" i="31"/>
  <c r="U84" i="31"/>
  <c r="V84" i="31"/>
  <c r="U85" i="31"/>
  <c r="V85" i="31"/>
  <c r="U86" i="31"/>
  <c r="V86" i="31"/>
  <c r="U87" i="31"/>
  <c r="V87" i="31"/>
  <c r="U88" i="31"/>
  <c r="V88" i="31"/>
  <c r="U89" i="31"/>
  <c r="V89" i="31"/>
  <c r="U90" i="31"/>
  <c r="V90" i="31"/>
  <c r="U91" i="31"/>
  <c r="V91" i="31"/>
  <c r="U92" i="31"/>
  <c r="V92" i="31"/>
  <c r="U93" i="31"/>
  <c r="V93" i="31"/>
  <c r="U94" i="31"/>
  <c r="V94" i="31"/>
  <c r="U95" i="31"/>
  <c r="V95" i="31"/>
  <c r="U96" i="31"/>
  <c r="V96" i="31"/>
  <c r="U97" i="31"/>
  <c r="V97" i="31"/>
  <c r="U98" i="31"/>
  <c r="V98" i="31"/>
  <c r="U99" i="31"/>
  <c r="V99" i="31"/>
  <c r="U100" i="31"/>
  <c r="V100" i="31"/>
  <c r="U101" i="31"/>
  <c r="V101" i="31"/>
  <c r="U102" i="31"/>
  <c r="V102" i="31"/>
  <c r="U103" i="31"/>
  <c r="V103" i="31"/>
  <c r="U104" i="31"/>
  <c r="V104" i="31"/>
  <c r="U105" i="31"/>
  <c r="V105" i="31"/>
  <c r="U106" i="31"/>
  <c r="V106" i="31"/>
  <c r="U107" i="31"/>
  <c r="V107" i="31"/>
  <c r="U108" i="31"/>
  <c r="V108" i="31"/>
  <c r="U109" i="31"/>
  <c r="V109" i="31"/>
  <c r="U110" i="31"/>
  <c r="V110" i="31"/>
  <c r="U111" i="31"/>
  <c r="V111" i="31"/>
  <c r="U112" i="31"/>
  <c r="V112" i="31"/>
  <c r="U113" i="31"/>
  <c r="V113" i="31"/>
  <c r="U114" i="31"/>
  <c r="V114" i="31"/>
  <c r="U115" i="31"/>
  <c r="V115" i="31"/>
  <c r="U116" i="31"/>
  <c r="V116" i="31"/>
  <c r="U117" i="31"/>
  <c r="V117" i="31"/>
  <c r="U118" i="31"/>
  <c r="V118" i="31"/>
  <c r="U119" i="31"/>
  <c r="V119" i="31"/>
  <c r="U120" i="31"/>
  <c r="V120" i="31"/>
  <c r="U121" i="31"/>
  <c r="V121" i="31"/>
  <c r="U122" i="31"/>
  <c r="V122" i="31"/>
  <c r="U123" i="31"/>
  <c r="V123" i="31"/>
  <c r="U124" i="31"/>
  <c r="V124" i="31"/>
  <c r="U125" i="31"/>
  <c r="V125" i="31"/>
  <c r="U126" i="31"/>
  <c r="V126" i="31"/>
  <c r="U127" i="31"/>
  <c r="V127" i="31"/>
  <c r="U128" i="31"/>
  <c r="V128" i="31"/>
  <c r="U129" i="31"/>
  <c r="V129" i="31"/>
  <c r="U130" i="31"/>
  <c r="V130" i="31"/>
  <c r="U131" i="31"/>
  <c r="V131" i="31"/>
  <c r="U132" i="31"/>
  <c r="V132" i="31"/>
  <c r="U133" i="31"/>
  <c r="V133" i="31"/>
  <c r="U134" i="31"/>
  <c r="V134" i="31"/>
  <c r="U135" i="31"/>
  <c r="V135" i="31"/>
  <c r="U136" i="31"/>
  <c r="V136" i="31"/>
  <c r="U137" i="31"/>
  <c r="V137" i="31"/>
  <c r="U138" i="31"/>
  <c r="V138" i="31"/>
  <c r="U139" i="31"/>
  <c r="V139" i="31"/>
  <c r="U140" i="31"/>
  <c r="V140" i="31"/>
  <c r="U141" i="31"/>
  <c r="V141" i="31"/>
  <c r="U142" i="31"/>
  <c r="V142" i="31"/>
  <c r="U143" i="31"/>
  <c r="V143" i="31"/>
  <c r="U144" i="31"/>
  <c r="V144" i="31"/>
  <c r="U145" i="31"/>
  <c r="V145" i="31"/>
  <c r="U146" i="31"/>
  <c r="V146" i="31"/>
  <c r="U147" i="31"/>
  <c r="V147" i="31"/>
  <c r="U148" i="31"/>
  <c r="V148" i="31"/>
  <c r="U149" i="31"/>
  <c r="V149" i="31"/>
  <c r="U150" i="31"/>
  <c r="V150" i="31"/>
  <c r="U151" i="31"/>
  <c r="V151" i="31"/>
  <c r="U152" i="31"/>
  <c r="V152" i="31"/>
  <c r="U153" i="31"/>
  <c r="V153" i="31"/>
  <c r="U154" i="31"/>
  <c r="V154" i="31"/>
  <c r="U155" i="31"/>
  <c r="V155" i="31"/>
  <c r="U156" i="31"/>
  <c r="V156" i="31"/>
  <c r="U157" i="31"/>
  <c r="V157" i="31"/>
  <c r="U158" i="31"/>
  <c r="V158" i="31"/>
  <c r="U159" i="31"/>
  <c r="V159" i="31"/>
  <c r="U160" i="31"/>
  <c r="V160" i="31"/>
  <c r="U161" i="31"/>
  <c r="V161" i="31"/>
  <c r="U162" i="31"/>
  <c r="V162" i="31"/>
  <c r="U163" i="31"/>
  <c r="V163" i="31"/>
  <c r="U164" i="31"/>
  <c r="V164" i="31"/>
  <c r="U165" i="31"/>
  <c r="V165" i="31"/>
  <c r="U166" i="31"/>
  <c r="V166" i="31"/>
  <c r="U167" i="31"/>
  <c r="V167" i="31"/>
  <c r="U168" i="31"/>
  <c r="V168" i="31"/>
  <c r="U169" i="31"/>
  <c r="V169" i="31"/>
  <c r="U170" i="31"/>
  <c r="V170" i="31"/>
  <c r="U171" i="31"/>
  <c r="V171" i="31"/>
  <c r="U172" i="31"/>
  <c r="V172" i="31"/>
  <c r="U173" i="31"/>
  <c r="V173" i="31"/>
  <c r="U174" i="31"/>
  <c r="V174" i="31"/>
  <c r="U175" i="31"/>
  <c r="V175" i="31"/>
  <c r="U176" i="31"/>
  <c r="V176" i="31"/>
  <c r="U177" i="31"/>
  <c r="V177" i="31"/>
  <c r="U178" i="31"/>
  <c r="V178" i="31"/>
  <c r="U179" i="31"/>
  <c r="V179" i="31"/>
  <c r="U180" i="31"/>
  <c r="V180" i="31"/>
  <c r="U181" i="31"/>
  <c r="V181" i="31"/>
  <c r="U182" i="31"/>
  <c r="V182" i="31"/>
  <c r="U183" i="31"/>
  <c r="V183" i="31"/>
  <c r="U184" i="31"/>
  <c r="V184" i="31"/>
  <c r="U185" i="31"/>
  <c r="V185" i="31"/>
  <c r="U186" i="31"/>
  <c r="V186" i="31"/>
  <c r="U187" i="31"/>
  <c r="V187" i="31"/>
  <c r="U188" i="31"/>
  <c r="V188" i="31"/>
  <c r="U189" i="31"/>
  <c r="V189" i="31"/>
  <c r="U190" i="31"/>
  <c r="V190" i="31"/>
  <c r="U191" i="31"/>
  <c r="V191" i="31"/>
  <c r="U192" i="31"/>
  <c r="V192" i="31"/>
  <c r="U193" i="31"/>
  <c r="V193" i="31"/>
  <c r="U194" i="31"/>
  <c r="V194" i="31"/>
  <c r="U195" i="31"/>
  <c r="V195" i="31"/>
  <c r="U196" i="31"/>
  <c r="V196" i="31"/>
  <c r="U197" i="31"/>
  <c r="V197" i="31"/>
  <c r="U198" i="31"/>
  <c r="V198" i="31"/>
  <c r="U199" i="31"/>
  <c r="V199" i="31"/>
  <c r="U200" i="31"/>
  <c r="V200" i="31"/>
  <c r="U201" i="31"/>
  <c r="V201" i="31"/>
  <c r="U202" i="31"/>
  <c r="V202" i="31"/>
  <c r="U203" i="31"/>
  <c r="V203" i="31"/>
  <c r="U204" i="31"/>
  <c r="V204" i="31"/>
  <c r="U205" i="31"/>
  <c r="V205" i="31"/>
  <c r="U206" i="31"/>
  <c r="V206" i="31"/>
  <c r="U207" i="31"/>
  <c r="V207" i="31"/>
  <c r="U208" i="31"/>
  <c r="V208" i="31"/>
  <c r="U209" i="31"/>
  <c r="V209" i="31"/>
  <c r="U210" i="31"/>
  <c r="V210" i="31"/>
  <c r="U211" i="31"/>
  <c r="V211" i="31"/>
  <c r="U212" i="31"/>
  <c r="V212" i="31"/>
  <c r="U213" i="31"/>
  <c r="V213" i="31"/>
  <c r="U214" i="31"/>
  <c r="V214" i="31"/>
  <c r="U215" i="31"/>
  <c r="V215" i="31"/>
  <c r="U216" i="31"/>
  <c r="V216" i="31"/>
  <c r="U217" i="31"/>
  <c r="V217" i="31"/>
  <c r="U218" i="31"/>
  <c r="V218" i="31"/>
  <c r="U219" i="31"/>
  <c r="V219" i="31"/>
  <c r="U220" i="31"/>
  <c r="V220" i="31"/>
  <c r="U221" i="31"/>
  <c r="V221" i="31"/>
  <c r="U222" i="31"/>
  <c r="V222" i="31"/>
  <c r="U223" i="31"/>
  <c r="V223" i="31"/>
  <c r="U224" i="31"/>
  <c r="V224" i="31"/>
  <c r="U225" i="31"/>
  <c r="V225" i="31"/>
  <c r="U226" i="31"/>
  <c r="V226" i="31"/>
  <c r="U227" i="31"/>
  <c r="V227" i="31"/>
  <c r="U228" i="31"/>
  <c r="V228" i="31"/>
  <c r="U229" i="31"/>
  <c r="V229" i="31"/>
  <c r="U230" i="31"/>
  <c r="V230" i="31"/>
  <c r="U231" i="31"/>
  <c r="V231" i="31"/>
  <c r="U232" i="31"/>
  <c r="V232" i="31"/>
  <c r="U233" i="31"/>
  <c r="V233" i="31"/>
  <c r="U234" i="31"/>
  <c r="V234" i="31"/>
  <c r="U235" i="31"/>
  <c r="V235" i="31"/>
  <c r="U236" i="31"/>
  <c r="V236" i="31"/>
  <c r="U237" i="31"/>
  <c r="V237" i="31"/>
  <c r="U238" i="31"/>
  <c r="V238" i="31"/>
  <c r="U239" i="31"/>
  <c r="V239" i="31"/>
  <c r="U240" i="31"/>
  <c r="V240" i="31"/>
  <c r="U241" i="31"/>
  <c r="V241" i="31"/>
  <c r="U242" i="31"/>
  <c r="V242" i="31"/>
  <c r="U243" i="31"/>
  <c r="V243" i="31"/>
  <c r="U244" i="31"/>
  <c r="V244" i="31"/>
  <c r="U245" i="31"/>
  <c r="V245" i="31"/>
  <c r="U246" i="31"/>
  <c r="V246" i="31"/>
  <c r="U247" i="31"/>
  <c r="V247" i="31"/>
  <c r="U248" i="31"/>
  <c r="V248" i="31"/>
  <c r="U249" i="31"/>
  <c r="V249" i="31"/>
  <c r="U250" i="31"/>
  <c r="V250" i="31"/>
  <c r="U251" i="31"/>
  <c r="V251" i="31"/>
  <c r="U252" i="31"/>
  <c r="V252" i="31"/>
  <c r="U253" i="31"/>
  <c r="V253" i="31"/>
  <c r="U254" i="31"/>
  <c r="V254" i="31"/>
  <c r="U255" i="31"/>
  <c r="V255" i="31"/>
  <c r="U256" i="31"/>
  <c r="V256" i="31"/>
  <c r="U257" i="31"/>
  <c r="V257" i="31"/>
  <c r="U258" i="31"/>
  <c r="V258" i="31"/>
  <c r="U259" i="31"/>
  <c r="V259" i="31"/>
  <c r="U260" i="31"/>
  <c r="V260" i="31"/>
  <c r="U261" i="31"/>
  <c r="V261" i="31"/>
  <c r="U262" i="31"/>
  <c r="V262" i="31"/>
  <c r="U263" i="31"/>
  <c r="V263" i="31"/>
  <c r="U264" i="31"/>
  <c r="V264" i="31"/>
  <c r="U265" i="31"/>
  <c r="V265" i="31"/>
  <c r="U266" i="31"/>
  <c r="V266" i="31"/>
  <c r="U267" i="31"/>
  <c r="V267" i="31"/>
  <c r="U268" i="31"/>
  <c r="V268" i="31"/>
  <c r="U269" i="31"/>
  <c r="V269" i="31"/>
  <c r="U270" i="31"/>
  <c r="V270" i="31"/>
  <c r="U271" i="31"/>
  <c r="V271" i="31"/>
  <c r="U272" i="31"/>
  <c r="V272" i="31"/>
  <c r="U273" i="31"/>
  <c r="V273" i="31"/>
  <c r="U274" i="31"/>
  <c r="V274" i="31"/>
  <c r="U275" i="31"/>
  <c r="V275" i="31"/>
  <c r="U276" i="31"/>
  <c r="V276" i="31"/>
  <c r="U277" i="31"/>
  <c r="V277" i="31"/>
  <c r="U278" i="31"/>
  <c r="V278" i="31"/>
  <c r="U279" i="31"/>
  <c r="V279" i="31"/>
  <c r="U280" i="31"/>
  <c r="V280" i="31"/>
  <c r="U281" i="31"/>
  <c r="V281" i="31"/>
  <c r="U282" i="31"/>
  <c r="V282" i="31"/>
  <c r="U283" i="31"/>
  <c r="V283" i="31"/>
  <c r="U284" i="31"/>
  <c r="V284" i="31"/>
  <c r="U285" i="31"/>
  <c r="V285" i="31"/>
  <c r="U286" i="31"/>
  <c r="V286" i="31"/>
  <c r="U287" i="31"/>
  <c r="V287" i="31"/>
  <c r="U288" i="31"/>
  <c r="V288" i="31"/>
  <c r="U289" i="31"/>
  <c r="V289" i="31"/>
  <c r="U290" i="31"/>
  <c r="V290" i="31"/>
  <c r="U291" i="31"/>
  <c r="V291" i="31"/>
  <c r="U292" i="31"/>
  <c r="V292" i="31"/>
  <c r="U293" i="31"/>
  <c r="V293" i="31"/>
  <c r="U294" i="31"/>
  <c r="V294" i="31"/>
  <c r="U295" i="31"/>
  <c r="V295" i="31"/>
  <c r="U296" i="31"/>
  <c r="V296" i="31"/>
  <c r="U297" i="31"/>
  <c r="V297" i="31"/>
  <c r="U298" i="31"/>
  <c r="V298" i="31"/>
  <c r="U299" i="31"/>
  <c r="V299" i="31"/>
  <c r="U300" i="31"/>
  <c r="V300" i="31"/>
  <c r="U301" i="31"/>
  <c r="V301" i="31"/>
  <c r="U302" i="31"/>
  <c r="V302" i="31"/>
  <c r="U303" i="31"/>
  <c r="V303" i="31"/>
  <c r="U304" i="31"/>
  <c r="V304" i="31"/>
  <c r="U305" i="31"/>
  <c r="V305" i="31"/>
  <c r="U306" i="31"/>
  <c r="V306" i="31"/>
  <c r="U307" i="31"/>
  <c r="V307" i="31"/>
  <c r="U308" i="31"/>
  <c r="V308" i="31"/>
  <c r="U309" i="31"/>
  <c r="V309" i="31"/>
  <c r="U310" i="31"/>
  <c r="V310" i="31"/>
  <c r="U311" i="31"/>
  <c r="V311" i="31"/>
  <c r="U312" i="31"/>
  <c r="V312" i="31"/>
  <c r="U313" i="31"/>
  <c r="V313" i="31"/>
  <c r="U314" i="31"/>
  <c r="V314" i="31"/>
  <c r="U315" i="31"/>
  <c r="V315" i="31"/>
  <c r="U316" i="31"/>
  <c r="V316" i="31"/>
  <c r="U317" i="31"/>
  <c r="V317" i="31"/>
  <c r="U318" i="31"/>
  <c r="V318" i="31"/>
  <c r="U319" i="31"/>
  <c r="V319" i="31"/>
  <c r="U320" i="31"/>
  <c r="V320" i="31"/>
  <c r="U321" i="31"/>
  <c r="V321" i="31"/>
  <c r="U322" i="31"/>
  <c r="V322" i="31"/>
  <c r="U323" i="31"/>
  <c r="V323" i="31"/>
  <c r="U324" i="31"/>
  <c r="V324" i="31"/>
  <c r="U325" i="31"/>
  <c r="V325" i="31"/>
  <c r="U326" i="31"/>
  <c r="V326" i="31"/>
  <c r="U327" i="31"/>
  <c r="V327" i="31"/>
  <c r="U328" i="31"/>
  <c r="V328" i="31"/>
  <c r="U329" i="31"/>
  <c r="V329" i="31"/>
  <c r="U330" i="31"/>
  <c r="V330" i="31"/>
  <c r="U331" i="31"/>
  <c r="V331" i="31"/>
  <c r="U332" i="31"/>
  <c r="V332" i="31"/>
  <c r="U333" i="31"/>
  <c r="V333" i="31"/>
  <c r="U334" i="31"/>
  <c r="V334" i="31"/>
  <c r="U335" i="31"/>
  <c r="V335" i="31"/>
  <c r="U336" i="31"/>
  <c r="V336" i="31"/>
  <c r="U337" i="31"/>
  <c r="V337" i="31"/>
  <c r="U338" i="31"/>
  <c r="V338" i="31"/>
  <c r="U339" i="31"/>
  <c r="V339" i="31"/>
  <c r="U340" i="31"/>
  <c r="V340" i="31"/>
  <c r="U341" i="31"/>
  <c r="V341" i="31"/>
  <c r="U342" i="31"/>
  <c r="V342" i="31"/>
  <c r="U343" i="31"/>
  <c r="V343" i="31"/>
  <c r="U344" i="31"/>
  <c r="V344" i="31"/>
  <c r="U345" i="31"/>
  <c r="V345" i="31"/>
  <c r="U346" i="31"/>
  <c r="V346" i="31"/>
  <c r="U347" i="31"/>
  <c r="V347" i="31"/>
  <c r="U348" i="31"/>
  <c r="V348" i="31"/>
  <c r="U349" i="31"/>
  <c r="V349" i="31"/>
  <c r="U350" i="31"/>
  <c r="V350" i="31"/>
  <c r="U351" i="31"/>
  <c r="V351" i="31"/>
  <c r="U352" i="31"/>
  <c r="V352" i="31"/>
  <c r="U353" i="31"/>
  <c r="V353" i="31"/>
  <c r="U354" i="31"/>
  <c r="V354" i="31"/>
  <c r="U355" i="31"/>
  <c r="V355" i="31"/>
  <c r="U356" i="31"/>
  <c r="V356" i="31"/>
  <c r="U357" i="31"/>
  <c r="V357" i="31"/>
  <c r="U358" i="31"/>
  <c r="V358" i="31"/>
  <c r="U359" i="31"/>
  <c r="V359" i="31"/>
  <c r="U360" i="31"/>
  <c r="V360" i="31"/>
  <c r="U361" i="31"/>
  <c r="V361" i="31"/>
  <c r="U362" i="31"/>
  <c r="V362" i="31"/>
  <c r="U363" i="31"/>
  <c r="V363" i="31"/>
  <c r="U364" i="31"/>
  <c r="V364" i="31"/>
  <c r="U365" i="31"/>
  <c r="V365" i="31"/>
  <c r="U366" i="31"/>
  <c r="V366" i="31"/>
  <c r="U367" i="31"/>
  <c r="V367" i="31"/>
  <c r="U368" i="31"/>
  <c r="V368" i="31"/>
  <c r="U369" i="31"/>
  <c r="V369" i="31"/>
  <c r="U370" i="31"/>
  <c r="V370" i="31"/>
  <c r="U371" i="31"/>
  <c r="V371" i="31"/>
  <c r="U372" i="31"/>
  <c r="V372" i="31"/>
  <c r="U373" i="31"/>
  <c r="V373" i="31"/>
  <c r="U374" i="31"/>
  <c r="V374" i="31"/>
  <c r="U375" i="31"/>
  <c r="V375" i="31"/>
  <c r="U376" i="31"/>
  <c r="V376" i="31"/>
  <c r="U377" i="31"/>
  <c r="V377" i="31"/>
  <c r="U378" i="31"/>
  <c r="V378" i="31"/>
  <c r="U379" i="31"/>
  <c r="V379" i="31"/>
  <c r="U380" i="31"/>
  <c r="V380" i="31"/>
  <c r="U381" i="31"/>
  <c r="V381" i="31"/>
  <c r="U382" i="31"/>
  <c r="V382" i="31"/>
  <c r="U383" i="31"/>
  <c r="V383" i="31"/>
  <c r="U384" i="31"/>
  <c r="V384" i="31"/>
  <c r="U385" i="31"/>
  <c r="V385" i="31"/>
  <c r="U386" i="31"/>
  <c r="V386" i="31"/>
  <c r="U387" i="31"/>
  <c r="V387" i="31"/>
  <c r="U388" i="31"/>
  <c r="V388" i="31"/>
  <c r="U389" i="31"/>
  <c r="V389" i="31"/>
  <c r="U390" i="31"/>
  <c r="V390" i="31"/>
  <c r="U391" i="31"/>
  <c r="V391" i="31"/>
  <c r="U392" i="31"/>
  <c r="V392" i="31"/>
  <c r="U393" i="31"/>
  <c r="V393" i="31"/>
  <c r="U394" i="31"/>
  <c r="V394" i="31"/>
  <c r="U395" i="31"/>
  <c r="V395" i="31"/>
  <c r="U396" i="31"/>
  <c r="V396" i="31"/>
  <c r="U397" i="31"/>
  <c r="V397" i="31"/>
  <c r="U398" i="31"/>
  <c r="V398" i="31"/>
  <c r="U399" i="31"/>
  <c r="V399" i="31"/>
  <c r="U400" i="31"/>
  <c r="V400" i="31"/>
  <c r="U401" i="31"/>
  <c r="V401" i="31"/>
  <c r="U402" i="31"/>
  <c r="V402" i="31"/>
  <c r="U403" i="31"/>
  <c r="V403" i="31"/>
  <c r="U404" i="31"/>
  <c r="V404" i="31"/>
  <c r="U405" i="31"/>
  <c r="V405" i="31"/>
  <c r="U406" i="31"/>
  <c r="V406" i="31"/>
  <c r="U407" i="31"/>
  <c r="V407" i="31"/>
  <c r="U408" i="31"/>
  <c r="V408" i="31"/>
  <c r="U409" i="31"/>
  <c r="V409" i="31"/>
  <c r="U410" i="31"/>
  <c r="V410" i="31"/>
  <c r="U411" i="31"/>
  <c r="V411" i="31"/>
  <c r="U412" i="31"/>
  <c r="V412" i="31"/>
  <c r="U413" i="31"/>
  <c r="V413" i="31"/>
  <c r="U414" i="31"/>
  <c r="V414" i="31"/>
  <c r="U415" i="31"/>
  <c r="V415" i="31"/>
  <c r="U416" i="31"/>
  <c r="V416" i="31"/>
  <c r="U417" i="31"/>
  <c r="V417" i="31"/>
  <c r="U418" i="31"/>
  <c r="V418" i="31"/>
  <c r="U419" i="31"/>
  <c r="V419" i="31"/>
  <c r="U420" i="31"/>
  <c r="V420" i="31"/>
  <c r="U421" i="31"/>
  <c r="V421" i="31"/>
  <c r="U422" i="31"/>
  <c r="V422" i="31"/>
  <c r="U423" i="31"/>
  <c r="V423" i="31"/>
  <c r="U424" i="31"/>
  <c r="V424" i="31"/>
  <c r="U425" i="31"/>
  <c r="V425" i="31"/>
  <c r="U426" i="31"/>
  <c r="V426" i="31"/>
  <c r="U427" i="31"/>
  <c r="V427" i="31"/>
  <c r="U428" i="31"/>
  <c r="V428" i="31"/>
  <c r="U429" i="31"/>
  <c r="V429" i="31"/>
  <c r="U430" i="31"/>
  <c r="V430" i="31"/>
  <c r="U431" i="31"/>
  <c r="V431" i="31"/>
  <c r="U432" i="31"/>
  <c r="V432" i="31"/>
  <c r="U433" i="31"/>
  <c r="V433" i="31"/>
  <c r="U434" i="31"/>
  <c r="V434" i="31"/>
  <c r="U435" i="31"/>
  <c r="V435" i="31"/>
  <c r="U436" i="31"/>
  <c r="V436" i="31"/>
  <c r="U437" i="31"/>
  <c r="V437" i="31"/>
  <c r="U438" i="31"/>
  <c r="V438" i="31"/>
  <c r="U439" i="31"/>
  <c r="V439" i="31"/>
  <c r="U440" i="31"/>
  <c r="V440" i="31"/>
  <c r="U441" i="31"/>
  <c r="V441" i="31"/>
  <c r="U442" i="31"/>
  <c r="V442" i="31"/>
  <c r="U443" i="31"/>
  <c r="V443" i="31"/>
  <c r="U444" i="31"/>
  <c r="V444" i="31"/>
  <c r="U445" i="31"/>
  <c r="V445" i="31"/>
  <c r="U446" i="31"/>
  <c r="V446" i="31"/>
  <c r="U447" i="31"/>
  <c r="V447" i="31"/>
  <c r="U448" i="31"/>
  <c r="V448" i="31"/>
  <c r="U449" i="31"/>
  <c r="V449" i="31"/>
  <c r="U450" i="31"/>
  <c r="V450" i="31"/>
  <c r="U451" i="31"/>
  <c r="V451" i="31"/>
  <c r="U452" i="31"/>
  <c r="V452" i="31"/>
  <c r="U453" i="31"/>
  <c r="V453" i="31"/>
  <c r="U454" i="31"/>
  <c r="V454" i="31"/>
  <c r="U455" i="31"/>
  <c r="V455" i="31"/>
  <c r="U456" i="31"/>
  <c r="V456" i="31"/>
  <c r="U457" i="31"/>
  <c r="V457" i="31"/>
  <c r="U458" i="31"/>
  <c r="V458" i="31"/>
  <c r="U459" i="31"/>
  <c r="V459" i="31"/>
  <c r="U460" i="31"/>
  <c r="V460" i="31"/>
  <c r="U461" i="31"/>
  <c r="V461" i="31"/>
  <c r="U462" i="31"/>
  <c r="V462" i="31"/>
  <c r="U463" i="31"/>
  <c r="V463" i="31"/>
  <c r="U464" i="31"/>
  <c r="V464" i="31"/>
  <c r="U465" i="31"/>
  <c r="V465" i="31"/>
  <c r="U466" i="31"/>
  <c r="V466" i="31"/>
  <c r="U467" i="31"/>
  <c r="V467" i="31"/>
  <c r="U468" i="31"/>
  <c r="V468" i="31"/>
  <c r="U469" i="31"/>
  <c r="V469" i="31"/>
  <c r="U470" i="31"/>
  <c r="V470" i="31"/>
  <c r="U471" i="31"/>
  <c r="V471" i="31"/>
  <c r="U472" i="31"/>
  <c r="V472" i="31"/>
  <c r="U473" i="31"/>
  <c r="V473" i="31"/>
  <c r="U474" i="31"/>
  <c r="V474" i="31"/>
  <c r="U475" i="31"/>
  <c r="V475" i="31"/>
  <c r="U476" i="31"/>
  <c r="V476" i="31"/>
  <c r="U477" i="31"/>
  <c r="V477" i="31"/>
  <c r="U478" i="31"/>
  <c r="V478" i="31"/>
  <c r="U479" i="31"/>
  <c r="V479" i="31"/>
  <c r="U480" i="31"/>
  <c r="V480" i="31"/>
  <c r="U481" i="31"/>
  <c r="V481" i="31"/>
  <c r="U482" i="31"/>
  <c r="V482" i="31"/>
  <c r="U483" i="31"/>
  <c r="V483" i="31"/>
  <c r="U484" i="31"/>
  <c r="V484" i="31"/>
  <c r="U485" i="31"/>
  <c r="V485" i="31"/>
  <c r="U486" i="31"/>
  <c r="V486" i="31"/>
  <c r="U487" i="31"/>
  <c r="V487" i="31"/>
  <c r="U488" i="31"/>
  <c r="V488" i="31"/>
  <c r="U489" i="31"/>
  <c r="V489" i="31"/>
  <c r="U490" i="31"/>
  <c r="V490" i="31"/>
  <c r="U491" i="31"/>
  <c r="V491" i="31"/>
  <c r="U492" i="31"/>
  <c r="V492" i="31"/>
  <c r="U493" i="31"/>
  <c r="V493" i="31"/>
  <c r="U494" i="31"/>
  <c r="V494" i="31"/>
  <c r="U495" i="31"/>
  <c r="V495" i="31"/>
  <c r="U496" i="31"/>
  <c r="V496" i="31"/>
  <c r="U497" i="31"/>
  <c r="V497" i="31"/>
  <c r="U498" i="31"/>
  <c r="V498" i="31"/>
  <c r="U499" i="31"/>
  <c r="V499" i="31"/>
  <c r="U500" i="31"/>
  <c r="V500" i="31"/>
  <c r="U501" i="31"/>
  <c r="V501" i="31"/>
  <c r="U502" i="31"/>
  <c r="V502" i="31"/>
  <c r="U503" i="31"/>
  <c r="V503" i="31"/>
  <c r="U504" i="31"/>
  <c r="V504" i="31"/>
  <c r="U505" i="31"/>
  <c r="V505" i="31"/>
  <c r="U506" i="31"/>
  <c r="V506" i="31"/>
  <c r="U507" i="31"/>
  <c r="V507" i="31"/>
  <c r="U508" i="31"/>
  <c r="V508" i="31"/>
  <c r="U509" i="31"/>
  <c r="V509" i="31"/>
  <c r="U510" i="31"/>
  <c r="V510" i="31"/>
  <c r="U511" i="31"/>
  <c r="V511" i="31"/>
  <c r="U512" i="31"/>
  <c r="V512" i="31"/>
  <c r="U513" i="31"/>
  <c r="V513" i="31"/>
  <c r="U514" i="31"/>
  <c r="V514" i="31"/>
  <c r="U515" i="31"/>
  <c r="V515" i="31"/>
  <c r="U516" i="31"/>
  <c r="V516" i="31"/>
  <c r="U517" i="31"/>
  <c r="V517" i="31"/>
  <c r="U518" i="31"/>
  <c r="V518" i="31"/>
  <c r="U519" i="31"/>
  <c r="V519" i="31"/>
  <c r="U520" i="31"/>
  <c r="V520" i="31"/>
  <c r="U521" i="31"/>
  <c r="V521" i="31"/>
  <c r="U522" i="31"/>
  <c r="V522" i="31"/>
  <c r="U523" i="31"/>
  <c r="V523" i="31"/>
  <c r="U524" i="31"/>
  <c r="V524" i="31"/>
  <c r="U525" i="31"/>
  <c r="V525" i="31"/>
  <c r="U526" i="31"/>
  <c r="V526" i="31"/>
  <c r="U527" i="31"/>
  <c r="V527" i="31"/>
  <c r="D34" i="57"/>
  <c r="D37" i="57" s="1"/>
  <c r="Y27" i="31"/>
  <c r="U27" i="31"/>
  <c r="U25" i="31" s="1"/>
  <c r="D115" i="57"/>
  <c r="D114" i="57"/>
  <c r="D113" i="57"/>
  <c r="I110" i="57"/>
  <c r="I109" i="57"/>
  <c r="I107" i="57"/>
  <c r="D127" i="57" s="1"/>
  <c r="D102" i="57"/>
  <c r="C102" i="57"/>
  <c r="C93" i="57"/>
  <c r="E92" i="57"/>
  <c r="D91" i="57"/>
  <c r="C91" i="57" s="1"/>
  <c r="C89" i="57" s="1"/>
  <c r="H79" i="57"/>
  <c r="D79" i="57"/>
  <c r="P57" i="57"/>
  <c r="O57" i="57"/>
  <c r="F58" i="57"/>
  <c r="P56" i="57" s="1"/>
  <c r="L57" i="57"/>
  <c r="I57" i="57"/>
  <c r="F57" i="57" s="1"/>
  <c r="P55" i="57" s="1"/>
  <c r="O56" i="57"/>
  <c r="O55" i="57"/>
  <c r="E50" i="57"/>
  <c r="O54" i="57"/>
  <c r="D27" i="57"/>
  <c r="C24" i="57"/>
  <c r="H19" i="57"/>
  <c r="D17" i="57"/>
  <c r="C17" i="57"/>
  <c r="M4" i="57"/>
  <c r="L4" i="57"/>
  <c r="B32" i="9"/>
  <c r="C23" i="31"/>
  <c r="C2" i="36"/>
  <c r="F2" i="36" s="1"/>
  <c r="C2" i="35"/>
  <c r="C2" i="37"/>
  <c r="F2" i="37" s="1"/>
  <c r="C2" i="34"/>
  <c r="C2" i="33"/>
  <c r="C2" i="21"/>
  <c r="C2" i="15"/>
  <c r="P73" i="15" s="1"/>
  <c r="H19" i="9"/>
  <c r="C108" i="9" s="1"/>
  <c r="C91" i="9"/>
  <c r="I30" i="31"/>
  <c r="C145" i="21"/>
  <c r="K139" i="21" s="1"/>
  <c r="J142" i="21"/>
  <c r="J140" i="21"/>
  <c r="E87" i="21"/>
  <c r="F87" i="21"/>
  <c r="G87" i="21"/>
  <c r="H87" i="21"/>
  <c r="I87" i="21"/>
  <c r="J87" i="21"/>
  <c r="K87" i="21"/>
  <c r="L87" i="21"/>
  <c r="M87" i="21"/>
  <c r="D87" i="21"/>
  <c r="R30" i="31"/>
  <c r="T30" i="31" s="1"/>
  <c r="R31" i="31"/>
  <c r="T31" i="31" s="1"/>
  <c r="R32" i="31"/>
  <c r="R33" i="31"/>
  <c r="T33" i="31" s="1"/>
  <c r="R34" i="31"/>
  <c r="T34" i="31" s="1"/>
  <c r="R35" i="31"/>
  <c r="T35" i="31" s="1"/>
  <c r="R36" i="31"/>
  <c r="T36" i="31" s="1"/>
  <c r="R37" i="31"/>
  <c r="R38" i="31"/>
  <c r="T38" i="31" s="1"/>
  <c r="R39" i="31"/>
  <c r="T39" i="31" s="1"/>
  <c r="R40" i="31"/>
  <c r="T40" i="31" s="1"/>
  <c r="R41" i="31"/>
  <c r="R42" i="31"/>
  <c r="T42" i="31" s="1"/>
  <c r="R43" i="31"/>
  <c r="T43" i="31" s="1"/>
  <c r="R44" i="31"/>
  <c r="T44" i="31" s="1"/>
  <c r="R45" i="31"/>
  <c r="R46" i="31"/>
  <c r="T46" i="31" s="1"/>
  <c r="R47" i="31"/>
  <c r="T47" i="31" s="1"/>
  <c r="R48" i="31"/>
  <c r="T48" i="31" s="1"/>
  <c r="R49" i="31"/>
  <c r="R50" i="31"/>
  <c r="T50" i="31" s="1"/>
  <c r="R51" i="31"/>
  <c r="T51" i="31" s="1"/>
  <c r="R52" i="31"/>
  <c r="T52" i="31" s="1"/>
  <c r="R53" i="31"/>
  <c r="R54" i="31"/>
  <c r="T54" i="31" s="1"/>
  <c r="R55" i="31"/>
  <c r="T55" i="31" s="1"/>
  <c r="R56" i="31"/>
  <c r="T56" i="31" s="1"/>
  <c r="R57" i="31"/>
  <c r="R58" i="31"/>
  <c r="R59" i="31"/>
  <c r="R60" i="31"/>
  <c r="T60" i="31" s="1"/>
  <c r="R61" i="31"/>
  <c r="R62" i="31"/>
  <c r="R63" i="31"/>
  <c r="R64" i="31"/>
  <c r="T64" i="31" s="1"/>
  <c r="R65" i="31"/>
  <c r="R66" i="31"/>
  <c r="R67" i="31"/>
  <c r="R68" i="31"/>
  <c r="T68" i="31" s="1"/>
  <c r="R69" i="31"/>
  <c r="R70" i="31"/>
  <c r="R71" i="31"/>
  <c r="R72" i="31"/>
  <c r="T72" i="31" s="1"/>
  <c r="R73" i="31"/>
  <c r="R74" i="31"/>
  <c r="R75" i="31"/>
  <c r="R76" i="31"/>
  <c r="T76" i="31" s="1"/>
  <c r="R77" i="31"/>
  <c r="T77" i="31" s="1"/>
  <c r="R78" i="31"/>
  <c r="T78" i="31" s="1"/>
  <c r="R79" i="31"/>
  <c r="R80" i="31"/>
  <c r="T80" i="31" s="1"/>
  <c r="R81" i="31"/>
  <c r="T81" i="31" s="1"/>
  <c r="R82" i="31"/>
  <c r="R83" i="31"/>
  <c r="T83" i="31" s="1"/>
  <c r="R84" i="31"/>
  <c r="T84" i="31" s="1"/>
  <c r="R85" i="31"/>
  <c r="T85" i="31" s="1"/>
  <c r="R86" i="31"/>
  <c r="R87" i="31"/>
  <c r="T87" i="31" s="1"/>
  <c r="R88" i="31"/>
  <c r="T88" i="31" s="1"/>
  <c r="R89" i="31"/>
  <c r="T89" i="31" s="1"/>
  <c r="R90" i="31"/>
  <c r="R91" i="31"/>
  <c r="T91" i="31" s="1"/>
  <c r="R92" i="31"/>
  <c r="T92" i="31" s="1"/>
  <c r="R93" i="31"/>
  <c r="T93" i="31" s="1"/>
  <c r="R94" i="31"/>
  <c r="R95" i="31"/>
  <c r="T95" i="31" s="1"/>
  <c r="R96" i="31"/>
  <c r="T96" i="31" s="1"/>
  <c r="R97" i="31"/>
  <c r="T97" i="31" s="1"/>
  <c r="R98" i="31"/>
  <c r="R99" i="31"/>
  <c r="T99" i="31" s="1"/>
  <c r="R100" i="31"/>
  <c r="T100" i="31" s="1"/>
  <c r="R101" i="31"/>
  <c r="T101" i="31" s="1"/>
  <c r="R102" i="31"/>
  <c r="T102" i="31" s="1"/>
  <c r="R103" i="31"/>
  <c r="T103" i="31" s="1"/>
  <c r="R104" i="31"/>
  <c r="R105" i="31"/>
  <c r="T105" i="31" s="1"/>
  <c r="R106" i="31"/>
  <c r="T106" i="31" s="1"/>
  <c r="R107" i="31"/>
  <c r="T107" i="31" s="1"/>
  <c r="R108" i="31"/>
  <c r="R109" i="31"/>
  <c r="T109" i="31" s="1"/>
  <c r="R110" i="31"/>
  <c r="T110" i="31" s="1"/>
  <c r="R111" i="31"/>
  <c r="T111" i="31" s="1"/>
  <c r="R112" i="31"/>
  <c r="R113" i="31"/>
  <c r="T113" i="31" s="1"/>
  <c r="R114" i="31"/>
  <c r="T114" i="31" s="1"/>
  <c r="R115" i="31"/>
  <c r="T115" i="31" s="1"/>
  <c r="R116" i="31"/>
  <c r="T116" i="31" s="1"/>
  <c r="R117" i="31"/>
  <c r="T117" i="31" s="1"/>
  <c r="R118" i="31"/>
  <c r="R119" i="31"/>
  <c r="T119" i="31" s="1"/>
  <c r="R120" i="31"/>
  <c r="T120" i="31" s="1"/>
  <c r="R121" i="31"/>
  <c r="T121" i="31" s="1"/>
  <c r="R122" i="31"/>
  <c r="R123" i="31"/>
  <c r="T123" i="31" s="1"/>
  <c r="R124" i="31"/>
  <c r="T124" i="31" s="1"/>
  <c r="R125" i="31"/>
  <c r="T125" i="31" s="1"/>
  <c r="R126" i="31"/>
  <c r="T126" i="31" s="1"/>
  <c r="R127" i="31"/>
  <c r="T127" i="31" s="1"/>
  <c r="R128" i="31"/>
  <c r="R129" i="31"/>
  <c r="T129" i="31" s="1"/>
  <c r="R130" i="31"/>
  <c r="T130" i="31" s="1"/>
  <c r="R131" i="31"/>
  <c r="T131" i="31" s="1"/>
  <c r="R132" i="31"/>
  <c r="R133" i="31"/>
  <c r="T133" i="31" s="1"/>
  <c r="R134" i="31"/>
  <c r="T134" i="31" s="1"/>
  <c r="R135" i="31"/>
  <c r="T135" i="31" s="1"/>
  <c r="R136" i="31"/>
  <c r="R137" i="31"/>
  <c r="T137" i="31" s="1"/>
  <c r="R138" i="31"/>
  <c r="T138" i="31" s="1"/>
  <c r="R139" i="31"/>
  <c r="T139" i="31" s="1"/>
  <c r="R140" i="31"/>
  <c r="R141" i="31"/>
  <c r="T141" i="31" s="1"/>
  <c r="R142" i="31"/>
  <c r="T142" i="31" s="1"/>
  <c r="R143" i="31"/>
  <c r="T143" i="31" s="1"/>
  <c r="R144" i="31"/>
  <c r="R145" i="31"/>
  <c r="T145" i="31" s="1"/>
  <c r="R146" i="31"/>
  <c r="T146" i="31" s="1"/>
  <c r="R147" i="31"/>
  <c r="T147" i="31" s="1"/>
  <c r="R148" i="31"/>
  <c r="R149" i="31"/>
  <c r="T149" i="31" s="1"/>
  <c r="R150" i="31"/>
  <c r="T150" i="31" s="1"/>
  <c r="R151" i="31"/>
  <c r="T151" i="31" s="1"/>
  <c r="R152" i="31"/>
  <c r="R153" i="31"/>
  <c r="T153" i="31" s="1"/>
  <c r="R154" i="31"/>
  <c r="T154" i="31" s="1"/>
  <c r="R155" i="31"/>
  <c r="T155" i="31" s="1"/>
  <c r="R156" i="31"/>
  <c r="R157" i="31"/>
  <c r="T157" i="31" s="1"/>
  <c r="R158" i="31"/>
  <c r="T158" i="31" s="1"/>
  <c r="R159" i="31"/>
  <c r="T159" i="31" s="1"/>
  <c r="R160" i="31"/>
  <c r="R161" i="31"/>
  <c r="T161" i="31" s="1"/>
  <c r="R162" i="31"/>
  <c r="T162" i="31" s="1"/>
  <c r="R163" i="31"/>
  <c r="T163" i="31" s="1"/>
  <c r="R164" i="31"/>
  <c r="R165" i="31"/>
  <c r="T165" i="31" s="1"/>
  <c r="R166" i="31"/>
  <c r="T166" i="31" s="1"/>
  <c r="R167" i="31"/>
  <c r="T167" i="31" s="1"/>
  <c r="R168" i="31"/>
  <c r="R169" i="31"/>
  <c r="T169" i="31" s="1"/>
  <c r="R170" i="31"/>
  <c r="T170" i="31" s="1"/>
  <c r="R171" i="31"/>
  <c r="T171" i="31" s="1"/>
  <c r="R172" i="31"/>
  <c r="R173" i="31"/>
  <c r="T173" i="31" s="1"/>
  <c r="R174" i="31"/>
  <c r="T174" i="31" s="1"/>
  <c r="R175" i="31"/>
  <c r="T175" i="31" s="1"/>
  <c r="R176" i="31"/>
  <c r="R177" i="31"/>
  <c r="T177" i="31" s="1"/>
  <c r="R178" i="31"/>
  <c r="T178" i="31" s="1"/>
  <c r="R179" i="31"/>
  <c r="T179" i="31" s="1"/>
  <c r="R180" i="31"/>
  <c r="R181" i="31"/>
  <c r="T181" i="31" s="1"/>
  <c r="R182" i="31"/>
  <c r="T182" i="31" s="1"/>
  <c r="R183" i="31"/>
  <c r="T183" i="31" s="1"/>
  <c r="R184" i="31"/>
  <c r="R185" i="31"/>
  <c r="T185" i="31" s="1"/>
  <c r="R186" i="31"/>
  <c r="T186" i="31" s="1"/>
  <c r="R187" i="31"/>
  <c r="T187" i="31" s="1"/>
  <c r="R188" i="31"/>
  <c r="R189" i="31"/>
  <c r="T189" i="31" s="1"/>
  <c r="R190" i="31"/>
  <c r="T190" i="31" s="1"/>
  <c r="R191" i="31"/>
  <c r="T191" i="31" s="1"/>
  <c r="R192" i="31"/>
  <c r="R193" i="31"/>
  <c r="T193" i="31" s="1"/>
  <c r="R194" i="31"/>
  <c r="T194" i="31" s="1"/>
  <c r="R195" i="31"/>
  <c r="T195" i="31" s="1"/>
  <c r="R196" i="31"/>
  <c r="R197" i="31"/>
  <c r="T197" i="31" s="1"/>
  <c r="R198" i="31"/>
  <c r="T198" i="31" s="1"/>
  <c r="R199" i="31"/>
  <c r="T199" i="31" s="1"/>
  <c r="R200" i="31"/>
  <c r="R201" i="31"/>
  <c r="T201" i="31" s="1"/>
  <c r="R202" i="31"/>
  <c r="T202" i="31" s="1"/>
  <c r="R203" i="31"/>
  <c r="T203" i="31" s="1"/>
  <c r="R204" i="31"/>
  <c r="R205" i="31"/>
  <c r="T205" i="31" s="1"/>
  <c r="R206" i="31"/>
  <c r="T206" i="31" s="1"/>
  <c r="R207" i="31"/>
  <c r="T207" i="31" s="1"/>
  <c r="R208" i="31"/>
  <c r="R209" i="31"/>
  <c r="T209" i="31" s="1"/>
  <c r="R210" i="31"/>
  <c r="T210" i="31" s="1"/>
  <c r="R211" i="31"/>
  <c r="T211" i="31" s="1"/>
  <c r="R212" i="31"/>
  <c r="R213" i="31"/>
  <c r="T213" i="31" s="1"/>
  <c r="R214" i="31"/>
  <c r="T214" i="31" s="1"/>
  <c r="R215" i="31"/>
  <c r="T215" i="31" s="1"/>
  <c r="R216" i="31"/>
  <c r="R217" i="31"/>
  <c r="T217" i="31" s="1"/>
  <c r="R218" i="31"/>
  <c r="T218" i="31" s="1"/>
  <c r="R219" i="31"/>
  <c r="T219" i="31" s="1"/>
  <c r="R220" i="31"/>
  <c r="R221" i="31"/>
  <c r="T221" i="31" s="1"/>
  <c r="R222" i="31"/>
  <c r="T222" i="31" s="1"/>
  <c r="R223" i="31"/>
  <c r="T223" i="31" s="1"/>
  <c r="R224" i="31"/>
  <c r="R225" i="31"/>
  <c r="T225" i="31" s="1"/>
  <c r="R226" i="31"/>
  <c r="T226" i="31" s="1"/>
  <c r="R227" i="31"/>
  <c r="T227" i="31" s="1"/>
  <c r="R228" i="31"/>
  <c r="T228" i="31" s="1"/>
  <c r="R229" i="31"/>
  <c r="T229" i="31" s="1"/>
  <c r="R230" i="31"/>
  <c r="T230" i="31" s="1"/>
  <c r="R231" i="31"/>
  <c r="T231" i="31" s="1"/>
  <c r="R232" i="31"/>
  <c r="T232" i="31" s="1"/>
  <c r="R233" i="31"/>
  <c r="T233" i="31" s="1"/>
  <c r="R234" i="31"/>
  <c r="T234" i="31" s="1"/>
  <c r="R235" i="31"/>
  <c r="T235" i="31" s="1"/>
  <c r="R236" i="31"/>
  <c r="T236" i="31" s="1"/>
  <c r="R237" i="31"/>
  <c r="T237" i="31" s="1"/>
  <c r="R238" i="31"/>
  <c r="T238" i="31" s="1"/>
  <c r="R239" i="31"/>
  <c r="T239" i="31" s="1"/>
  <c r="R240" i="31"/>
  <c r="T240" i="31" s="1"/>
  <c r="R241" i="31"/>
  <c r="T241" i="31" s="1"/>
  <c r="R242" i="31"/>
  <c r="T242" i="31" s="1"/>
  <c r="R243" i="31"/>
  <c r="T243" i="31" s="1"/>
  <c r="R244" i="31"/>
  <c r="T244" i="31" s="1"/>
  <c r="R245" i="31"/>
  <c r="T245" i="31" s="1"/>
  <c r="R246" i="31"/>
  <c r="T246" i="31" s="1"/>
  <c r="R247" i="31"/>
  <c r="T247" i="31" s="1"/>
  <c r="R248" i="31"/>
  <c r="T248" i="31" s="1"/>
  <c r="R249" i="31"/>
  <c r="T249" i="31" s="1"/>
  <c r="R250" i="31"/>
  <c r="T250" i="31" s="1"/>
  <c r="R251" i="31"/>
  <c r="T251" i="31" s="1"/>
  <c r="R252" i="31"/>
  <c r="T252" i="31" s="1"/>
  <c r="R253" i="31"/>
  <c r="T253" i="31" s="1"/>
  <c r="R254" i="31"/>
  <c r="T254" i="31" s="1"/>
  <c r="R255" i="31"/>
  <c r="T255" i="31" s="1"/>
  <c r="R256" i="31"/>
  <c r="T256" i="31" s="1"/>
  <c r="R257" i="31"/>
  <c r="T257" i="31" s="1"/>
  <c r="R258" i="31"/>
  <c r="T258" i="31" s="1"/>
  <c r="R259" i="31"/>
  <c r="S259" i="31" s="1"/>
  <c r="R260" i="31"/>
  <c r="R261" i="31"/>
  <c r="S261" i="31" s="1"/>
  <c r="R262" i="31"/>
  <c r="T262" i="31" s="1"/>
  <c r="R263" i="31"/>
  <c r="S263" i="31" s="1"/>
  <c r="R264" i="31"/>
  <c r="T264" i="31" s="1"/>
  <c r="R265" i="31"/>
  <c r="S265" i="31" s="1"/>
  <c r="R266" i="31"/>
  <c r="R267" i="31"/>
  <c r="S267" i="31" s="1"/>
  <c r="R268" i="31"/>
  <c r="T268" i="31" s="1"/>
  <c r="R269" i="31"/>
  <c r="S269" i="31" s="1"/>
  <c r="R270" i="31"/>
  <c r="S270" i="31" s="1"/>
  <c r="R271" i="31"/>
  <c r="S271" i="31" s="1"/>
  <c r="R272" i="31"/>
  <c r="R273" i="31"/>
  <c r="S273" i="31" s="1"/>
  <c r="R274" i="31"/>
  <c r="T274" i="31" s="1"/>
  <c r="R275" i="31"/>
  <c r="S275" i="31" s="1"/>
  <c r="R276" i="31"/>
  <c r="R277" i="31"/>
  <c r="S277" i="31" s="1"/>
  <c r="R278" i="31"/>
  <c r="T278" i="31" s="1"/>
  <c r="R279" i="31"/>
  <c r="S279" i="31" s="1"/>
  <c r="R280" i="31"/>
  <c r="T280" i="31" s="1"/>
  <c r="R281" i="31"/>
  <c r="S281" i="31" s="1"/>
  <c r="R282" i="31"/>
  <c r="R283" i="31"/>
  <c r="S283" i="31" s="1"/>
  <c r="R284" i="31"/>
  <c r="T284" i="31" s="1"/>
  <c r="R285" i="31"/>
  <c r="S285" i="31" s="1"/>
  <c r="R286" i="31"/>
  <c r="S286" i="31" s="1"/>
  <c r="R287" i="31"/>
  <c r="S287" i="31" s="1"/>
  <c r="R288" i="31"/>
  <c r="R289" i="31"/>
  <c r="S289" i="31" s="1"/>
  <c r="R290" i="31"/>
  <c r="T290" i="31" s="1"/>
  <c r="R291" i="31"/>
  <c r="S291" i="31" s="1"/>
  <c r="R292" i="31"/>
  <c r="R293" i="31"/>
  <c r="S293" i="31" s="1"/>
  <c r="R294" i="31"/>
  <c r="T294" i="31" s="1"/>
  <c r="R295" i="31"/>
  <c r="S295" i="31" s="1"/>
  <c r="R296" i="31"/>
  <c r="T296" i="31" s="1"/>
  <c r="R297" i="31"/>
  <c r="S297" i="31" s="1"/>
  <c r="R298" i="31"/>
  <c r="R299" i="31"/>
  <c r="S299" i="31" s="1"/>
  <c r="R300" i="31"/>
  <c r="T300" i="31" s="1"/>
  <c r="R301" i="31"/>
  <c r="S301" i="31" s="1"/>
  <c r="R302" i="31"/>
  <c r="S302" i="31" s="1"/>
  <c r="R303" i="31"/>
  <c r="S303" i="31" s="1"/>
  <c r="R304" i="31"/>
  <c r="R305" i="31"/>
  <c r="S305" i="31" s="1"/>
  <c r="R306" i="31"/>
  <c r="T306" i="31" s="1"/>
  <c r="R307" i="31"/>
  <c r="S307" i="31" s="1"/>
  <c r="R308" i="31"/>
  <c r="R309" i="31"/>
  <c r="S309" i="31" s="1"/>
  <c r="R310" i="31"/>
  <c r="T310" i="31" s="1"/>
  <c r="R311" i="31"/>
  <c r="S311" i="31" s="1"/>
  <c r="R312" i="31"/>
  <c r="T312" i="31" s="1"/>
  <c r="R313" i="31"/>
  <c r="S313" i="31" s="1"/>
  <c r="R314" i="31"/>
  <c r="R315" i="31"/>
  <c r="S315" i="31" s="1"/>
  <c r="R316" i="31"/>
  <c r="T316" i="31" s="1"/>
  <c r="R317" i="31"/>
  <c r="S317" i="31" s="1"/>
  <c r="R318" i="31"/>
  <c r="S318" i="31" s="1"/>
  <c r="R319" i="31"/>
  <c r="S319" i="31" s="1"/>
  <c r="R320" i="31"/>
  <c r="R321" i="31"/>
  <c r="S321" i="31" s="1"/>
  <c r="R322" i="31"/>
  <c r="T322" i="31" s="1"/>
  <c r="R323" i="31"/>
  <c r="S323" i="31" s="1"/>
  <c r="R324" i="31"/>
  <c r="T324" i="31" s="1"/>
  <c r="R325" i="31"/>
  <c r="T325" i="31" s="1"/>
  <c r="R326" i="31"/>
  <c r="T326" i="31" s="1"/>
  <c r="R327" i="31"/>
  <c r="T327" i="31" s="1"/>
  <c r="R328" i="31"/>
  <c r="R329" i="31"/>
  <c r="T329" i="31" s="1"/>
  <c r="R330" i="31"/>
  <c r="T330" i="31" s="1"/>
  <c r="R331" i="31"/>
  <c r="T331" i="31" s="1"/>
  <c r="R332" i="31"/>
  <c r="S332" i="31" s="1"/>
  <c r="R333" i="31"/>
  <c r="T333" i="31" s="1"/>
  <c r="R334" i="31"/>
  <c r="R335" i="31"/>
  <c r="T335" i="31" s="1"/>
  <c r="R336" i="31"/>
  <c r="T336" i="31" s="1"/>
  <c r="R337" i="31"/>
  <c r="T337" i="31" s="1"/>
  <c r="R338" i="31"/>
  <c r="R339" i="31"/>
  <c r="T339" i="31" s="1"/>
  <c r="R340" i="31"/>
  <c r="T340" i="31" s="1"/>
  <c r="R341" i="31"/>
  <c r="T341" i="31" s="1"/>
  <c r="R342" i="31"/>
  <c r="T342" i="31" s="1"/>
  <c r="R343" i="31"/>
  <c r="T343" i="31" s="1"/>
  <c r="R344" i="31"/>
  <c r="R345" i="31"/>
  <c r="T345" i="31" s="1"/>
  <c r="R346" i="31"/>
  <c r="T346" i="31" s="1"/>
  <c r="R347" i="31"/>
  <c r="T347" i="31" s="1"/>
  <c r="R348" i="31"/>
  <c r="S348" i="31" s="1"/>
  <c r="R349" i="31"/>
  <c r="T349" i="31" s="1"/>
  <c r="R350" i="31"/>
  <c r="R351" i="31"/>
  <c r="T351" i="31" s="1"/>
  <c r="R352" i="31"/>
  <c r="T352" i="31" s="1"/>
  <c r="R353" i="31"/>
  <c r="T353" i="31" s="1"/>
  <c r="R354" i="31"/>
  <c r="R355" i="31"/>
  <c r="T355" i="31" s="1"/>
  <c r="R356" i="31"/>
  <c r="T356" i="31" s="1"/>
  <c r="R357" i="31"/>
  <c r="T357" i="31" s="1"/>
  <c r="R358" i="31"/>
  <c r="T358" i="31" s="1"/>
  <c r="R359" i="31"/>
  <c r="T359" i="31" s="1"/>
  <c r="R360" i="31"/>
  <c r="R361" i="31"/>
  <c r="T361" i="31" s="1"/>
  <c r="R362" i="31"/>
  <c r="T362" i="31" s="1"/>
  <c r="R363" i="31"/>
  <c r="T363" i="31" s="1"/>
  <c r="R364" i="31"/>
  <c r="S364" i="31" s="1"/>
  <c r="R365" i="31"/>
  <c r="T365" i="31" s="1"/>
  <c r="R366" i="31"/>
  <c r="R367" i="31"/>
  <c r="T367" i="31" s="1"/>
  <c r="R368" i="31"/>
  <c r="T368" i="31" s="1"/>
  <c r="R369" i="31"/>
  <c r="T369" i="31" s="1"/>
  <c r="R370" i="31"/>
  <c r="R371" i="31"/>
  <c r="T371" i="31" s="1"/>
  <c r="R372" i="31"/>
  <c r="T372" i="31" s="1"/>
  <c r="R373" i="31"/>
  <c r="T373" i="31" s="1"/>
  <c r="R374" i="31"/>
  <c r="T374" i="31" s="1"/>
  <c r="R375" i="31"/>
  <c r="T375" i="31" s="1"/>
  <c r="R376" i="31"/>
  <c r="R377" i="31"/>
  <c r="T377" i="31" s="1"/>
  <c r="R378" i="31"/>
  <c r="T378" i="31" s="1"/>
  <c r="R379" i="31"/>
  <c r="T379" i="31" s="1"/>
  <c r="R380" i="31"/>
  <c r="S380" i="31" s="1"/>
  <c r="R381" i="31"/>
  <c r="T381" i="31" s="1"/>
  <c r="R382" i="31"/>
  <c r="R383" i="31"/>
  <c r="T383" i="31" s="1"/>
  <c r="R384" i="31"/>
  <c r="T384" i="31" s="1"/>
  <c r="R385" i="31"/>
  <c r="T385" i="31" s="1"/>
  <c r="R386" i="31"/>
  <c r="R387" i="31"/>
  <c r="T387" i="31" s="1"/>
  <c r="R388" i="31"/>
  <c r="T388" i="31" s="1"/>
  <c r="R389" i="31"/>
  <c r="T389" i="31" s="1"/>
  <c r="R390" i="31"/>
  <c r="T390" i="31" s="1"/>
  <c r="R391" i="31"/>
  <c r="T391" i="31" s="1"/>
  <c r="R392" i="31"/>
  <c r="R393" i="31"/>
  <c r="T393" i="31" s="1"/>
  <c r="R394" i="31"/>
  <c r="T394" i="31" s="1"/>
  <c r="R395" i="31"/>
  <c r="T395" i="31" s="1"/>
  <c r="R396" i="31"/>
  <c r="S396" i="31" s="1"/>
  <c r="R397" i="31"/>
  <c r="T397" i="31" s="1"/>
  <c r="R398" i="31"/>
  <c r="R399" i="31"/>
  <c r="T399" i="31" s="1"/>
  <c r="R400" i="31"/>
  <c r="T400" i="31" s="1"/>
  <c r="R401" i="31"/>
  <c r="T401" i="31" s="1"/>
  <c r="R402" i="31"/>
  <c r="R403" i="31"/>
  <c r="T403" i="31" s="1"/>
  <c r="R404" i="31"/>
  <c r="T404" i="31" s="1"/>
  <c r="R405" i="31"/>
  <c r="T405" i="31" s="1"/>
  <c r="R406" i="31"/>
  <c r="T406" i="31" s="1"/>
  <c r="R407" i="31"/>
  <c r="T407" i="31" s="1"/>
  <c r="R408" i="31"/>
  <c r="R409" i="31"/>
  <c r="T409" i="31" s="1"/>
  <c r="R410" i="31"/>
  <c r="T410" i="31" s="1"/>
  <c r="R411" i="31"/>
  <c r="T411" i="31" s="1"/>
  <c r="R412" i="31"/>
  <c r="S412" i="31" s="1"/>
  <c r="R413" i="31"/>
  <c r="T413" i="31" s="1"/>
  <c r="R414" i="31"/>
  <c r="R415" i="31"/>
  <c r="T415" i="31" s="1"/>
  <c r="R416" i="31"/>
  <c r="T416" i="31" s="1"/>
  <c r="R417" i="31"/>
  <c r="T417" i="31" s="1"/>
  <c r="R418" i="31"/>
  <c r="R419" i="31"/>
  <c r="T419" i="31" s="1"/>
  <c r="R420" i="31"/>
  <c r="T420" i="31" s="1"/>
  <c r="R421" i="31"/>
  <c r="T421" i="31" s="1"/>
  <c r="R422" i="31"/>
  <c r="T422" i="31" s="1"/>
  <c r="R423" i="31"/>
  <c r="T423" i="31" s="1"/>
  <c r="R424" i="31"/>
  <c r="R425" i="31"/>
  <c r="T425" i="31" s="1"/>
  <c r="R426" i="31"/>
  <c r="R427" i="31"/>
  <c r="T427" i="31" s="1"/>
  <c r="R428" i="31"/>
  <c r="T428" i="31" s="1"/>
  <c r="R429" i="31"/>
  <c r="T429" i="31" s="1"/>
  <c r="R430" i="31"/>
  <c r="S430" i="31" s="1"/>
  <c r="R431" i="31"/>
  <c r="T431" i="31" s="1"/>
  <c r="R432" i="31"/>
  <c r="R433" i="31"/>
  <c r="T433" i="31" s="1"/>
  <c r="R434" i="31"/>
  <c r="S434" i="31" s="1"/>
  <c r="R435" i="31"/>
  <c r="T435" i="31" s="1"/>
  <c r="R436" i="31"/>
  <c r="R437" i="31"/>
  <c r="T437" i="31" s="1"/>
  <c r="R438" i="31"/>
  <c r="S438" i="31" s="1"/>
  <c r="R439" i="31"/>
  <c r="T439" i="31" s="1"/>
  <c r="R440" i="31"/>
  <c r="T440" i="31" s="1"/>
  <c r="R441" i="31"/>
  <c r="T441" i="31" s="1"/>
  <c r="R442" i="31"/>
  <c r="S442" i="31" s="1"/>
  <c r="R443" i="31"/>
  <c r="T443" i="31" s="1"/>
  <c r="R444" i="31"/>
  <c r="R445" i="31"/>
  <c r="T445" i="31" s="1"/>
  <c r="R446" i="31"/>
  <c r="S446" i="31" s="1"/>
  <c r="R447" i="31"/>
  <c r="T447" i="31" s="1"/>
  <c r="R448" i="31"/>
  <c r="R449" i="31"/>
  <c r="R450" i="31"/>
  <c r="T450" i="31" s="1"/>
  <c r="R451" i="31"/>
  <c r="R452" i="31"/>
  <c r="R453" i="31"/>
  <c r="T453" i="31" s="1"/>
  <c r="R454" i="31"/>
  <c r="S454" i="31" s="1"/>
  <c r="R455" i="31"/>
  <c r="T455" i="31" s="1"/>
  <c r="R456" i="31"/>
  <c r="R457" i="31"/>
  <c r="T457" i="31" s="1"/>
  <c r="R458" i="31"/>
  <c r="S458" i="31" s="1"/>
  <c r="R459" i="31"/>
  <c r="T459" i="31" s="1"/>
  <c r="R460" i="31"/>
  <c r="T460" i="31" s="1"/>
  <c r="R461" i="31"/>
  <c r="T461" i="31" s="1"/>
  <c r="R462" i="31"/>
  <c r="S462" i="31" s="1"/>
  <c r="R463" i="31"/>
  <c r="T463" i="31" s="1"/>
  <c r="R464" i="31"/>
  <c r="R465" i="31"/>
  <c r="T465" i="31" s="1"/>
  <c r="R466" i="31"/>
  <c r="S466" i="31" s="1"/>
  <c r="R467" i="31"/>
  <c r="T467" i="31" s="1"/>
  <c r="R468" i="31"/>
  <c r="T468" i="31" s="1"/>
  <c r="R469" i="31"/>
  <c r="T469" i="31" s="1"/>
  <c r="R470" i="31"/>
  <c r="S470" i="31" s="1"/>
  <c r="R471" i="31"/>
  <c r="T471" i="31" s="1"/>
  <c r="R472" i="31"/>
  <c r="S472" i="31" s="1"/>
  <c r="R473" i="31"/>
  <c r="R474" i="31"/>
  <c r="S474" i="31" s="1"/>
  <c r="R475" i="31"/>
  <c r="T475" i="31" s="1"/>
  <c r="R476" i="31"/>
  <c r="S476" i="31" s="1"/>
  <c r="R477" i="31"/>
  <c r="R478" i="31"/>
  <c r="S478" i="31" s="1"/>
  <c r="R479" i="31"/>
  <c r="T479" i="31" s="1"/>
  <c r="R480" i="31"/>
  <c r="S480" i="31" s="1"/>
  <c r="R481" i="31"/>
  <c r="R482" i="31"/>
  <c r="S482" i="31" s="1"/>
  <c r="R483" i="31"/>
  <c r="T483" i="31" s="1"/>
  <c r="R484" i="31"/>
  <c r="S484" i="31" s="1"/>
  <c r="R485" i="31"/>
  <c r="R486" i="31"/>
  <c r="S486" i="31" s="1"/>
  <c r="R487" i="31"/>
  <c r="T487" i="31" s="1"/>
  <c r="R488" i="31"/>
  <c r="S488" i="31" s="1"/>
  <c r="R489" i="31"/>
  <c r="R490" i="31"/>
  <c r="S490" i="31" s="1"/>
  <c r="R491" i="31"/>
  <c r="T491" i="31" s="1"/>
  <c r="R492" i="31"/>
  <c r="S492" i="31" s="1"/>
  <c r="R493" i="31"/>
  <c r="R494" i="31"/>
  <c r="S494" i="31" s="1"/>
  <c r="R495" i="31"/>
  <c r="T495" i="31" s="1"/>
  <c r="R496" i="31"/>
  <c r="S496" i="31" s="1"/>
  <c r="R497" i="31"/>
  <c r="R498" i="31"/>
  <c r="S498" i="31" s="1"/>
  <c r="R499" i="31"/>
  <c r="T499" i="31" s="1"/>
  <c r="R500" i="31"/>
  <c r="S500" i="31" s="1"/>
  <c r="R501" i="31"/>
  <c r="T501" i="31" s="1"/>
  <c r="R502" i="31"/>
  <c r="T502" i="31" s="1"/>
  <c r="R503" i="31"/>
  <c r="T503" i="31" s="1"/>
  <c r="R504" i="31"/>
  <c r="T504" i="31" s="1"/>
  <c r="R505" i="31"/>
  <c r="T505" i="31" s="1"/>
  <c r="R506" i="31"/>
  <c r="T506" i="31" s="1"/>
  <c r="R507" i="31"/>
  <c r="R508" i="31"/>
  <c r="T508" i="31" s="1"/>
  <c r="R509" i="31"/>
  <c r="T509" i="31" s="1"/>
  <c r="R510" i="31"/>
  <c r="T510" i="31" s="1"/>
  <c r="R511" i="31"/>
  <c r="T511" i="31" s="1"/>
  <c r="R512" i="31"/>
  <c r="R513" i="31"/>
  <c r="T513" i="31" s="1"/>
  <c r="R514" i="31"/>
  <c r="T514" i="31" s="1"/>
  <c r="R515" i="31"/>
  <c r="T515" i="31" s="1"/>
  <c r="R516" i="31"/>
  <c r="R517" i="31"/>
  <c r="T517" i="31" s="1"/>
  <c r="R518" i="31"/>
  <c r="R519" i="31"/>
  <c r="T519" i="31" s="1"/>
  <c r="R520" i="31"/>
  <c r="R521" i="31"/>
  <c r="T521" i="31" s="1"/>
  <c r="R522" i="31"/>
  <c r="R523" i="31"/>
  <c r="T523" i="31" s="1"/>
  <c r="R524" i="31"/>
  <c r="T524" i="31" s="1"/>
  <c r="R525" i="31"/>
  <c r="T525" i="31" s="1"/>
  <c r="R526" i="31"/>
  <c r="T526" i="31" s="1"/>
  <c r="R527" i="31"/>
  <c r="T527" i="31" s="1"/>
  <c r="C42" i="31"/>
  <c r="C43" i="31"/>
  <c r="C44" i="31"/>
  <c r="C45" i="31"/>
  <c r="C46" i="31"/>
  <c r="C47" i="31"/>
  <c r="C48" i="31"/>
  <c r="C49" i="31"/>
  <c r="C50" i="31"/>
  <c r="C51" i="31"/>
  <c r="C52" i="31"/>
  <c r="C53" i="31"/>
  <c r="C54" i="31"/>
  <c r="C55" i="31"/>
  <c r="C56" i="31"/>
  <c r="C57" i="31"/>
  <c r="C58" i="31"/>
  <c r="C59" i="31"/>
  <c r="C60" i="31"/>
  <c r="C61" i="31"/>
  <c r="C62" i="31"/>
  <c r="C63" i="31"/>
  <c r="C64" i="31"/>
  <c r="C65" i="31"/>
  <c r="C66" i="31"/>
  <c r="C67" i="31"/>
  <c r="C68" i="31"/>
  <c r="C69" i="31"/>
  <c r="C70" i="31"/>
  <c r="C71" i="31"/>
  <c r="C72" i="31"/>
  <c r="C73" i="31"/>
  <c r="C74" i="31"/>
  <c r="C75" i="31"/>
  <c r="C76" i="31"/>
  <c r="C77" i="31"/>
  <c r="C78" i="31"/>
  <c r="C79" i="31"/>
  <c r="C80" i="31"/>
  <c r="C81" i="31"/>
  <c r="C82" i="31"/>
  <c r="C83" i="31"/>
  <c r="C84" i="31"/>
  <c r="C85" i="31"/>
  <c r="C86" i="31"/>
  <c r="C87" i="31"/>
  <c r="C88" i="31"/>
  <c r="C89" i="31"/>
  <c r="C90" i="31"/>
  <c r="C91" i="31"/>
  <c r="C92" i="31"/>
  <c r="C93" i="31"/>
  <c r="C94" i="31"/>
  <c r="C95" i="31"/>
  <c r="C96" i="31"/>
  <c r="C97" i="31"/>
  <c r="C98" i="31"/>
  <c r="C99" i="31"/>
  <c r="C100" i="31"/>
  <c r="C101" i="31"/>
  <c r="C102" i="31"/>
  <c r="C103" i="31"/>
  <c r="C104" i="31"/>
  <c r="C105" i="31"/>
  <c r="C106" i="31"/>
  <c r="C107" i="31"/>
  <c r="C108" i="31"/>
  <c r="C109" i="31"/>
  <c r="C110" i="31"/>
  <c r="C111" i="31"/>
  <c r="C112" i="31"/>
  <c r="C113" i="31"/>
  <c r="C114" i="31"/>
  <c r="C115" i="31"/>
  <c r="C116" i="31"/>
  <c r="C117" i="31"/>
  <c r="C118" i="31"/>
  <c r="C119" i="31"/>
  <c r="C120" i="31"/>
  <c r="C121" i="31"/>
  <c r="C122" i="31"/>
  <c r="C123" i="31"/>
  <c r="C124" i="31"/>
  <c r="C125" i="31"/>
  <c r="C126" i="31"/>
  <c r="C127" i="31"/>
  <c r="C128" i="31"/>
  <c r="C129" i="31"/>
  <c r="C130" i="31"/>
  <c r="C131" i="31"/>
  <c r="C132" i="31"/>
  <c r="C133" i="31"/>
  <c r="C134" i="31"/>
  <c r="C135" i="31"/>
  <c r="C136" i="31"/>
  <c r="C137" i="31"/>
  <c r="C138" i="31"/>
  <c r="C139" i="31"/>
  <c r="C140" i="31"/>
  <c r="C141" i="31"/>
  <c r="C142" i="31"/>
  <c r="C143" i="31"/>
  <c r="C144" i="31"/>
  <c r="C145" i="31"/>
  <c r="C146" i="31"/>
  <c r="C147" i="31"/>
  <c r="C148" i="31"/>
  <c r="C149" i="31"/>
  <c r="C150" i="31"/>
  <c r="C151" i="31"/>
  <c r="C152" i="31"/>
  <c r="C153" i="31"/>
  <c r="C154" i="31"/>
  <c r="C155" i="31"/>
  <c r="C156" i="31"/>
  <c r="C157" i="31"/>
  <c r="C158" i="31"/>
  <c r="C159" i="31"/>
  <c r="C160" i="31"/>
  <c r="C161" i="31"/>
  <c r="C162" i="31"/>
  <c r="C163" i="31"/>
  <c r="C164" i="31"/>
  <c r="C165" i="31"/>
  <c r="C166" i="31"/>
  <c r="C167" i="31"/>
  <c r="C168" i="31"/>
  <c r="C169" i="31"/>
  <c r="C170" i="31"/>
  <c r="C171" i="31"/>
  <c r="C172" i="31"/>
  <c r="C173" i="31"/>
  <c r="C174" i="31"/>
  <c r="C175" i="31"/>
  <c r="C176" i="31"/>
  <c r="C177" i="31"/>
  <c r="C178" i="31"/>
  <c r="C179" i="31"/>
  <c r="C180" i="31"/>
  <c r="C181" i="31"/>
  <c r="C182" i="31"/>
  <c r="C183" i="31"/>
  <c r="C184" i="31"/>
  <c r="C185" i="31"/>
  <c r="C186" i="31"/>
  <c r="C187" i="31"/>
  <c r="C188" i="31"/>
  <c r="C189" i="31"/>
  <c r="C190" i="31"/>
  <c r="C191" i="31"/>
  <c r="C192" i="31"/>
  <c r="C193" i="31"/>
  <c r="C194" i="31"/>
  <c r="C195" i="31"/>
  <c r="C196" i="31"/>
  <c r="C197" i="31"/>
  <c r="C198" i="31"/>
  <c r="C199" i="31"/>
  <c r="C200" i="31"/>
  <c r="C201" i="31"/>
  <c r="C202" i="31"/>
  <c r="C203" i="31"/>
  <c r="C204" i="31"/>
  <c r="C205" i="31"/>
  <c r="C206" i="31"/>
  <c r="C207" i="31"/>
  <c r="C208" i="31"/>
  <c r="C209" i="31"/>
  <c r="C210" i="31"/>
  <c r="C211" i="31"/>
  <c r="C212" i="31"/>
  <c r="C213" i="31"/>
  <c r="C214" i="31"/>
  <c r="C215" i="31"/>
  <c r="C216" i="31"/>
  <c r="C217" i="31"/>
  <c r="C218" i="31"/>
  <c r="C219" i="31"/>
  <c r="C220" i="31"/>
  <c r="C221" i="31"/>
  <c r="C222" i="31"/>
  <c r="C223" i="31"/>
  <c r="C224" i="31"/>
  <c r="C225" i="31"/>
  <c r="C226" i="31"/>
  <c r="C227" i="31"/>
  <c r="C228" i="31"/>
  <c r="C229" i="31"/>
  <c r="C230" i="31"/>
  <c r="C231" i="31"/>
  <c r="C232" i="31"/>
  <c r="C233" i="31"/>
  <c r="C234" i="31"/>
  <c r="C235" i="31"/>
  <c r="C236" i="31"/>
  <c r="C237" i="31"/>
  <c r="C238" i="31"/>
  <c r="C239" i="31"/>
  <c r="C240" i="31"/>
  <c r="C241" i="31"/>
  <c r="C242" i="31"/>
  <c r="C243" i="31"/>
  <c r="C244" i="31"/>
  <c r="C245" i="31"/>
  <c r="C246" i="31"/>
  <c r="C247" i="31"/>
  <c r="C248" i="31"/>
  <c r="C249" i="31"/>
  <c r="C250" i="31"/>
  <c r="C251" i="31"/>
  <c r="C252" i="31"/>
  <c r="C253" i="31"/>
  <c r="C254" i="31"/>
  <c r="C255" i="31"/>
  <c r="C256" i="31"/>
  <c r="C257" i="31"/>
  <c r="C258" i="31"/>
  <c r="C259" i="31"/>
  <c r="C260" i="31"/>
  <c r="C261" i="31"/>
  <c r="C262" i="31"/>
  <c r="C263" i="31"/>
  <c r="C264" i="31"/>
  <c r="C265" i="31"/>
  <c r="C266" i="31"/>
  <c r="C267" i="31"/>
  <c r="C268" i="31"/>
  <c r="C269" i="31"/>
  <c r="C270" i="31"/>
  <c r="C271" i="31"/>
  <c r="C272" i="31"/>
  <c r="C273" i="31"/>
  <c r="C274" i="31"/>
  <c r="C275" i="31"/>
  <c r="C276" i="31"/>
  <c r="C277" i="31"/>
  <c r="C278" i="31"/>
  <c r="C279" i="31"/>
  <c r="C280" i="31"/>
  <c r="C281" i="31"/>
  <c r="C282" i="31"/>
  <c r="C283" i="31"/>
  <c r="C284" i="31"/>
  <c r="C285" i="31"/>
  <c r="C286" i="31"/>
  <c r="C287" i="31"/>
  <c r="C288" i="31"/>
  <c r="C289" i="31"/>
  <c r="C290" i="31"/>
  <c r="C291" i="31"/>
  <c r="C292" i="31"/>
  <c r="C293" i="31"/>
  <c r="C294" i="31"/>
  <c r="C295" i="31"/>
  <c r="C296" i="31"/>
  <c r="C297" i="31"/>
  <c r="C298" i="31"/>
  <c r="C299" i="31"/>
  <c r="C300" i="31"/>
  <c r="C301" i="31"/>
  <c r="C302" i="31"/>
  <c r="C303" i="31"/>
  <c r="C304" i="31"/>
  <c r="C305" i="31"/>
  <c r="C306" i="31"/>
  <c r="C307" i="31"/>
  <c r="C308" i="31"/>
  <c r="C309" i="31"/>
  <c r="C310" i="31"/>
  <c r="C311" i="31"/>
  <c r="C312" i="31"/>
  <c r="C313" i="31"/>
  <c r="C314" i="31"/>
  <c r="C315" i="31"/>
  <c r="C316" i="31"/>
  <c r="C317" i="31"/>
  <c r="C318" i="31"/>
  <c r="C319" i="31"/>
  <c r="C320" i="31"/>
  <c r="C321" i="31"/>
  <c r="C322" i="31"/>
  <c r="C323" i="31"/>
  <c r="C324" i="31"/>
  <c r="C325" i="31"/>
  <c r="C326" i="31"/>
  <c r="C327" i="31"/>
  <c r="C328" i="31"/>
  <c r="C329" i="31"/>
  <c r="C330" i="31"/>
  <c r="C331" i="31"/>
  <c r="C332" i="31"/>
  <c r="C333" i="31"/>
  <c r="C334" i="31"/>
  <c r="C335" i="31"/>
  <c r="C336" i="31"/>
  <c r="C337" i="31"/>
  <c r="C338" i="31"/>
  <c r="C339" i="31"/>
  <c r="C340" i="31"/>
  <c r="C341" i="31"/>
  <c r="C342" i="31"/>
  <c r="C343" i="31"/>
  <c r="C344" i="31"/>
  <c r="C345" i="31"/>
  <c r="C346" i="31"/>
  <c r="C347" i="31"/>
  <c r="C348" i="31"/>
  <c r="C349" i="31"/>
  <c r="C350" i="31"/>
  <c r="C351" i="31"/>
  <c r="C352" i="31"/>
  <c r="C353" i="31"/>
  <c r="C354" i="31"/>
  <c r="C355" i="31"/>
  <c r="C356" i="31"/>
  <c r="C357" i="31"/>
  <c r="C358" i="31"/>
  <c r="C359" i="31"/>
  <c r="C360" i="31"/>
  <c r="C361" i="31"/>
  <c r="C362" i="31"/>
  <c r="C363" i="31"/>
  <c r="C364" i="31"/>
  <c r="C365" i="31"/>
  <c r="C366" i="31"/>
  <c r="C367" i="31"/>
  <c r="C368" i="31"/>
  <c r="C369" i="31"/>
  <c r="C370" i="31"/>
  <c r="C371" i="31"/>
  <c r="C372" i="31"/>
  <c r="C373" i="31"/>
  <c r="C374" i="31"/>
  <c r="C375" i="31"/>
  <c r="C376" i="31"/>
  <c r="C377" i="31"/>
  <c r="C378" i="31"/>
  <c r="C379" i="31"/>
  <c r="C380" i="31"/>
  <c r="C381" i="31"/>
  <c r="C382" i="31"/>
  <c r="C383" i="31"/>
  <c r="C384" i="31"/>
  <c r="C385" i="31"/>
  <c r="C386" i="31"/>
  <c r="C387" i="31"/>
  <c r="C388" i="31"/>
  <c r="C389" i="31"/>
  <c r="C390" i="31"/>
  <c r="C391" i="31"/>
  <c r="C392" i="31"/>
  <c r="C393" i="31"/>
  <c r="C394" i="31"/>
  <c r="C395" i="31"/>
  <c r="C396" i="31"/>
  <c r="C397" i="31"/>
  <c r="C398" i="31"/>
  <c r="C399" i="31"/>
  <c r="C400" i="31"/>
  <c r="C401" i="31"/>
  <c r="C402" i="31"/>
  <c r="C403" i="31"/>
  <c r="C404" i="31"/>
  <c r="C405" i="31"/>
  <c r="C406" i="31"/>
  <c r="C407" i="31"/>
  <c r="C408" i="31"/>
  <c r="C409" i="31"/>
  <c r="C410" i="31"/>
  <c r="C411" i="31"/>
  <c r="C412" i="31"/>
  <c r="C413" i="31"/>
  <c r="C414" i="31"/>
  <c r="C415" i="31"/>
  <c r="C416" i="31"/>
  <c r="C417" i="31"/>
  <c r="C418" i="31"/>
  <c r="C419" i="31"/>
  <c r="C420" i="31"/>
  <c r="C421" i="31"/>
  <c r="C422" i="31"/>
  <c r="C423" i="31"/>
  <c r="C424" i="31"/>
  <c r="C425" i="31"/>
  <c r="C426" i="31"/>
  <c r="C427" i="31"/>
  <c r="C428" i="31"/>
  <c r="C429" i="31"/>
  <c r="C430" i="31"/>
  <c r="C431" i="31"/>
  <c r="C432" i="31"/>
  <c r="C433" i="31"/>
  <c r="C434" i="31"/>
  <c r="C435" i="31"/>
  <c r="C436" i="31"/>
  <c r="C437" i="31"/>
  <c r="C438" i="31"/>
  <c r="C439" i="31"/>
  <c r="C440" i="31"/>
  <c r="C441" i="31"/>
  <c r="C442" i="31"/>
  <c r="C443" i="31"/>
  <c r="C444" i="31"/>
  <c r="C445" i="31"/>
  <c r="C446" i="31"/>
  <c r="C447" i="31"/>
  <c r="C448" i="31"/>
  <c r="C449" i="31"/>
  <c r="C450" i="31"/>
  <c r="C451" i="31"/>
  <c r="C452" i="31"/>
  <c r="C453" i="31"/>
  <c r="C454" i="31"/>
  <c r="C455" i="31"/>
  <c r="C456" i="31"/>
  <c r="C457" i="31"/>
  <c r="C458" i="31"/>
  <c r="C459" i="31"/>
  <c r="C460" i="31"/>
  <c r="C461" i="31"/>
  <c r="C462" i="31"/>
  <c r="C463" i="31"/>
  <c r="C464" i="31"/>
  <c r="C465" i="31"/>
  <c r="C466" i="31"/>
  <c r="C467" i="31"/>
  <c r="C468" i="31"/>
  <c r="C469" i="31"/>
  <c r="C470" i="31"/>
  <c r="C471" i="31"/>
  <c r="C472" i="31"/>
  <c r="C473" i="31"/>
  <c r="C474" i="31"/>
  <c r="C475" i="31"/>
  <c r="C476" i="31"/>
  <c r="C477" i="31"/>
  <c r="C478" i="31"/>
  <c r="C479" i="31"/>
  <c r="C480" i="31"/>
  <c r="C481" i="31"/>
  <c r="C482" i="31"/>
  <c r="C483" i="31"/>
  <c r="C484" i="31"/>
  <c r="C485" i="31"/>
  <c r="C486" i="31"/>
  <c r="C487" i="31"/>
  <c r="C488" i="31"/>
  <c r="C489" i="31"/>
  <c r="C490" i="31"/>
  <c r="C491" i="31"/>
  <c r="C492" i="31"/>
  <c r="C493" i="31"/>
  <c r="C494" i="31"/>
  <c r="C495" i="31"/>
  <c r="C496" i="31"/>
  <c r="C497" i="31"/>
  <c r="C498" i="31"/>
  <c r="C499" i="31"/>
  <c r="C500" i="31"/>
  <c r="C501" i="31"/>
  <c r="C502" i="31"/>
  <c r="C503" i="31"/>
  <c r="C504" i="31"/>
  <c r="C505" i="31"/>
  <c r="C506" i="31"/>
  <c r="C507" i="31"/>
  <c r="C508" i="31"/>
  <c r="C509" i="31"/>
  <c r="C510" i="31"/>
  <c r="C511" i="31"/>
  <c r="C512" i="31"/>
  <c r="C513" i="31"/>
  <c r="C514" i="31"/>
  <c r="C515" i="31"/>
  <c r="C516" i="31"/>
  <c r="C517" i="31"/>
  <c r="C518" i="31"/>
  <c r="C519" i="31"/>
  <c r="C520" i="31"/>
  <c r="C521" i="31"/>
  <c r="C522" i="31"/>
  <c r="C523" i="31"/>
  <c r="C524" i="31"/>
  <c r="C525" i="31"/>
  <c r="C526" i="31"/>
  <c r="C527" i="31"/>
  <c r="C31" i="31"/>
  <c r="C30" i="31"/>
  <c r="C32" i="31"/>
  <c r="C33" i="31"/>
  <c r="C34" i="31"/>
  <c r="C35" i="31"/>
  <c r="C36" i="31"/>
  <c r="C37" i="31"/>
  <c r="C38" i="31"/>
  <c r="C39" i="31"/>
  <c r="C40" i="31"/>
  <c r="C41" i="31"/>
  <c r="A3" i="54"/>
  <c r="B38" i="35"/>
  <c r="F3" i="35"/>
  <c r="B10" i="60"/>
  <c r="J15" i="4"/>
  <c r="J14" i="4"/>
  <c r="J13" i="4"/>
  <c r="I5" i="4"/>
  <c r="L4" i="9"/>
  <c r="M4" i="9"/>
  <c r="F16" i="4"/>
  <c r="A5" i="55"/>
  <c r="B54" i="60" s="1"/>
  <c r="A4" i="55"/>
  <c r="B52" i="60" s="1"/>
  <c r="H16" i="48"/>
  <c r="D16" i="48"/>
  <c r="B21" i="49"/>
  <c r="B5" i="60" s="1"/>
  <c r="B12" i="49"/>
  <c r="B3" i="60" s="1"/>
  <c r="I2" i="43"/>
  <c r="H6" i="44" s="1"/>
  <c r="G2" i="43"/>
  <c r="E31" i="4"/>
  <c r="C7" i="4"/>
  <c r="G3" i="43"/>
  <c r="C121" i="9"/>
  <c r="C4" i="52" s="1"/>
  <c r="B36" i="60" s="1"/>
  <c r="B121" i="9"/>
  <c r="B4" i="52" s="1"/>
  <c r="A41" i="1"/>
  <c r="A40" i="1"/>
  <c r="A39" i="1"/>
  <c r="A38" i="1"/>
  <c r="A37" i="1"/>
  <c r="A30" i="1"/>
  <c r="A35" i="1"/>
  <c r="D111" i="9"/>
  <c r="I108" i="9"/>
  <c r="D110" i="9"/>
  <c r="I107" i="9"/>
  <c r="D109" i="9"/>
  <c r="I105" i="9"/>
  <c r="H101" i="9"/>
  <c r="J35" i="15"/>
  <c r="Q69" i="15" s="1"/>
  <c r="F27" i="11"/>
  <c r="F45" i="11" s="1"/>
  <c r="F36" i="11"/>
  <c r="M28" i="15"/>
  <c r="M26" i="15"/>
  <c r="F42" i="15"/>
  <c r="F40" i="15"/>
  <c r="F69" i="15" s="1"/>
  <c r="G55" i="40"/>
  <c r="C55" i="40" s="1"/>
  <c r="G54" i="40"/>
  <c r="C54" i="40" s="1"/>
  <c r="G53" i="40"/>
  <c r="C53" i="40" s="1"/>
  <c r="G52" i="40"/>
  <c r="C52" i="40" s="1"/>
  <c r="G57" i="39"/>
  <c r="C57" i="39" s="1"/>
  <c r="G63" i="39"/>
  <c r="G65" i="39" s="1"/>
  <c r="C65" i="39" s="1"/>
  <c r="G62" i="39"/>
  <c r="C62" i="39" s="1"/>
  <c r="G61" i="39"/>
  <c r="C61" i="39" s="1"/>
  <c r="G60" i="39"/>
  <c r="C60" i="39" s="1"/>
  <c r="G59" i="39"/>
  <c r="C59" i="39" s="1"/>
  <c r="G58" i="39"/>
  <c r="C58" i="39" s="1"/>
  <c r="G8" i="4"/>
  <c r="H50" i="40"/>
  <c r="H34" i="43"/>
  <c r="H35" i="43"/>
  <c r="H36" i="43"/>
  <c r="H37" i="43"/>
  <c r="H38" i="43"/>
  <c r="H39" i="43"/>
  <c r="H33" i="43"/>
  <c r="L44" i="47"/>
  <c r="M44" i="47" s="1"/>
  <c r="J44" i="47"/>
  <c r="I44" i="47" s="1"/>
  <c r="L43" i="47"/>
  <c r="M43" i="47" s="1"/>
  <c r="J43" i="47"/>
  <c r="I43" i="47" s="1"/>
  <c r="L42" i="47"/>
  <c r="M42" i="47" s="1"/>
  <c r="J42" i="47"/>
  <c r="I42" i="47" s="1"/>
  <c r="L41" i="47"/>
  <c r="M41" i="47" s="1"/>
  <c r="J41" i="47"/>
  <c r="I41" i="47" s="1"/>
  <c r="L40" i="47"/>
  <c r="M40" i="47" s="1"/>
  <c r="J40" i="47"/>
  <c r="I40" i="47" s="1"/>
  <c r="L39" i="47"/>
  <c r="M39" i="47" s="1"/>
  <c r="J39" i="47"/>
  <c r="I39" i="47" s="1"/>
  <c r="L38" i="47"/>
  <c r="M38" i="47" s="1"/>
  <c r="J38" i="47"/>
  <c r="I38" i="47" s="1"/>
  <c r="L37" i="47"/>
  <c r="M37" i="47" s="1"/>
  <c r="J37" i="47"/>
  <c r="I37" i="47" s="1"/>
  <c r="L34" i="47"/>
  <c r="M34" i="47" s="1"/>
  <c r="J34" i="47"/>
  <c r="I34" i="47" s="1"/>
  <c r="L33" i="47"/>
  <c r="M33" i="47" s="1"/>
  <c r="J33" i="47"/>
  <c r="I33" i="47" s="1"/>
  <c r="L32" i="47"/>
  <c r="M32" i="47" s="1"/>
  <c r="J32" i="47"/>
  <c r="I32" i="47" s="1"/>
  <c r="L31" i="47"/>
  <c r="M31" i="47" s="1"/>
  <c r="J31" i="47"/>
  <c r="I31" i="47" s="1"/>
  <c r="D31" i="47" s="1"/>
  <c r="L30" i="47"/>
  <c r="M30" i="47" s="1"/>
  <c r="J30" i="47"/>
  <c r="I30" i="47" s="1"/>
  <c r="L29" i="47"/>
  <c r="M29" i="47" s="1"/>
  <c r="J29" i="47"/>
  <c r="I29" i="47" s="1"/>
  <c r="D29" i="47" s="1"/>
  <c r="L28" i="47"/>
  <c r="M28" i="47" s="1"/>
  <c r="J28" i="47"/>
  <c r="I28" i="47" s="1"/>
  <c r="L27" i="47"/>
  <c r="M27" i="47" s="1"/>
  <c r="J27" i="47"/>
  <c r="I27" i="47" s="1"/>
  <c r="L26" i="47"/>
  <c r="M26" i="47" s="1"/>
  <c r="J26" i="47"/>
  <c r="I26" i="47" s="1"/>
  <c r="L23" i="47"/>
  <c r="M23" i="47" s="1"/>
  <c r="J23" i="47"/>
  <c r="I23" i="47" s="1"/>
  <c r="L22" i="47"/>
  <c r="M22" i="47" s="1"/>
  <c r="J22" i="47"/>
  <c r="I22" i="47" s="1"/>
  <c r="L21" i="47"/>
  <c r="M21" i="47" s="1"/>
  <c r="J21" i="47"/>
  <c r="I21" i="47" s="1"/>
  <c r="L20" i="47"/>
  <c r="M20" i="47" s="1"/>
  <c r="J20" i="47"/>
  <c r="I20" i="47" s="1"/>
  <c r="L19" i="47"/>
  <c r="M19" i="47" s="1"/>
  <c r="J19" i="47"/>
  <c r="I19" i="47" s="1"/>
  <c r="L18" i="47"/>
  <c r="M18" i="47" s="1"/>
  <c r="J18" i="47"/>
  <c r="I18" i="47" s="1"/>
  <c r="L17" i="47"/>
  <c r="M17" i="47" s="1"/>
  <c r="J17" i="47"/>
  <c r="I17" i="47" s="1"/>
  <c r="L16" i="47"/>
  <c r="M16" i="47" s="1"/>
  <c r="J16" i="47"/>
  <c r="I16" i="47" s="1"/>
  <c r="L15" i="47"/>
  <c r="M15" i="47" s="1"/>
  <c r="J15" i="47"/>
  <c r="I15" i="47" s="1"/>
  <c r="D5" i="47"/>
  <c r="D11" i="47"/>
  <c r="J5" i="47"/>
  <c r="I5" i="47" s="1"/>
  <c r="L5" i="47"/>
  <c r="M5" i="47" s="1"/>
  <c r="J6" i="47"/>
  <c r="I6" i="47" s="1"/>
  <c r="L6" i="47"/>
  <c r="M6" i="47" s="1"/>
  <c r="J7" i="47"/>
  <c r="I7" i="47" s="1"/>
  <c r="L7" i="47"/>
  <c r="M7" i="47" s="1"/>
  <c r="D7" i="47" s="1"/>
  <c r="J8" i="47"/>
  <c r="I8" i="47" s="1"/>
  <c r="L8" i="47"/>
  <c r="M8" i="47" s="1"/>
  <c r="J9" i="47"/>
  <c r="I9" i="47" s="1"/>
  <c r="L9" i="47"/>
  <c r="M9" i="47" s="1"/>
  <c r="J10" i="47"/>
  <c r="I10" i="47" s="1"/>
  <c r="D10" i="47" s="1"/>
  <c r="L10" i="47"/>
  <c r="M10" i="47" s="1"/>
  <c r="J11" i="47"/>
  <c r="I11" i="47" s="1"/>
  <c r="L11" i="47"/>
  <c r="M11" i="47" s="1"/>
  <c r="J12" i="47"/>
  <c r="I12" i="47" s="1"/>
  <c r="D12" i="47" s="1"/>
  <c r="L12" i="47"/>
  <c r="M12" i="47" s="1"/>
  <c r="L4" i="47"/>
  <c r="M4" i="47" s="1"/>
  <c r="J4" i="47"/>
  <c r="I4" i="47" s="1"/>
  <c r="B5" i="47"/>
  <c r="B12" i="47"/>
  <c r="B10" i="47"/>
  <c r="B8" i="47"/>
  <c r="B6" i="47"/>
  <c r="B4" i="47"/>
  <c r="B40" i="47"/>
  <c r="B39" i="47"/>
  <c r="B38" i="47"/>
  <c r="B37" i="47"/>
  <c r="B33" i="47"/>
  <c r="B30" i="47"/>
  <c r="B29" i="47"/>
  <c r="B19" i="47"/>
  <c r="B28" i="47"/>
  <c r="B27" i="47"/>
  <c r="B26" i="47"/>
  <c r="B23" i="47"/>
  <c r="B21" i="47"/>
  <c r="B17" i="47"/>
  <c r="B16" i="47"/>
  <c r="B15" i="47"/>
  <c r="A12" i="43"/>
  <c r="A16" i="43"/>
  <c r="J20" i="43"/>
  <c r="F33" i="43"/>
  <c r="C18" i="43"/>
  <c r="H17" i="43"/>
  <c r="F15" i="43"/>
  <c r="E15" i="43"/>
  <c r="D15" i="43"/>
  <c r="C15" i="43"/>
  <c r="C10" i="43"/>
  <c r="C11" i="43" s="1"/>
  <c r="C9" i="43"/>
  <c r="A7" i="43"/>
  <c r="E1" i="61"/>
  <c r="E31" i="1"/>
  <c r="E29" i="1" s="1"/>
  <c r="G1" i="15"/>
  <c r="F35" i="11"/>
  <c r="F38" i="11"/>
  <c r="E37" i="11"/>
  <c r="F20" i="11"/>
  <c r="F39" i="11" s="1"/>
  <c r="F21" i="11"/>
  <c r="F40" i="11" s="1"/>
  <c r="F7" i="11"/>
  <c r="F12" i="12"/>
  <c r="F13" i="12"/>
  <c r="F15" i="12"/>
  <c r="E14" i="12"/>
  <c r="E19" i="12"/>
  <c r="E20" i="12"/>
  <c r="E17" i="12"/>
  <c r="F22" i="12"/>
  <c r="F23" i="12"/>
  <c r="F24" i="12"/>
  <c r="C17" i="9"/>
  <c r="D17" i="9"/>
  <c r="I55" i="9"/>
  <c r="F55" i="9"/>
  <c r="P53" i="9" s="1"/>
  <c r="D89" i="9"/>
  <c r="C89" i="9" s="1"/>
  <c r="C87" i="9" s="1"/>
  <c r="E15" i="1"/>
  <c r="E19" i="11" s="1"/>
  <c r="E40" i="1"/>
  <c r="F34" i="15" s="1"/>
  <c r="F63" i="15" s="1"/>
  <c r="O55" i="9"/>
  <c r="P55" i="9"/>
  <c r="O54" i="9"/>
  <c r="O53" i="9"/>
  <c r="E48" i="9"/>
  <c r="O52" i="9" s="1"/>
  <c r="F56" i="9"/>
  <c r="P54" i="9" s="1"/>
  <c r="D100" i="9"/>
  <c r="C100" i="9"/>
  <c r="C30" i="40"/>
  <c r="C28" i="40"/>
  <c r="C23" i="39"/>
  <c r="C19" i="40"/>
  <c r="D27" i="9"/>
  <c r="C24" i="9"/>
  <c r="C25" i="9"/>
  <c r="D77" i="9"/>
  <c r="E90" i="9"/>
  <c r="H77" i="9"/>
  <c r="Q32" i="31"/>
  <c r="Q33" i="31"/>
  <c r="Q34" i="31"/>
  <c r="Q35" i="31"/>
  <c r="Q36" i="31"/>
  <c r="Q37" i="31"/>
  <c r="Q38" i="31"/>
  <c r="Q39" i="31"/>
  <c r="Q40" i="31"/>
  <c r="Q41" i="31"/>
  <c r="Q42" i="31"/>
  <c r="Q43" i="31"/>
  <c r="Q44" i="31"/>
  <c r="Q45" i="31"/>
  <c r="Q46" i="31"/>
  <c r="Q47" i="31"/>
  <c r="Q48" i="31"/>
  <c r="Q49" i="31"/>
  <c r="Q50" i="31"/>
  <c r="Q51" i="31"/>
  <c r="Q52" i="31"/>
  <c r="Q53" i="31"/>
  <c r="Q54" i="31"/>
  <c r="Q55" i="31"/>
  <c r="Q56" i="31"/>
  <c r="Q57" i="31"/>
  <c r="Q58" i="31"/>
  <c r="Q59" i="31"/>
  <c r="Q60" i="31"/>
  <c r="Q61" i="31"/>
  <c r="Q62" i="31"/>
  <c r="Q63" i="31"/>
  <c r="Q64" i="31"/>
  <c r="Q65" i="31"/>
  <c r="Q66" i="31"/>
  <c r="Q67" i="31"/>
  <c r="Q68" i="31"/>
  <c r="Q69" i="31"/>
  <c r="Q70" i="31"/>
  <c r="Q71" i="31"/>
  <c r="Q72" i="31"/>
  <c r="Q73" i="31"/>
  <c r="Q74" i="31"/>
  <c r="Q75" i="31"/>
  <c r="Q76" i="31"/>
  <c r="Q77" i="31"/>
  <c r="Q78" i="31"/>
  <c r="Q79" i="31"/>
  <c r="Q80" i="31"/>
  <c r="Q81" i="31"/>
  <c r="Q82" i="31"/>
  <c r="Q83" i="31"/>
  <c r="Q84" i="31"/>
  <c r="Q85" i="31"/>
  <c r="Q86" i="31"/>
  <c r="Q87" i="31"/>
  <c r="Q88" i="31"/>
  <c r="Q89" i="31"/>
  <c r="Q90" i="31"/>
  <c r="Q91" i="31"/>
  <c r="Q92" i="31"/>
  <c r="Q93" i="31"/>
  <c r="Q94" i="31"/>
  <c r="Q95" i="31"/>
  <c r="Q96" i="31"/>
  <c r="Q97" i="31"/>
  <c r="Q98" i="31"/>
  <c r="Q99" i="31"/>
  <c r="Q100" i="31"/>
  <c r="Q101" i="31"/>
  <c r="Q102" i="31"/>
  <c r="Q103" i="31"/>
  <c r="Q104" i="31"/>
  <c r="Q105" i="31"/>
  <c r="Q106" i="31"/>
  <c r="Q107" i="31"/>
  <c r="Q108" i="31"/>
  <c r="Q109" i="31"/>
  <c r="Q110" i="31"/>
  <c r="Q111" i="31"/>
  <c r="Q112" i="31"/>
  <c r="Q113" i="31"/>
  <c r="Q114" i="31"/>
  <c r="Q115" i="31"/>
  <c r="Q116" i="31"/>
  <c r="Q117" i="31"/>
  <c r="Q118" i="31"/>
  <c r="Q119" i="31"/>
  <c r="Q120" i="31"/>
  <c r="Q121" i="31"/>
  <c r="Q122" i="31"/>
  <c r="Q123" i="31"/>
  <c r="Q124" i="31"/>
  <c r="Q125" i="31"/>
  <c r="Q126" i="31"/>
  <c r="Q127" i="31"/>
  <c r="Q128" i="31"/>
  <c r="Q129" i="31"/>
  <c r="Q130" i="31"/>
  <c r="Q131" i="31"/>
  <c r="Q132" i="31"/>
  <c r="Q133" i="31"/>
  <c r="Q134" i="31"/>
  <c r="Q135" i="31"/>
  <c r="Q136" i="31"/>
  <c r="Q137" i="31"/>
  <c r="Q138" i="31"/>
  <c r="Q139" i="31"/>
  <c r="Q140" i="31"/>
  <c r="Q141" i="31"/>
  <c r="Q142" i="31"/>
  <c r="Q143" i="31"/>
  <c r="Q144" i="31"/>
  <c r="Q145" i="31"/>
  <c r="Q146" i="31"/>
  <c r="Q147" i="31"/>
  <c r="Q148" i="31"/>
  <c r="Q149" i="31"/>
  <c r="Q150" i="31"/>
  <c r="Q151" i="31"/>
  <c r="Q152" i="31"/>
  <c r="Q153" i="31"/>
  <c r="Q154" i="31"/>
  <c r="Q155" i="31"/>
  <c r="Q156" i="31"/>
  <c r="Q157" i="31"/>
  <c r="Q158" i="31"/>
  <c r="Q159" i="31"/>
  <c r="Q160" i="31"/>
  <c r="Q161" i="31"/>
  <c r="Q162" i="31"/>
  <c r="Q163" i="31"/>
  <c r="Q164" i="31"/>
  <c r="Q165" i="31"/>
  <c r="Q166" i="31"/>
  <c r="Q167" i="31"/>
  <c r="Q168" i="31"/>
  <c r="Q169" i="31"/>
  <c r="Q170" i="31"/>
  <c r="Q171" i="31"/>
  <c r="Q172" i="31"/>
  <c r="Q173" i="31"/>
  <c r="Q174" i="31"/>
  <c r="Q175" i="31"/>
  <c r="Q176" i="31"/>
  <c r="Q177" i="31"/>
  <c r="Q178" i="31"/>
  <c r="Q179" i="31"/>
  <c r="Q180" i="31"/>
  <c r="Q181" i="31"/>
  <c r="Q182" i="31"/>
  <c r="Q183" i="31"/>
  <c r="Q184" i="31"/>
  <c r="Q185" i="31"/>
  <c r="Q186" i="31"/>
  <c r="Q187" i="31"/>
  <c r="Q188" i="31"/>
  <c r="Q189" i="31"/>
  <c r="Q190" i="31"/>
  <c r="Q191" i="31"/>
  <c r="Q192" i="31"/>
  <c r="Q193" i="31"/>
  <c r="Q194" i="31"/>
  <c r="Q195" i="31"/>
  <c r="Q196" i="31"/>
  <c r="Q197" i="31"/>
  <c r="Q198" i="31"/>
  <c r="Q199" i="31"/>
  <c r="Q200" i="31"/>
  <c r="Q201" i="31"/>
  <c r="Q202" i="31"/>
  <c r="Q203" i="31"/>
  <c r="Q204" i="31"/>
  <c r="Q205" i="31"/>
  <c r="Q206" i="31"/>
  <c r="Q207" i="31"/>
  <c r="Q208" i="31"/>
  <c r="Q209" i="31"/>
  <c r="Q210" i="31"/>
  <c r="Q211" i="31"/>
  <c r="Q212" i="31"/>
  <c r="Q213" i="31"/>
  <c r="Q214" i="31"/>
  <c r="Q215" i="31"/>
  <c r="Q216" i="31"/>
  <c r="Q217" i="31"/>
  <c r="Q218" i="31"/>
  <c r="Q219" i="31"/>
  <c r="Q220" i="31"/>
  <c r="Q221" i="31"/>
  <c r="Q222" i="31"/>
  <c r="Q223" i="31"/>
  <c r="Q224" i="31"/>
  <c r="Q225" i="31"/>
  <c r="Q226" i="31"/>
  <c r="Q227" i="31"/>
  <c r="Q228" i="31"/>
  <c r="Q229" i="31"/>
  <c r="Q230" i="31"/>
  <c r="Q231" i="31"/>
  <c r="Q232" i="31"/>
  <c r="Q233" i="31"/>
  <c r="Q234" i="31"/>
  <c r="Q235" i="31"/>
  <c r="Q236" i="31"/>
  <c r="Q237" i="31"/>
  <c r="Q238" i="31"/>
  <c r="Q239" i="31"/>
  <c r="Q240" i="31"/>
  <c r="Q241" i="31"/>
  <c r="Q242" i="31"/>
  <c r="Q243" i="31"/>
  <c r="Q244" i="31"/>
  <c r="Q245" i="31"/>
  <c r="Q246" i="31"/>
  <c r="Q247" i="31"/>
  <c r="Q248" i="31"/>
  <c r="Q249" i="31"/>
  <c r="Q250" i="31"/>
  <c r="Q251" i="31"/>
  <c r="Q252" i="31"/>
  <c r="Q253" i="31"/>
  <c r="Q254" i="31"/>
  <c r="Q255" i="31"/>
  <c r="Q256" i="31"/>
  <c r="Q257" i="31"/>
  <c r="Q258" i="31"/>
  <c r="Q259" i="31"/>
  <c r="Q260" i="31"/>
  <c r="Q261" i="31"/>
  <c r="Q262" i="31"/>
  <c r="Q263" i="31"/>
  <c r="Q264" i="31"/>
  <c r="Q265" i="31"/>
  <c r="Q266" i="31"/>
  <c r="Q267" i="31"/>
  <c r="Q268" i="31"/>
  <c r="Q269" i="31"/>
  <c r="Q270" i="31"/>
  <c r="Q271" i="31"/>
  <c r="Q272" i="31"/>
  <c r="Q273" i="31"/>
  <c r="Q274" i="31"/>
  <c r="Q275" i="31"/>
  <c r="Q276" i="31"/>
  <c r="Q277" i="31"/>
  <c r="Q278" i="31"/>
  <c r="Q279" i="31"/>
  <c r="Q280" i="31"/>
  <c r="Q281" i="31"/>
  <c r="Q282" i="31"/>
  <c r="Q283" i="31"/>
  <c r="Q284" i="31"/>
  <c r="Q285" i="31"/>
  <c r="Q286" i="31"/>
  <c r="Q287" i="31"/>
  <c r="Q288" i="31"/>
  <c r="Q289" i="31"/>
  <c r="Q290" i="31"/>
  <c r="Q291" i="31"/>
  <c r="Q292" i="31"/>
  <c r="Q293" i="31"/>
  <c r="Q294" i="31"/>
  <c r="Q295" i="31"/>
  <c r="Q296" i="31"/>
  <c r="Q297" i="31"/>
  <c r="Q298" i="31"/>
  <c r="Q299" i="31"/>
  <c r="Q300" i="31"/>
  <c r="Q301" i="31"/>
  <c r="Q302" i="31"/>
  <c r="Q303" i="31"/>
  <c r="Q304" i="31"/>
  <c r="Q305" i="31"/>
  <c r="Q306" i="31"/>
  <c r="Q307" i="31"/>
  <c r="Q308" i="31"/>
  <c r="Q309" i="31"/>
  <c r="Q310" i="31"/>
  <c r="Q311" i="31"/>
  <c r="Q312" i="31"/>
  <c r="Q313" i="31"/>
  <c r="Q314" i="31"/>
  <c r="Q315" i="31"/>
  <c r="Q316" i="31"/>
  <c r="Q317" i="31"/>
  <c r="Q318" i="31"/>
  <c r="Q319" i="31"/>
  <c r="Q320" i="31"/>
  <c r="Q321" i="31"/>
  <c r="Q322" i="31"/>
  <c r="Q323" i="31"/>
  <c r="Q324" i="31"/>
  <c r="Q325" i="31"/>
  <c r="Q326" i="31"/>
  <c r="Q327" i="31"/>
  <c r="Q328" i="31"/>
  <c r="Q329" i="31"/>
  <c r="Q330" i="31"/>
  <c r="Q331" i="31"/>
  <c r="Q332" i="31"/>
  <c r="Q333" i="31"/>
  <c r="Q334" i="31"/>
  <c r="Q335" i="31"/>
  <c r="Q336" i="31"/>
  <c r="Q337" i="31"/>
  <c r="Q338" i="31"/>
  <c r="Q339" i="31"/>
  <c r="Q340" i="31"/>
  <c r="Q341" i="31"/>
  <c r="Q342" i="31"/>
  <c r="Q343" i="31"/>
  <c r="Q344" i="31"/>
  <c r="Q345" i="31"/>
  <c r="Q346" i="31"/>
  <c r="Q347" i="31"/>
  <c r="Q348" i="31"/>
  <c r="Q349" i="31"/>
  <c r="Q350" i="31"/>
  <c r="Q351" i="31"/>
  <c r="Q352" i="31"/>
  <c r="Q353" i="31"/>
  <c r="Q354" i="31"/>
  <c r="Q355" i="31"/>
  <c r="Q356" i="31"/>
  <c r="Q357" i="31"/>
  <c r="Q358" i="31"/>
  <c r="Q359" i="31"/>
  <c r="Q360" i="31"/>
  <c r="Q361" i="31"/>
  <c r="Q362" i="31"/>
  <c r="Q363" i="31"/>
  <c r="Q364" i="31"/>
  <c r="Q365" i="31"/>
  <c r="Q366" i="31"/>
  <c r="Q367" i="31"/>
  <c r="Q368" i="31"/>
  <c r="Q369" i="31"/>
  <c r="Q370" i="31"/>
  <c r="Q371" i="31"/>
  <c r="Q372" i="31"/>
  <c r="Q373" i="31"/>
  <c r="Q374" i="31"/>
  <c r="Q375" i="31"/>
  <c r="Q376" i="31"/>
  <c r="Q377" i="31"/>
  <c r="Q378" i="31"/>
  <c r="Q379" i="31"/>
  <c r="Q380" i="31"/>
  <c r="Q381" i="31"/>
  <c r="Q382" i="31"/>
  <c r="Q383" i="31"/>
  <c r="Q384" i="31"/>
  <c r="Q385" i="31"/>
  <c r="Q386" i="31"/>
  <c r="Q387" i="31"/>
  <c r="Q388" i="31"/>
  <c r="Q389" i="31"/>
  <c r="Q390" i="31"/>
  <c r="Q391" i="31"/>
  <c r="Q392" i="31"/>
  <c r="Q393" i="31"/>
  <c r="Q394" i="31"/>
  <c r="Q395" i="31"/>
  <c r="Q396" i="31"/>
  <c r="Q397" i="31"/>
  <c r="Q398" i="31"/>
  <c r="Q399" i="31"/>
  <c r="Q400" i="31"/>
  <c r="Q401" i="31"/>
  <c r="Q402" i="31"/>
  <c r="Q403" i="31"/>
  <c r="Q404" i="31"/>
  <c r="Q405" i="31"/>
  <c r="Q406" i="31"/>
  <c r="Q407" i="31"/>
  <c r="Q408" i="31"/>
  <c r="Q409" i="31"/>
  <c r="Q410" i="31"/>
  <c r="Q411" i="31"/>
  <c r="Q412" i="31"/>
  <c r="Q413" i="31"/>
  <c r="Q414" i="31"/>
  <c r="Q415" i="31"/>
  <c r="Q416" i="31"/>
  <c r="Q417" i="31"/>
  <c r="Q418" i="31"/>
  <c r="Q419" i="31"/>
  <c r="Q420" i="31"/>
  <c r="Q421" i="31"/>
  <c r="Q422" i="31"/>
  <c r="Q423" i="31"/>
  <c r="Q424" i="31"/>
  <c r="Q425" i="31"/>
  <c r="Q426" i="31"/>
  <c r="Q427" i="31"/>
  <c r="Q428" i="31"/>
  <c r="Q429" i="31"/>
  <c r="Q430" i="31"/>
  <c r="Q431" i="31"/>
  <c r="Q432" i="31"/>
  <c r="Q433" i="31"/>
  <c r="Q434" i="31"/>
  <c r="Q435" i="31"/>
  <c r="Q436" i="31"/>
  <c r="Q437" i="31"/>
  <c r="Q438" i="31"/>
  <c r="Q439" i="31"/>
  <c r="Q440" i="31"/>
  <c r="Q441" i="31"/>
  <c r="Q442" i="31"/>
  <c r="Q443" i="31"/>
  <c r="Q444" i="31"/>
  <c r="Q445" i="31"/>
  <c r="Q446" i="31"/>
  <c r="Q447" i="31"/>
  <c r="Q448" i="31"/>
  <c r="Q449" i="31"/>
  <c r="Q450" i="31"/>
  <c r="Q451" i="31"/>
  <c r="Q452" i="31"/>
  <c r="Q453" i="31"/>
  <c r="Q454" i="31"/>
  <c r="Q455" i="31"/>
  <c r="Q456" i="31"/>
  <c r="Q457" i="31"/>
  <c r="Q458" i="31"/>
  <c r="Q459" i="31"/>
  <c r="Q460" i="31"/>
  <c r="Q461" i="31"/>
  <c r="Q462" i="31"/>
  <c r="Q463" i="31"/>
  <c r="Q464" i="31"/>
  <c r="Q465" i="31"/>
  <c r="Q466" i="31"/>
  <c r="Q467" i="31"/>
  <c r="Q468" i="31"/>
  <c r="Q469" i="31"/>
  <c r="Q470" i="31"/>
  <c r="Q471" i="31"/>
  <c r="Q472" i="31"/>
  <c r="Q473" i="31"/>
  <c r="Q474" i="31"/>
  <c r="Q475" i="31"/>
  <c r="Q476" i="31"/>
  <c r="Q477" i="31"/>
  <c r="Q478" i="31"/>
  <c r="Q479" i="31"/>
  <c r="Q480" i="31"/>
  <c r="Q481" i="31"/>
  <c r="Q482" i="31"/>
  <c r="Q483" i="31"/>
  <c r="Q484" i="31"/>
  <c r="Q485" i="31"/>
  <c r="Q486" i="31"/>
  <c r="Q487" i="31"/>
  <c r="Q488" i="31"/>
  <c r="Q489" i="31"/>
  <c r="Q490" i="31"/>
  <c r="Q491" i="31"/>
  <c r="Q492" i="31"/>
  <c r="Q493" i="31"/>
  <c r="Q494" i="31"/>
  <c r="Q495" i="31"/>
  <c r="Q496" i="31"/>
  <c r="Q497" i="31"/>
  <c r="Q498" i="31"/>
  <c r="Q499" i="31"/>
  <c r="Q500" i="31"/>
  <c r="Q501" i="31"/>
  <c r="Q502" i="31"/>
  <c r="Q503" i="31"/>
  <c r="Q504" i="31"/>
  <c r="Q505" i="31"/>
  <c r="Q506" i="31"/>
  <c r="Q507" i="31"/>
  <c r="Q508" i="31"/>
  <c r="Q509" i="31"/>
  <c r="Q510" i="31"/>
  <c r="Q511" i="31"/>
  <c r="Q512" i="31"/>
  <c r="Q513" i="31"/>
  <c r="Q514" i="31"/>
  <c r="Q515" i="31"/>
  <c r="Q516" i="31"/>
  <c r="Q517" i="31"/>
  <c r="Q518" i="31"/>
  <c r="Q519" i="31"/>
  <c r="Q520" i="31"/>
  <c r="Q521" i="31"/>
  <c r="Q522" i="31"/>
  <c r="Q523" i="31"/>
  <c r="Q524" i="31"/>
  <c r="Q525" i="31"/>
  <c r="Q526" i="31"/>
  <c r="Q527" i="31"/>
  <c r="O32" i="31"/>
  <c r="O33" i="31"/>
  <c r="O34" i="31"/>
  <c r="O35" i="31"/>
  <c r="O36" i="31"/>
  <c r="O37" i="31"/>
  <c r="O38" i="31"/>
  <c r="O39" i="31"/>
  <c r="O40" i="31"/>
  <c r="O41" i="31"/>
  <c r="O42" i="31"/>
  <c r="O43" i="31"/>
  <c r="O44" i="31"/>
  <c r="O45" i="31"/>
  <c r="O46" i="31"/>
  <c r="O47" i="31"/>
  <c r="O48" i="31"/>
  <c r="O49" i="31"/>
  <c r="O50" i="31"/>
  <c r="O51" i="31"/>
  <c r="O52" i="31"/>
  <c r="O53" i="31"/>
  <c r="O54" i="31"/>
  <c r="O55" i="31"/>
  <c r="O56" i="31"/>
  <c r="O57" i="31"/>
  <c r="O58" i="31"/>
  <c r="O59" i="31"/>
  <c r="O60" i="31"/>
  <c r="O61" i="31"/>
  <c r="O62" i="31"/>
  <c r="O63" i="31"/>
  <c r="O64" i="31"/>
  <c r="O65" i="31"/>
  <c r="O66" i="31"/>
  <c r="O67" i="31"/>
  <c r="O68" i="31"/>
  <c r="O69" i="31"/>
  <c r="O70" i="31"/>
  <c r="O71" i="31"/>
  <c r="O72" i="31"/>
  <c r="O73" i="31"/>
  <c r="O74" i="31"/>
  <c r="O75" i="31"/>
  <c r="O76" i="31"/>
  <c r="O77" i="31"/>
  <c r="O78" i="31"/>
  <c r="O79" i="31"/>
  <c r="O80" i="31"/>
  <c r="O81" i="31"/>
  <c r="O82" i="31"/>
  <c r="O83" i="31"/>
  <c r="O84" i="31"/>
  <c r="O85" i="31"/>
  <c r="O86" i="31"/>
  <c r="O87" i="31"/>
  <c r="O88" i="31"/>
  <c r="O89" i="31"/>
  <c r="O90" i="31"/>
  <c r="O91" i="31"/>
  <c r="O92" i="31"/>
  <c r="O93" i="31"/>
  <c r="O94" i="31"/>
  <c r="O95" i="31"/>
  <c r="O96" i="31"/>
  <c r="O97" i="31"/>
  <c r="O98" i="31"/>
  <c r="O99" i="31"/>
  <c r="O100" i="31"/>
  <c r="O101" i="31"/>
  <c r="O102" i="31"/>
  <c r="O103" i="31"/>
  <c r="O104" i="31"/>
  <c r="O105" i="31"/>
  <c r="O106" i="31"/>
  <c r="O107" i="31"/>
  <c r="O108" i="31"/>
  <c r="O109" i="31"/>
  <c r="O110" i="31"/>
  <c r="O111" i="31"/>
  <c r="O112" i="31"/>
  <c r="O113" i="31"/>
  <c r="O114" i="31"/>
  <c r="O115" i="31"/>
  <c r="O116" i="31"/>
  <c r="O117" i="31"/>
  <c r="O118" i="31"/>
  <c r="O119" i="31"/>
  <c r="O120" i="31"/>
  <c r="O121" i="31"/>
  <c r="O122" i="31"/>
  <c r="O123" i="31"/>
  <c r="O124" i="31"/>
  <c r="O125" i="31"/>
  <c r="O126" i="31"/>
  <c r="O127" i="31"/>
  <c r="O128" i="31"/>
  <c r="O129" i="31"/>
  <c r="O130" i="31"/>
  <c r="O131" i="31"/>
  <c r="O132" i="31"/>
  <c r="O133" i="31"/>
  <c r="O134" i="31"/>
  <c r="O135" i="31"/>
  <c r="O136" i="31"/>
  <c r="O137" i="31"/>
  <c r="O138" i="31"/>
  <c r="O139" i="31"/>
  <c r="O140" i="31"/>
  <c r="O141" i="31"/>
  <c r="O142" i="31"/>
  <c r="O143" i="31"/>
  <c r="O144" i="31"/>
  <c r="O145" i="31"/>
  <c r="O146" i="31"/>
  <c r="O147" i="31"/>
  <c r="O148" i="31"/>
  <c r="O149" i="31"/>
  <c r="O150" i="31"/>
  <c r="O151" i="31"/>
  <c r="O152" i="31"/>
  <c r="O153" i="31"/>
  <c r="O154" i="31"/>
  <c r="O155" i="31"/>
  <c r="O156" i="31"/>
  <c r="O157" i="31"/>
  <c r="O158" i="31"/>
  <c r="O159" i="31"/>
  <c r="O160" i="31"/>
  <c r="O161" i="31"/>
  <c r="O162" i="31"/>
  <c r="O163" i="31"/>
  <c r="O164" i="31"/>
  <c r="O165" i="31"/>
  <c r="O166" i="31"/>
  <c r="O167" i="31"/>
  <c r="O168" i="31"/>
  <c r="O169" i="31"/>
  <c r="O170" i="31"/>
  <c r="O171" i="31"/>
  <c r="O172" i="31"/>
  <c r="O173" i="31"/>
  <c r="O174" i="31"/>
  <c r="O175" i="31"/>
  <c r="O176" i="31"/>
  <c r="O177" i="31"/>
  <c r="O178" i="31"/>
  <c r="O179" i="31"/>
  <c r="O180" i="31"/>
  <c r="O181" i="31"/>
  <c r="O182" i="31"/>
  <c r="O183" i="31"/>
  <c r="O184" i="31"/>
  <c r="O185" i="31"/>
  <c r="O186" i="31"/>
  <c r="O187" i="31"/>
  <c r="O188" i="31"/>
  <c r="O189" i="31"/>
  <c r="O190" i="31"/>
  <c r="O191" i="31"/>
  <c r="O192" i="31"/>
  <c r="O193" i="31"/>
  <c r="O194" i="31"/>
  <c r="O195" i="31"/>
  <c r="O196" i="31"/>
  <c r="O197" i="31"/>
  <c r="O198" i="31"/>
  <c r="O199" i="31"/>
  <c r="O200" i="31"/>
  <c r="O201" i="31"/>
  <c r="O202" i="31"/>
  <c r="O203" i="31"/>
  <c r="O204" i="31"/>
  <c r="O205" i="31"/>
  <c r="O206" i="31"/>
  <c r="O207" i="31"/>
  <c r="O208" i="31"/>
  <c r="O209" i="31"/>
  <c r="O210" i="31"/>
  <c r="O211" i="31"/>
  <c r="O212" i="31"/>
  <c r="O213" i="31"/>
  <c r="O214" i="31"/>
  <c r="O215" i="31"/>
  <c r="O216" i="31"/>
  <c r="O217" i="31"/>
  <c r="O218" i="31"/>
  <c r="O219" i="31"/>
  <c r="O220" i="31"/>
  <c r="O221" i="31"/>
  <c r="O222" i="31"/>
  <c r="O223" i="31"/>
  <c r="O224" i="31"/>
  <c r="O225" i="31"/>
  <c r="O226" i="31"/>
  <c r="O227" i="31"/>
  <c r="O228" i="31"/>
  <c r="O229" i="31"/>
  <c r="O230" i="31"/>
  <c r="O231" i="31"/>
  <c r="O232" i="31"/>
  <c r="O233" i="31"/>
  <c r="O234" i="31"/>
  <c r="O235" i="31"/>
  <c r="O236" i="31"/>
  <c r="O237" i="31"/>
  <c r="O238" i="31"/>
  <c r="O239" i="31"/>
  <c r="O240" i="31"/>
  <c r="O241" i="31"/>
  <c r="O242" i="31"/>
  <c r="O243" i="31"/>
  <c r="O244" i="31"/>
  <c r="O245" i="31"/>
  <c r="O246" i="31"/>
  <c r="O247" i="31"/>
  <c r="O248" i="31"/>
  <c r="O249" i="31"/>
  <c r="O250" i="31"/>
  <c r="O251" i="31"/>
  <c r="O252" i="31"/>
  <c r="O253" i="31"/>
  <c r="O254" i="31"/>
  <c r="O255" i="31"/>
  <c r="O256" i="31"/>
  <c r="O257" i="31"/>
  <c r="O258" i="31"/>
  <c r="O259" i="31"/>
  <c r="O260" i="31"/>
  <c r="O261" i="31"/>
  <c r="O262" i="31"/>
  <c r="O263" i="31"/>
  <c r="O264" i="31"/>
  <c r="O265" i="31"/>
  <c r="O266" i="31"/>
  <c r="O267" i="31"/>
  <c r="O268" i="31"/>
  <c r="O269" i="31"/>
  <c r="O270" i="31"/>
  <c r="O271" i="31"/>
  <c r="O272" i="31"/>
  <c r="O273" i="31"/>
  <c r="O274" i="31"/>
  <c r="O275" i="31"/>
  <c r="O276" i="31"/>
  <c r="O277" i="31"/>
  <c r="O278" i="31"/>
  <c r="O279" i="31"/>
  <c r="O280" i="31"/>
  <c r="O281" i="31"/>
  <c r="O282" i="31"/>
  <c r="O283" i="31"/>
  <c r="O284" i="31"/>
  <c r="O285" i="31"/>
  <c r="O286" i="31"/>
  <c r="O287" i="31"/>
  <c r="O288" i="31"/>
  <c r="O289" i="31"/>
  <c r="O290" i="31"/>
  <c r="O291" i="31"/>
  <c r="O292" i="31"/>
  <c r="O293" i="31"/>
  <c r="O294" i="31"/>
  <c r="O295" i="31"/>
  <c r="O296" i="31"/>
  <c r="O297" i="31"/>
  <c r="O298" i="31"/>
  <c r="O299" i="31"/>
  <c r="O300" i="31"/>
  <c r="O301" i="31"/>
  <c r="O302" i="31"/>
  <c r="O303" i="31"/>
  <c r="O304" i="31"/>
  <c r="O305" i="31"/>
  <c r="O306" i="31"/>
  <c r="O307" i="31"/>
  <c r="O308" i="31"/>
  <c r="O309" i="31"/>
  <c r="O310" i="31"/>
  <c r="O311" i="31"/>
  <c r="O312" i="31"/>
  <c r="O313" i="31"/>
  <c r="O314" i="31"/>
  <c r="O315" i="31"/>
  <c r="O316" i="31"/>
  <c r="O317" i="31"/>
  <c r="O318" i="31"/>
  <c r="O319" i="31"/>
  <c r="O320" i="31"/>
  <c r="O321" i="31"/>
  <c r="O322" i="31"/>
  <c r="O323" i="31"/>
  <c r="O324" i="31"/>
  <c r="O325" i="31"/>
  <c r="O326" i="31"/>
  <c r="O327" i="31"/>
  <c r="O328" i="31"/>
  <c r="O329" i="31"/>
  <c r="O330" i="31"/>
  <c r="O331" i="31"/>
  <c r="O332" i="31"/>
  <c r="O333" i="31"/>
  <c r="O334" i="31"/>
  <c r="O335" i="31"/>
  <c r="O336" i="31"/>
  <c r="O337" i="31"/>
  <c r="O338" i="31"/>
  <c r="O339" i="31"/>
  <c r="O340" i="31"/>
  <c r="O341" i="31"/>
  <c r="O342" i="31"/>
  <c r="O343" i="31"/>
  <c r="O344" i="31"/>
  <c r="O345" i="31"/>
  <c r="O346" i="31"/>
  <c r="O347" i="31"/>
  <c r="O348" i="31"/>
  <c r="O349" i="31"/>
  <c r="O350" i="31"/>
  <c r="O351" i="31"/>
  <c r="O352" i="31"/>
  <c r="O353" i="31"/>
  <c r="O354" i="31"/>
  <c r="O355" i="31"/>
  <c r="O356" i="31"/>
  <c r="O357" i="31"/>
  <c r="O358" i="31"/>
  <c r="O359" i="31"/>
  <c r="O360" i="31"/>
  <c r="O361" i="31"/>
  <c r="O362" i="31"/>
  <c r="O363" i="31"/>
  <c r="O364" i="31"/>
  <c r="O365" i="31"/>
  <c r="O366" i="31"/>
  <c r="O367" i="31"/>
  <c r="O368" i="31"/>
  <c r="O369" i="31"/>
  <c r="O370" i="31"/>
  <c r="O371" i="31"/>
  <c r="O372" i="31"/>
  <c r="O373" i="31"/>
  <c r="O374" i="31"/>
  <c r="O375" i="31"/>
  <c r="O376" i="31"/>
  <c r="O377" i="31"/>
  <c r="O378" i="31"/>
  <c r="O379" i="31"/>
  <c r="O380" i="31"/>
  <c r="O381" i="31"/>
  <c r="O382" i="31"/>
  <c r="O383" i="31"/>
  <c r="O384" i="31"/>
  <c r="O385" i="31"/>
  <c r="O386" i="31"/>
  <c r="O387" i="31"/>
  <c r="O388" i="31"/>
  <c r="O389" i="31"/>
  <c r="O390" i="31"/>
  <c r="O391" i="31"/>
  <c r="O392" i="31"/>
  <c r="O393" i="31"/>
  <c r="O394" i="31"/>
  <c r="O395" i="31"/>
  <c r="O396" i="31"/>
  <c r="O397" i="31"/>
  <c r="O398" i="31"/>
  <c r="O399" i="31"/>
  <c r="O400" i="31"/>
  <c r="O401" i="31"/>
  <c r="O402" i="31"/>
  <c r="O403" i="31"/>
  <c r="O404" i="31"/>
  <c r="O405" i="31"/>
  <c r="O406" i="31"/>
  <c r="O407" i="31"/>
  <c r="O408" i="31"/>
  <c r="O409" i="31"/>
  <c r="O410" i="31"/>
  <c r="O411" i="31"/>
  <c r="O412" i="31"/>
  <c r="O413" i="31"/>
  <c r="O414" i="31"/>
  <c r="O415" i="31"/>
  <c r="O416" i="31"/>
  <c r="O417" i="31"/>
  <c r="O418" i="31"/>
  <c r="O419" i="31"/>
  <c r="O420" i="31"/>
  <c r="O421" i="31"/>
  <c r="O422" i="31"/>
  <c r="O423" i="31"/>
  <c r="O424" i="31"/>
  <c r="O425" i="31"/>
  <c r="O426" i="31"/>
  <c r="O427" i="31"/>
  <c r="O428" i="31"/>
  <c r="O429" i="31"/>
  <c r="O430" i="31"/>
  <c r="O431" i="31"/>
  <c r="O432" i="31"/>
  <c r="O433" i="31"/>
  <c r="O434" i="31"/>
  <c r="O435" i="31"/>
  <c r="O436" i="31"/>
  <c r="O437" i="31"/>
  <c r="O438" i="31"/>
  <c r="O439" i="31"/>
  <c r="O440" i="31"/>
  <c r="O441" i="31"/>
  <c r="O442" i="31"/>
  <c r="O443" i="31"/>
  <c r="O444" i="31"/>
  <c r="O445" i="31"/>
  <c r="O446" i="31"/>
  <c r="O447" i="31"/>
  <c r="O448" i="31"/>
  <c r="O449" i="31"/>
  <c r="O450" i="31"/>
  <c r="O451" i="31"/>
  <c r="O452" i="31"/>
  <c r="O453" i="31"/>
  <c r="O454" i="31"/>
  <c r="O455" i="31"/>
  <c r="O456" i="31"/>
  <c r="O457" i="31"/>
  <c r="O458" i="31"/>
  <c r="O459" i="31"/>
  <c r="O460" i="31"/>
  <c r="O461" i="31"/>
  <c r="O462" i="31"/>
  <c r="O463" i="31"/>
  <c r="O464" i="31"/>
  <c r="O465" i="31"/>
  <c r="O466" i="31"/>
  <c r="O467" i="31"/>
  <c r="O468" i="31"/>
  <c r="O469" i="31"/>
  <c r="O470" i="31"/>
  <c r="O471" i="31"/>
  <c r="O472" i="31"/>
  <c r="O473" i="31"/>
  <c r="O474" i="31"/>
  <c r="O475" i="31"/>
  <c r="O476" i="31"/>
  <c r="O477" i="31"/>
  <c r="O478" i="31"/>
  <c r="O479" i="31"/>
  <c r="O480" i="31"/>
  <c r="O481" i="31"/>
  <c r="O482" i="31"/>
  <c r="O483" i="31"/>
  <c r="O484" i="31"/>
  <c r="O485" i="31"/>
  <c r="O486" i="31"/>
  <c r="O487" i="31"/>
  <c r="O488" i="31"/>
  <c r="O489" i="31"/>
  <c r="O490" i="31"/>
  <c r="O491" i="31"/>
  <c r="O492" i="31"/>
  <c r="O493" i="31"/>
  <c r="O494" i="31"/>
  <c r="O495" i="31"/>
  <c r="O496" i="31"/>
  <c r="O497" i="31"/>
  <c r="O498" i="31"/>
  <c r="O499" i="31"/>
  <c r="O500" i="31"/>
  <c r="O501" i="31"/>
  <c r="O502" i="31"/>
  <c r="O503" i="31"/>
  <c r="O504" i="31"/>
  <c r="O505" i="31"/>
  <c r="O506" i="31"/>
  <c r="O507" i="31"/>
  <c r="O508" i="31"/>
  <c r="O509" i="31"/>
  <c r="O510" i="31"/>
  <c r="O511" i="31"/>
  <c r="O512" i="31"/>
  <c r="O513" i="31"/>
  <c r="O514" i="31"/>
  <c r="O515" i="31"/>
  <c r="O516" i="31"/>
  <c r="O517" i="31"/>
  <c r="O518" i="31"/>
  <c r="O519" i="31"/>
  <c r="O520" i="31"/>
  <c r="O521" i="31"/>
  <c r="O522" i="31"/>
  <c r="O523" i="31"/>
  <c r="O524" i="31"/>
  <c r="O525" i="31"/>
  <c r="O526" i="31"/>
  <c r="O527" i="31"/>
  <c r="M32" i="31"/>
  <c r="M33" i="31"/>
  <c r="M34" i="31"/>
  <c r="M35" i="31"/>
  <c r="M36" i="31"/>
  <c r="M37" i="31"/>
  <c r="M38" i="31"/>
  <c r="M39" i="31"/>
  <c r="M40" i="31"/>
  <c r="M41" i="31"/>
  <c r="M42" i="31"/>
  <c r="M43" i="31"/>
  <c r="M44" i="31"/>
  <c r="M45" i="31"/>
  <c r="M46" i="31"/>
  <c r="M47" i="31"/>
  <c r="M48" i="31"/>
  <c r="M49" i="31"/>
  <c r="M50" i="31"/>
  <c r="M51" i="31"/>
  <c r="M52" i="31"/>
  <c r="M53" i="31"/>
  <c r="M54" i="31"/>
  <c r="M55" i="31"/>
  <c r="M56" i="31"/>
  <c r="M57" i="31"/>
  <c r="M58" i="31"/>
  <c r="M59" i="31"/>
  <c r="M60" i="31"/>
  <c r="M61" i="31"/>
  <c r="M62" i="31"/>
  <c r="M63" i="31"/>
  <c r="M64" i="31"/>
  <c r="M65" i="31"/>
  <c r="M66" i="31"/>
  <c r="M67" i="31"/>
  <c r="M68" i="31"/>
  <c r="M69" i="31"/>
  <c r="M70" i="31"/>
  <c r="M71" i="31"/>
  <c r="M72" i="31"/>
  <c r="M73" i="31"/>
  <c r="M74" i="31"/>
  <c r="M75" i="31"/>
  <c r="M76" i="31"/>
  <c r="M77" i="31"/>
  <c r="M78" i="31"/>
  <c r="M79" i="31"/>
  <c r="M80" i="31"/>
  <c r="M81" i="31"/>
  <c r="M82" i="31"/>
  <c r="M83" i="31"/>
  <c r="M84" i="31"/>
  <c r="M85" i="31"/>
  <c r="M86" i="31"/>
  <c r="M87" i="31"/>
  <c r="M88" i="31"/>
  <c r="M89" i="31"/>
  <c r="M90" i="31"/>
  <c r="M91" i="31"/>
  <c r="M92" i="31"/>
  <c r="M93" i="31"/>
  <c r="M94" i="31"/>
  <c r="M95" i="31"/>
  <c r="M96" i="31"/>
  <c r="M97" i="31"/>
  <c r="M98" i="31"/>
  <c r="M99" i="31"/>
  <c r="M100" i="31"/>
  <c r="M101" i="31"/>
  <c r="M102" i="31"/>
  <c r="M103" i="31"/>
  <c r="M104" i="31"/>
  <c r="M105" i="31"/>
  <c r="M106" i="31"/>
  <c r="M107" i="31"/>
  <c r="M108" i="31"/>
  <c r="M109" i="31"/>
  <c r="M110" i="31"/>
  <c r="M111" i="31"/>
  <c r="M112" i="31"/>
  <c r="M113" i="31"/>
  <c r="M114" i="31"/>
  <c r="M115" i="31"/>
  <c r="M116" i="31"/>
  <c r="M117" i="31"/>
  <c r="M118" i="31"/>
  <c r="M119" i="31"/>
  <c r="M120" i="31"/>
  <c r="M121" i="31"/>
  <c r="M122" i="31"/>
  <c r="M123" i="31"/>
  <c r="M124" i="31"/>
  <c r="M125" i="31"/>
  <c r="M126" i="31"/>
  <c r="M127" i="31"/>
  <c r="M128" i="31"/>
  <c r="M129" i="31"/>
  <c r="M130" i="31"/>
  <c r="M131" i="31"/>
  <c r="M132" i="31"/>
  <c r="M133" i="31"/>
  <c r="M134" i="31"/>
  <c r="M135" i="31"/>
  <c r="M136" i="31"/>
  <c r="M137" i="31"/>
  <c r="M138" i="31"/>
  <c r="M139" i="31"/>
  <c r="M140" i="31"/>
  <c r="M141" i="31"/>
  <c r="M142" i="31"/>
  <c r="M143" i="31"/>
  <c r="M144" i="31"/>
  <c r="M145" i="31"/>
  <c r="M146" i="31"/>
  <c r="M147" i="31"/>
  <c r="M148" i="31"/>
  <c r="M149" i="31"/>
  <c r="M150" i="31"/>
  <c r="M151" i="31"/>
  <c r="M152" i="31"/>
  <c r="M153" i="31"/>
  <c r="M154" i="31"/>
  <c r="M155" i="31"/>
  <c r="M156" i="31"/>
  <c r="M157" i="31"/>
  <c r="M158" i="31"/>
  <c r="M159" i="31"/>
  <c r="M160" i="31"/>
  <c r="M161" i="31"/>
  <c r="M162" i="31"/>
  <c r="M163" i="31"/>
  <c r="M164" i="31"/>
  <c r="M165" i="31"/>
  <c r="M166" i="31"/>
  <c r="M167" i="31"/>
  <c r="M168" i="31"/>
  <c r="M169" i="31"/>
  <c r="M170" i="31"/>
  <c r="M171" i="31"/>
  <c r="M172" i="31"/>
  <c r="M173" i="31"/>
  <c r="M174" i="31"/>
  <c r="M175" i="31"/>
  <c r="M176" i="31"/>
  <c r="M177" i="31"/>
  <c r="M178" i="31"/>
  <c r="M179" i="31"/>
  <c r="M180" i="31"/>
  <c r="M181" i="31"/>
  <c r="M182" i="31"/>
  <c r="M183" i="31"/>
  <c r="M184" i="31"/>
  <c r="M185" i="31"/>
  <c r="M186" i="31"/>
  <c r="M187" i="31"/>
  <c r="M188" i="31"/>
  <c r="M189" i="31"/>
  <c r="M190" i="31"/>
  <c r="M191" i="31"/>
  <c r="M192" i="31"/>
  <c r="M193" i="31"/>
  <c r="M194" i="31"/>
  <c r="M195" i="31"/>
  <c r="M196" i="31"/>
  <c r="M197" i="31"/>
  <c r="M198" i="31"/>
  <c r="M199" i="31"/>
  <c r="M200" i="31"/>
  <c r="M201" i="31"/>
  <c r="M202" i="31"/>
  <c r="M203" i="31"/>
  <c r="M204" i="31"/>
  <c r="M205" i="31"/>
  <c r="M206" i="31"/>
  <c r="M207" i="31"/>
  <c r="M208" i="31"/>
  <c r="M209" i="31"/>
  <c r="M210" i="31"/>
  <c r="M211" i="31"/>
  <c r="M212" i="31"/>
  <c r="M213" i="31"/>
  <c r="M214" i="31"/>
  <c r="M215" i="31"/>
  <c r="M216" i="31"/>
  <c r="M217" i="31"/>
  <c r="M218" i="31"/>
  <c r="M219" i="31"/>
  <c r="M220" i="31"/>
  <c r="M221" i="31"/>
  <c r="M222" i="31"/>
  <c r="M223" i="31"/>
  <c r="M224" i="31"/>
  <c r="M225" i="31"/>
  <c r="M226" i="31"/>
  <c r="M227" i="31"/>
  <c r="M228" i="31"/>
  <c r="M229" i="31"/>
  <c r="M230" i="31"/>
  <c r="M231" i="31"/>
  <c r="M232" i="31"/>
  <c r="M233" i="31"/>
  <c r="M234" i="31"/>
  <c r="M235" i="31"/>
  <c r="M236" i="31"/>
  <c r="M237" i="31"/>
  <c r="M238" i="31"/>
  <c r="M239" i="31"/>
  <c r="M240" i="31"/>
  <c r="M241" i="31"/>
  <c r="M242" i="31"/>
  <c r="M243" i="31"/>
  <c r="M244" i="31"/>
  <c r="M245" i="31"/>
  <c r="M246" i="31"/>
  <c r="M247" i="31"/>
  <c r="M248" i="31"/>
  <c r="M249" i="31"/>
  <c r="M250" i="31"/>
  <c r="M251" i="31"/>
  <c r="M252" i="31"/>
  <c r="M253" i="31"/>
  <c r="M254" i="31"/>
  <c r="M255" i="31"/>
  <c r="M256" i="31"/>
  <c r="M257" i="31"/>
  <c r="M258" i="31"/>
  <c r="M259" i="31"/>
  <c r="M260" i="31"/>
  <c r="M261" i="31"/>
  <c r="M262" i="31"/>
  <c r="M263" i="31"/>
  <c r="M264" i="31"/>
  <c r="M265" i="31"/>
  <c r="M266" i="31"/>
  <c r="M267" i="31"/>
  <c r="M268" i="31"/>
  <c r="M269" i="31"/>
  <c r="M270" i="31"/>
  <c r="M271" i="31"/>
  <c r="M272" i="31"/>
  <c r="M273" i="31"/>
  <c r="M274" i="31"/>
  <c r="M275" i="31"/>
  <c r="M276" i="31"/>
  <c r="M277" i="31"/>
  <c r="M278" i="31"/>
  <c r="M279" i="31"/>
  <c r="M280" i="31"/>
  <c r="M281" i="31"/>
  <c r="M282" i="31"/>
  <c r="M283" i="31"/>
  <c r="M284" i="31"/>
  <c r="M285" i="31"/>
  <c r="M286" i="31"/>
  <c r="M287" i="31"/>
  <c r="M288" i="31"/>
  <c r="M289" i="31"/>
  <c r="M290" i="31"/>
  <c r="M291" i="31"/>
  <c r="M292" i="31"/>
  <c r="M293" i="31"/>
  <c r="M294" i="31"/>
  <c r="M295" i="31"/>
  <c r="M296" i="31"/>
  <c r="M297" i="31"/>
  <c r="M298" i="31"/>
  <c r="M299" i="31"/>
  <c r="M300" i="31"/>
  <c r="M301" i="31"/>
  <c r="M302" i="31"/>
  <c r="M303" i="31"/>
  <c r="M304" i="31"/>
  <c r="M305" i="31"/>
  <c r="M306" i="31"/>
  <c r="M307" i="31"/>
  <c r="M308" i="31"/>
  <c r="M309" i="31"/>
  <c r="M310" i="31"/>
  <c r="M311" i="31"/>
  <c r="M312" i="31"/>
  <c r="M313" i="31"/>
  <c r="M314" i="31"/>
  <c r="M315" i="31"/>
  <c r="M316" i="31"/>
  <c r="M317" i="31"/>
  <c r="M318" i="31"/>
  <c r="M319" i="31"/>
  <c r="M320" i="31"/>
  <c r="M321" i="31"/>
  <c r="M322" i="31"/>
  <c r="M323" i="31"/>
  <c r="M324" i="31"/>
  <c r="M325" i="31"/>
  <c r="M326" i="31"/>
  <c r="M327" i="31"/>
  <c r="M328" i="31"/>
  <c r="M329" i="31"/>
  <c r="M330" i="31"/>
  <c r="M331" i="31"/>
  <c r="M332" i="31"/>
  <c r="M333" i="31"/>
  <c r="M334" i="31"/>
  <c r="M335" i="31"/>
  <c r="M336" i="31"/>
  <c r="M337" i="31"/>
  <c r="M338" i="31"/>
  <c r="M339" i="31"/>
  <c r="M340" i="31"/>
  <c r="M341" i="31"/>
  <c r="M342" i="31"/>
  <c r="M343" i="31"/>
  <c r="M344" i="31"/>
  <c r="M345" i="31"/>
  <c r="M346" i="31"/>
  <c r="M347" i="31"/>
  <c r="M348" i="31"/>
  <c r="M349" i="31"/>
  <c r="M350" i="31"/>
  <c r="M351" i="31"/>
  <c r="M352" i="31"/>
  <c r="M353" i="31"/>
  <c r="M354" i="31"/>
  <c r="M355" i="31"/>
  <c r="M356" i="31"/>
  <c r="M357" i="31"/>
  <c r="M358" i="31"/>
  <c r="M359" i="31"/>
  <c r="M360" i="31"/>
  <c r="M361" i="31"/>
  <c r="M362" i="31"/>
  <c r="M363" i="31"/>
  <c r="M364" i="31"/>
  <c r="M365" i="31"/>
  <c r="M366" i="31"/>
  <c r="M367" i="31"/>
  <c r="M368" i="31"/>
  <c r="M369" i="31"/>
  <c r="M370" i="31"/>
  <c r="M371" i="31"/>
  <c r="M372" i="31"/>
  <c r="M373" i="31"/>
  <c r="M374" i="31"/>
  <c r="M375" i="31"/>
  <c r="M376" i="31"/>
  <c r="M377" i="31"/>
  <c r="M378" i="31"/>
  <c r="M379" i="31"/>
  <c r="M380" i="31"/>
  <c r="M381" i="31"/>
  <c r="M382" i="31"/>
  <c r="M383" i="31"/>
  <c r="M384" i="31"/>
  <c r="M385" i="31"/>
  <c r="M386" i="31"/>
  <c r="M387" i="31"/>
  <c r="M388" i="31"/>
  <c r="M389" i="31"/>
  <c r="M390" i="31"/>
  <c r="M391" i="31"/>
  <c r="M392" i="31"/>
  <c r="M393" i="31"/>
  <c r="M394" i="31"/>
  <c r="M395" i="31"/>
  <c r="M396" i="31"/>
  <c r="M397" i="31"/>
  <c r="M398" i="31"/>
  <c r="M399" i="31"/>
  <c r="M400" i="31"/>
  <c r="M401" i="31"/>
  <c r="M402" i="31"/>
  <c r="M403" i="31"/>
  <c r="M404" i="31"/>
  <c r="M405" i="31"/>
  <c r="M406" i="31"/>
  <c r="M407" i="31"/>
  <c r="M408" i="31"/>
  <c r="M409" i="31"/>
  <c r="M410" i="31"/>
  <c r="M411" i="31"/>
  <c r="M412" i="31"/>
  <c r="M413" i="31"/>
  <c r="M414" i="31"/>
  <c r="M415" i="31"/>
  <c r="M416" i="31"/>
  <c r="M417" i="31"/>
  <c r="M418" i="31"/>
  <c r="M419" i="31"/>
  <c r="M420" i="31"/>
  <c r="M421" i="31"/>
  <c r="M422" i="31"/>
  <c r="M423" i="31"/>
  <c r="M424" i="31"/>
  <c r="M425" i="31"/>
  <c r="M426" i="31"/>
  <c r="M427" i="31"/>
  <c r="M428" i="31"/>
  <c r="M429" i="31"/>
  <c r="M430" i="31"/>
  <c r="M431" i="31"/>
  <c r="M432" i="31"/>
  <c r="M433" i="31"/>
  <c r="M434" i="31"/>
  <c r="M435" i="31"/>
  <c r="M436" i="31"/>
  <c r="M437" i="31"/>
  <c r="M438" i="31"/>
  <c r="M439" i="31"/>
  <c r="M440" i="31"/>
  <c r="M441" i="31"/>
  <c r="M442" i="31"/>
  <c r="M443" i="31"/>
  <c r="M444" i="31"/>
  <c r="M445" i="31"/>
  <c r="M446" i="31"/>
  <c r="M447" i="31"/>
  <c r="M448" i="31"/>
  <c r="M449" i="31"/>
  <c r="M450" i="31"/>
  <c r="M451" i="31"/>
  <c r="M452" i="31"/>
  <c r="M453" i="31"/>
  <c r="M454" i="31"/>
  <c r="M455" i="31"/>
  <c r="M456" i="31"/>
  <c r="M457" i="31"/>
  <c r="M458" i="31"/>
  <c r="M459" i="31"/>
  <c r="M460" i="31"/>
  <c r="M461" i="31"/>
  <c r="M462" i="31"/>
  <c r="M463" i="31"/>
  <c r="M464" i="31"/>
  <c r="M465" i="31"/>
  <c r="M466" i="31"/>
  <c r="M467" i="31"/>
  <c r="M468" i="31"/>
  <c r="M469" i="31"/>
  <c r="M470" i="31"/>
  <c r="M471" i="31"/>
  <c r="M472" i="31"/>
  <c r="M473" i="31"/>
  <c r="M474" i="31"/>
  <c r="M475" i="31"/>
  <c r="M476" i="31"/>
  <c r="M477" i="31"/>
  <c r="M478" i="31"/>
  <c r="M479" i="31"/>
  <c r="M480" i="31"/>
  <c r="M481" i="31"/>
  <c r="M482" i="31"/>
  <c r="M483" i="31"/>
  <c r="M484" i="31"/>
  <c r="M485" i="31"/>
  <c r="M486" i="31"/>
  <c r="M487" i="31"/>
  <c r="M488" i="31"/>
  <c r="M489" i="31"/>
  <c r="M490" i="31"/>
  <c r="M491" i="31"/>
  <c r="M492" i="31"/>
  <c r="M493" i="31"/>
  <c r="M494" i="31"/>
  <c r="M495" i="31"/>
  <c r="M496" i="31"/>
  <c r="M497" i="31"/>
  <c r="M498" i="31"/>
  <c r="M499" i="31"/>
  <c r="M500" i="31"/>
  <c r="M501" i="31"/>
  <c r="M502" i="31"/>
  <c r="M503" i="31"/>
  <c r="M504" i="31"/>
  <c r="M505" i="31"/>
  <c r="M506" i="31"/>
  <c r="M507" i="31"/>
  <c r="M508" i="31"/>
  <c r="M509" i="31"/>
  <c r="M510" i="31"/>
  <c r="M511" i="31"/>
  <c r="M512" i="31"/>
  <c r="M513" i="31"/>
  <c r="M514" i="31"/>
  <c r="M515" i="31"/>
  <c r="M516" i="31"/>
  <c r="M517" i="31"/>
  <c r="M518" i="31"/>
  <c r="M519" i="31"/>
  <c r="M520" i="31"/>
  <c r="M521" i="31"/>
  <c r="M522" i="31"/>
  <c r="M523" i="31"/>
  <c r="M524" i="31"/>
  <c r="M525" i="31"/>
  <c r="M526" i="31"/>
  <c r="M527" i="31"/>
  <c r="K32" i="31"/>
  <c r="K33" i="31"/>
  <c r="K34" i="31"/>
  <c r="K35" i="31"/>
  <c r="K36" i="31"/>
  <c r="K37" i="31"/>
  <c r="K38" i="31"/>
  <c r="K39" i="31"/>
  <c r="K40" i="31"/>
  <c r="K41" i="31"/>
  <c r="K42" i="31"/>
  <c r="K43" i="31"/>
  <c r="K44" i="31"/>
  <c r="K45" i="31"/>
  <c r="K46" i="31"/>
  <c r="K47" i="31"/>
  <c r="K48" i="31"/>
  <c r="K49" i="31"/>
  <c r="K50" i="31"/>
  <c r="K51" i="31"/>
  <c r="K52" i="31"/>
  <c r="K53" i="31"/>
  <c r="K54" i="31"/>
  <c r="K55" i="31"/>
  <c r="K56" i="31"/>
  <c r="K57" i="31"/>
  <c r="K58" i="31"/>
  <c r="K59" i="31"/>
  <c r="K60" i="31"/>
  <c r="K61" i="31"/>
  <c r="K62" i="31"/>
  <c r="K63" i="31"/>
  <c r="K64" i="31"/>
  <c r="K65" i="31"/>
  <c r="K66" i="31"/>
  <c r="K67" i="31"/>
  <c r="K68" i="31"/>
  <c r="K69" i="31"/>
  <c r="K70" i="31"/>
  <c r="K71" i="31"/>
  <c r="K72" i="31"/>
  <c r="K73" i="31"/>
  <c r="K74" i="31"/>
  <c r="K75" i="31"/>
  <c r="K76" i="31"/>
  <c r="K77" i="31"/>
  <c r="K78" i="31"/>
  <c r="K79" i="31"/>
  <c r="K80" i="31"/>
  <c r="K81" i="31"/>
  <c r="K82" i="31"/>
  <c r="K83" i="31"/>
  <c r="K84" i="31"/>
  <c r="K85" i="31"/>
  <c r="K86" i="31"/>
  <c r="K87" i="31"/>
  <c r="K88" i="31"/>
  <c r="K89" i="31"/>
  <c r="K90" i="31"/>
  <c r="K91" i="31"/>
  <c r="K92" i="31"/>
  <c r="K93" i="31"/>
  <c r="K94" i="31"/>
  <c r="K95" i="31"/>
  <c r="K96" i="31"/>
  <c r="K97" i="31"/>
  <c r="K98" i="31"/>
  <c r="K99" i="31"/>
  <c r="K100" i="31"/>
  <c r="K101" i="31"/>
  <c r="K102" i="31"/>
  <c r="K103" i="31"/>
  <c r="K104" i="31"/>
  <c r="K105" i="31"/>
  <c r="K106" i="31"/>
  <c r="K107" i="31"/>
  <c r="K108" i="31"/>
  <c r="K109" i="31"/>
  <c r="K110" i="31"/>
  <c r="K111" i="31"/>
  <c r="K112" i="31"/>
  <c r="K113" i="31"/>
  <c r="K114" i="31"/>
  <c r="K115" i="31"/>
  <c r="K116" i="31"/>
  <c r="K117" i="31"/>
  <c r="K118" i="31"/>
  <c r="K119" i="31"/>
  <c r="K120" i="31"/>
  <c r="K121" i="31"/>
  <c r="K122" i="31"/>
  <c r="K123" i="31"/>
  <c r="K124" i="31"/>
  <c r="K125" i="31"/>
  <c r="K126" i="31"/>
  <c r="K127" i="31"/>
  <c r="K128" i="31"/>
  <c r="K129" i="31"/>
  <c r="K130" i="31"/>
  <c r="K131" i="31"/>
  <c r="K132" i="31"/>
  <c r="K133" i="31"/>
  <c r="K134" i="31"/>
  <c r="K135" i="31"/>
  <c r="K136" i="31"/>
  <c r="K137" i="31"/>
  <c r="K138" i="31"/>
  <c r="K139" i="31"/>
  <c r="K140" i="31"/>
  <c r="K141" i="31"/>
  <c r="K142" i="31"/>
  <c r="K143" i="31"/>
  <c r="K144" i="31"/>
  <c r="K145" i="31"/>
  <c r="K146" i="31"/>
  <c r="K147" i="31"/>
  <c r="K148" i="31"/>
  <c r="K149" i="31"/>
  <c r="K150" i="31"/>
  <c r="K151" i="31"/>
  <c r="K152" i="31"/>
  <c r="K153" i="31"/>
  <c r="K154" i="31"/>
  <c r="K155" i="31"/>
  <c r="K156" i="31"/>
  <c r="K157" i="31"/>
  <c r="K158" i="31"/>
  <c r="K159" i="31"/>
  <c r="K160" i="31"/>
  <c r="K161" i="31"/>
  <c r="K162" i="31"/>
  <c r="K163" i="31"/>
  <c r="K164" i="31"/>
  <c r="K165" i="31"/>
  <c r="K166" i="31"/>
  <c r="K167" i="31"/>
  <c r="K168" i="31"/>
  <c r="K169" i="31"/>
  <c r="K170" i="31"/>
  <c r="K171" i="31"/>
  <c r="K172" i="31"/>
  <c r="K173" i="31"/>
  <c r="K174" i="31"/>
  <c r="K175" i="31"/>
  <c r="K176" i="31"/>
  <c r="K177" i="31"/>
  <c r="K178" i="31"/>
  <c r="K179" i="31"/>
  <c r="K180" i="31"/>
  <c r="K181" i="31"/>
  <c r="K182" i="31"/>
  <c r="K183" i="31"/>
  <c r="K184" i="31"/>
  <c r="K185" i="31"/>
  <c r="K186" i="31"/>
  <c r="K187" i="31"/>
  <c r="K188" i="31"/>
  <c r="K189" i="31"/>
  <c r="K190" i="31"/>
  <c r="K191" i="31"/>
  <c r="K192" i="31"/>
  <c r="K193" i="31"/>
  <c r="K194" i="31"/>
  <c r="K195" i="31"/>
  <c r="K196" i="31"/>
  <c r="K197" i="31"/>
  <c r="K198" i="31"/>
  <c r="K199" i="31"/>
  <c r="K200" i="31"/>
  <c r="K201" i="31"/>
  <c r="K202" i="31"/>
  <c r="K203" i="31"/>
  <c r="K204" i="31"/>
  <c r="K205" i="31"/>
  <c r="K206" i="31"/>
  <c r="K207" i="31"/>
  <c r="K208" i="31"/>
  <c r="K209" i="31"/>
  <c r="K210" i="31"/>
  <c r="K211" i="31"/>
  <c r="K212" i="31"/>
  <c r="K213" i="31"/>
  <c r="K214" i="31"/>
  <c r="K215" i="31"/>
  <c r="K216" i="31"/>
  <c r="K217" i="31"/>
  <c r="K218" i="31"/>
  <c r="K219" i="31"/>
  <c r="K220" i="31"/>
  <c r="K221" i="31"/>
  <c r="K222" i="31"/>
  <c r="K223" i="31"/>
  <c r="K224" i="31"/>
  <c r="K225" i="31"/>
  <c r="K226" i="31"/>
  <c r="K227" i="31"/>
  <c r="K228" i="31"/>
  <c r="K229" i="31"/>
  <c r="K230" i="31"/>
  <c r="K231" i="31"/>
  <c r="K232" i="31"/>
  <c r="K233" i="31"/>
  <c r="K234" i="31"/>
  <c r="K235" i="31"/>
  <c r="K236" i="31"/>
  <c r="K237" i="31"/>
  <c r="K238" i="31"/>
  <c r="K239" i="31"/>
  <c r="K240" i="31"/>
  <c r="K241" i="31"/>
  <c r="K242" i="31"/>
  <c r="K243" i="31"/>
  <c r="K244" i="31"/>
  <c r="K245" i="31"/>
  <c r="K246" i="31"/>
  <c r="K247" i="31"/>
  <c r="K248" i="31"/>
  <c r="K249" i="31"/>
  <c r="K250" i="31"/>
  <c r="K251" i="31"/>
  <c r="K252" i="31"/>
  <c r="K253" i="31"/>
  <c r="K254" i="31"/>
  <c r="K255" i="31"/>
  <c r="K256" i="31"/>
  <c r="K257" i="31"/>
  <c r="K258" i="31"/>
  <c r="K259" i="31"/>
  <c r="K260" i="31"/>
  <c r="K261" i="31"/>
  <c r="K262" i="31"/>
  <c r="K263" i="31"/>
  <c r="K264" i="31"/>
  <c r="K265" i="31"/>
  <c r="K266" i="31"/>
  <c r="K267" i="31"/>
  <c r="K268" i="31"/>
  <c r="K269" i="31"/>
  <c r="K270" i="31"/>
  <c r="K271" i="31"/>
  <c r="K272" i="31"/>
  <c r="K273" i="31"/>
  <c r="K274" i="31"/>
  <c r="K275" i="31"/>
  <c r="K276" i="31"/>
  <c r="K277" i="31"/>
  <c r="K278" i="31"/>
  <c r="K279" i="31"/>
  <c r="K280" i="31"/>
  <c r="K281" i="31"/>
  <c r="K282" i="31"/>
  <c r="K283" i="31"/>
  <c r="K284" i="31"/>
  <c r="K285" i="31"/>
  <c r="K286" i="31"/>
  <c r="K287" i="31"/>
  <c r="K288" i="31"/>
  <c r="K289" i="31"/>
  <c r="K290" i="31"/>
  <c r="K291" i="31"/>
  <c r="K292" i="31"/>
  <c r="K293" i="31"/>
  <c r="K294" i="31"/>
  <c r="K295" i="31"/>
  <c r="K296" i="31"/>
  <c r="K297" i="31"/>
  <c r="K298" i="31"/>
  <c r="K299" i="31"/>
  <c r="K300" i="31"/>
  <c r="K301" i="31"/>
  <c r="K302" i="31"/>
  <c r="K303" i="31"/>
  <c r="K304" i="31"/>
  <c r="K305" i="31"/>
  <c r="K306" i="31"/>
  <c r="K307" i="31"/>
  <c r="K308" i="31"/>
  <c r="K309" i="31"/>
  <c r="K310" i="31"/>
  <c r="K311" i="31"/>
  <c r="K312" i="31"/>
  <c r="K313" i="31"/>
  <c r="K314" i="31"/>
  <c r="K315" i="31"/>
  <c r="K316" i="31"/>
  <c r="K317" i="31"/>
  <c r="K318" i="31"/>
  <c r="K319" i="31"/>
  <c r="K320" i="31"/>
  <c r="K321" i="31"/>
  <c r="K322" i="31"/>
  <c r="K323" i="31"/>
  <c r="K324" i="31"/>
  <c r="K325" i="31"/>
  <c r="K326" i="31"/>
  <c r="K327" i="31"/>
  <c r="K328" i="31"/>
  <c r="K329" i="31"/>
  <c r="K330" i="31"/>
  <c r="K331" i="31"/>
  <c r="K332" i="31"/>
  <c r="K333" i="31"/>
  <c r="K334" i="31"/>
  <c r="K335" i="31"/>
  <c r="K336" i="31"/>
  <c r="K337" i="31"/>
  <c r="K338" i="31"/>
  <c r="K339" i="31"/>
  <c r="K340" i="31"/>
  <c r="K341" i="31"/>
  <c r="K342" i="31"/>
  <c r="K343" i="31"/>
  <c r="K344" i="31"/>
  <c r="K345" i="31"/>
  <c r="K346" i="31"/>
  <c r="K347" i="31"/>
  <c r="K348" i="31"/>
  <c r="K349" i="31"/>
  <c r="K350" i="31"/>
  <c r="K351" i="31"/>
  <c r="K352" i="31"/>
  <c r="K353" i="31"/>
  <c r="K354" i="31"/>
  <c r="K355" i="31"/>
  <c r="K356" i="31"/>
  <c r="K357" i="31"/>
  <c r="K358" i="31"/>
  <c r="K359" i="31"/>
  <c r="K360" i="31"/>
  <c r="K361" i="31"/>
  <c r="K362" i="31"/>
  <c r="K363" i="31"/>
  <c r="K364" i="31"/>
  <c r="K365" i="31"/>
  <c r="K366" i="31"/>
  <c r="K367" i="31"/>
  <c r="K368" i="31"/>
  <c r="K369" i="31"/>
  <c r="K370" i="31"/>
  <c r="K371" i="31"/>
  <c r="K372" i="31"/>
  <c r="K373" i="31"/>
  <c r="K374" i="31"/>
  <c r="K375" i="31"/>
  <c r="K376" i="31"/>
  <c r="K377" i="31"/>
  <c r="K378" i="31"/>
  <c r="K379" i="31"/>
  <c r="K380" i="31"/>
  <c r="K381" i="31"/>
  <c r="K382" i="31"/>
  <c r="K383" i="31"/>
  <c r="K384" i="31"/>
  <c r="K385" i="31"/>
  <c r="K386" i="31"/>
  <c r="K387" i="31"/>
  <c r="K388" i="31"/>
  <c r="K389" i="31"/>
  <c r="K390" i="31"/>
  <c r="K391" i="31"/>
  <c r="K392" i="31"/>
  <c r="K393" i="31"/>
  <c r="K394" i="31"/>
  <c r="K395" i="31"/>
  <c r="K396" i="31"/>
  <c r="K397" i="31"/>
  <c r="K398" i="31"/>
  <c r="K399" i="31"/>
  <c r="K400" i="31"/>
  <c r="K401" i="31"/>
  <c r="K402" i="31"/>
  <c r="K403" i="31"/>
  <c r="K404" i="31"/>
  <c r="K405" i="31"/>
  <c r="K406" i="31"/>
  <c r="K407" i="31"/>
  <c r="K408" i="31"/>
  <c r="K409" i="31"/>
  <c r="K410" i="31"/>
  <c r="K411" i="31"/>
  <c r="K412" i="31"/>
  <c r="K413" i="31"/>
  <c r="K414" i="31"/>
  <c r="K415" i="31"/>
  <c r="K416" i="31"/>
  <c r="K417" i="31"/>
  <c r="K418" i="31"/>
  <c r="K419" i="31"/>
  <c r="K420" i="31"/>
  <c r="K421" i="31"/>
  <c r="K422" i="31"/>
  <c r="K423" i="31"/>
  <c r="K424" i="31"/>
  <c r="K425" i="31"/>
  <c r="K426" i="31"/>
  <c r="K427" i="31"/>
  <c r="K428" i="31"/>
  <c r="K429" i="31"/>
  <c r="K430" i="31"/>
  <c r="K431" i="31"/>
  <c r="K432" i="31"/>
  <c r="K433" i="31"/>
  <c r="K434" i="31"/>
  <c r="K435" i="31"/>
  <c r="K436" i="31"/>
  <c r="K437" i="31"/>
  <c r="K438" i="31"/>
  <c r="K439" i="31"/>
  <c r="K440" i="31"/>
  <c r="K441" i="31"/>
  <c r="K442" i="31"/>
  <c r="K443" i="31"/>
  <c r="K444" i="31"/>
  <c r="K445" i="31"/>
  <c r="K446" i="31"/>
  <c r="K447" i="31"/>
  <c r="K448" i="31"/>
  <c r="K449" i="31"/>
  <c r="K450" i="31"/>
  <c r="K451" i="31"/>
  <c r="K452" i="31"/>
  <c r="K453" i="31"/>
  <c r="K454" i="31"/>
  <c r="K455" i="31"/>
  <c r="K456" i="31"/>
  <c r="K457" i="31"/>
  <c r="K458" i="31"/>
  <c r="K459" i="31"/>
  <c r="K460" i="31"/>
  <c r="K461" i="31"/>
  <c r="K462" i="31"/>
  <c r="K463" i="31"/>
  <c r="K464" i="31"/>
  <c r="K465" i="31"/>
  <c r="K466" i="31"/>
  <c r="K467" i="31"/>
  <c r="K468" i="31"/>
  <c r="K469" i="31"/>
  <c r="K470" i="31"/>
  <c r="K471" i="31"/>
  <c r="K472" i="31"/>
  <c r="K473" i="31"/>
  <c r="K474" i="31"/>
  <c r="K475" i="31"/>
  <c r="K476" i="31"/>
  <c r="K477" i="31"/>
  <c r="K478" i="31"/>
  <c r="K479" i="31"/>
  <c r="K480" i="31"/>
  <c r="K481" i="31"/>
  <c r="K482" i="31"/>
  <c r="K483" i="31"/>
  <c r="K484" i="31"/>
  <c r="K485" i="31"/>
  <c r="K486" i="31"/>
  <c r="K487" i="31"/>
  <c r="K488" i="31"/>
  <c r="K489" i="31"/>
  <c r="K490" i="31"/>
  <c r="K491" i="31"/>
  <c r="K492" i="31"/>
  <c r="K493" i="31"/>
  <c r="K494" i="31"/>
  <c r="K495" i="31"/>
  <c r="K496" i="31"/>
  <c r="K497" i="31"/>
  <c r="K498" i="31"/>
  <c r="K499" i="31"/>
  <c r="K500" i="31"/>
  <c r="K501" i="31"/>
  <c r="K502" i="31"/>
  <c r="K503" i="31"/>
  <c r="K504" i="31"/>
  <c r="K505" i="31"/>
  <c r="K506" i="31"/>
  <c r="K507" i="31"/>
  <c r="K508" i="31"/>
  <c r="K509" i="31"/>
  <c r="K510" i="31"/>
  <c r="K511" i="31"/>
  <c r="K512" i="31"/>
  <c r="K513" i="31"/>
  <c r="K514" i="31"/>
  <c r="K515" i="31"/>
  <c r="K516" i="31"/>
  <c r="K517" i="31"/>
  <c r="K518" i="31"/>
  <c r="K519" i="31"/>
  <c r="K520" i="31"/>
  <c r="K521" i="31"/>
  <c r="K522" i="31"/>
  <c r="K523" i="31"/>
  <c r="K524" i="31"/>
  <c r="K525" i="31"/>
  <c r="K526" i="31"/>
  <c r="K527" i="31"/>
  <c r="I32" i="31"/>
  <c r="I33" i="31"/>
  <c r="I34" i="31"/>
  <c r="I35" i="31"/>
  <c r="I36" i="31"/>
  <c r="I37" i="31"/>
  <c r="I38" i="31"/>
  <c r="I39" i="31"/>
  <c r="I40" i="31"/>
  <c r="I41" i="31"/>
  <c r="I42" i="31"/>
  <c r="I43" i="31"/>
  <c r="I44" i="31"/>
  <c r="I45" i="31"/>
  <c r="I46" i="31"/>
  <c r="I47" i="31"/>
  <c r="I48" i="31"/>
  <c r="I49" i="31"/>
  <c r="I50" i="31"/>
  <c r="I51" i="31"/>
  <c r="I52" i="31"/>
  <c r="I53" i="31"/>
  <c r="I54" i="31"/>
  <c r="I55" i="31"/>
  <c r="I56" i="31"/>
  <c r="I57" i="31"/>
  <c r="I58" i="31"/>
  <c r="I59" i="31"/>
  <c r="I60" i="31"/>
  <c r="I61" i="31"/>
  <c r="I62" i="31"/>
  <c r="I63" i="31"/>
  <c r="I64" i="31"/>
  <c r="I65" i="31"/>
  <c r="I66" i="31"/>
  <c r="I67" i="31"/>
  <c r="I68" i="31"/>
  <c r="I69" i="31"/>
  <c r="I70" i="31"/>
  <c r="I71" i="31"/>
  <c r="I72" i="31"/>
  <c r="I73" i="31"/>
  <c r="I74" i="31"/>
  <c r="I75" i="31"/>
  <c r="I76" i="31"/>
  <c r="I77" i="31"/>
  <c r="I78" i="31"/>
  <c r="I79" i="31"/>
  <c r="I80" i="31"/>
  <c r="I81" i="31"/>
  <c r="I82" i="31"/>
  <c r="I83" i="31"/>
  <c r="I84" i="31"/>
  <c r="I85" i="31"/>
  <c r="I86" i="31"/>
  <c r="I87" i="31"/>
  <c r="I88" i="31"/>
  <c r="I89" i="31"/>
  <c r="I90" i="31"/>
  <c r="I91" i="31"/>
  <c r="I92" i="31"/>
  <c r="I93" i="31"/>
  <c r="I94" i="31"/>
  <c r="I95" i="31"/>
  <c r="I96" i="31"/>
  <c r="I97" i="31"/>
  <c r="I98" i="31"/>
  <c r="I99" i="31"/>
  <c r="I100" i="31"/>
  <c r="I101" i="31"/>
  <c r="I102" i="31"/>
  <c r="I103" i="31"/>
  <c r="I104" i="31"/>
  <c r="I105" i="31"/>
  <c r="I106" i="31"/>
  <c r="I107" i="31"/>
  <c r="I108" i="31"/>
  <c r="I109" i="31"/>
  <c r="I110" i="31"/>
  <c r="I111" i="31"/>
  <c r="I112" i="31"/>
  <c r="I113" i="31"/>
  <c r="I114" i="31"/>
  <c r="I115" i="31"/>
  <c r="I116" i="31"/>
  <c r="I117" i="31"/>
  <c r="I118" i="31"/>
  <c r="I119" i="31"/>
  <c r="I120" i="31"/>
  <c r="I121" i="31"/>
  <c r="I122" i="31"/>
  <c r="I123" i="31"/>
  <c r="I124" i="31"/>
  <c r="I125" i="31"/>
  <c r="I126" i="31"/>
  <c r="I127" i="31"/>
  <c r="I128" i="31"/>
  <c r="I129" i="31"/>
  <c r="I130" i="31"/>
  <c r="I131" i="31"/>
  <c r="I132" i="31"/>
  <c r="I133" i="31"/>
  <c r="I134" i="31"/>
  <c r="I135" i="31"/>
  <c r="I136" i="31"/>
  <c r="I137" i="31"/>
  <c r="I138" i="31"/>
  <c r="I139" i="31"/>
  <c r="I140" i="31"/>
  <c r="I141" i="31"/>
  <c r="I142" i="31"/>
  <c r="I143" i="31"/>
  <c r="I144" i="31"/>
  <c r="I145" i="31"/>
  <c r="I146" i="31"/>
  <c r="I147" i="31"/>
  <c r="I148" i="31"/>
  <c r="I149" i="31"/>
  <c r="I150" i="31"/>
  <c r="I151" i="31"/>
  <c r="I152" i="31"/>
  <c r="I153" i="31"/>
  <c r="I154" i="31"/>
  <c r="I155" i="31"/>
  <c r="I156" i="31"/>
  <c r="I157" i="31"/>
  <c r="I158" i="31"/>
  <c r="I159" i="31"/>
  <c r="I160" i="31"/>
  <c r="I161" i="31"/>
  <c r="I162" i="31"/>
  <c r="I163" i="31"/>
  <c r="I164" i="31"/>
  <c r="I165" i="31"/>
  <c r="I166" i="31"/>
  <c r="I167" i="31"/>
  <c r="I168" i="31"/>
  <c r="I169" i="31"/>
  <c r="I170" i="31"/>
  <c r="I171" i="31"/>
  <c r="I172" i="31"/>
  <c r="I173" i="31"/>
  <c r="I174" i="31"/>
  <c r="I175" i="31"/>
  <c r="I176" i="31"/>
  <c r="I177" i="31"/>
  <c r="I178" i="31"/>
  <c r="I179" i="31"/>
  <c r="I180" i="31"/>
  <c r="I181" i="31"/>
  <c r="I182" i="31"/>
  <c r="I183" i="31"/>
  <c r="I184" i="31"/>
  <c r="I185" i="31"/>
  <c r="I186" i="31"/>
  <c r="I187" i="31"/>
  <c r="I188" i="31"/>
  <c r="I189" i="31"/>
  <c r="I190" i="31"/>
  <c r="I191" i="31"/>
  <c r="I192" i="31"/>
  <c r="I193" i="31"/>
  <c r="I194" i="31"/>
  <c r="I195" i="31"/>
  <c r="I196" i="31"/>
  <c r="I197" i="31"/>
  <c r="I198" i="31"/>
  <c r="I199" i="31"/>
  <c r="I200" i="31"/>
  <c r="I201" i="31"/>
  <c r="I202" i="31"/>
  <c r="I203" i="31"/>
  <c r="I204" i="31"/>
  <c r="I205" i="31"/>
  <c r="I206" i="31"/>
  <c r="I207" i="31"/>
  <c r="I208" i="31"/>
  <c r="I209" i="31"/>
  <c r="I210" i="31"/>
  <c r="I211" i="31"/>
  <c r="I212" i="31"/>
  <c r="I213" i="31"/>
  <c r="I214" i="31"/>
  <c r="I215" i="31"/>
  <c r="I216" i="31"/>
  <c r="I217" i="31"/>
  <c r="I218" i="31"/>
  <c r="I219" i="31"/>
  <c r="I220" i="31"/>
  <c r="I221" i="31"/>
  <c r="I222" i="31"/>
  <c r="I223" i="31"/>
  <c r="I224" i="31"/>
  <c r="I225" i="31"/>
  <c r="I226" i="31"/>
  <c r="I227" i="31"/>
  <c r="I228" i="31"/>
  <c r="I229" i="31"/>
  <c r="I230" i="31"/>
  <c r="I231" i="31"/>
  <c r="I232" i="31"/>
  <c r="I233" i="31"/>
  <c r="I234" i="31"/>
  <c r="I235" i="31"/>
  <c r="I236" i="31"/>
  <c r="I237" i="31"/>
  <c r="I238" i="31"/>
  <c r="I239" i="31"/>
  <c r="I240" i="31"/>
  <c r="I241" i="31"/>
  <c r="I242" i="31"/>
  <c r="I243" i="31"/>
  <c r="I244" i="31"/>
  <c r="I245" i="31"/>
  <c r="I246" i="31"/>
  <c r="I247" i="31"/>
  <c r="I248" i="31"/>
  <c r="I249" i="31"/>
  <c r="I250" i="31"/>
  <c r="I251" i="31"/>
  <c r="I252" i="31"/>
  <c r="I253" i="31"/>
  <c r="I254" i="31"/>
  <c r="I255" i="31"/>
  <c r="I256" i="31"/>
  <c r="I257" i="31"/>
  <c r="I258" i="31"/>
  <c r="I259" i="31"/>
  <c r="I260" i="31"/>
  <c r="I261" i="31"/>
  <c r="I262" i="31"/>
  <c r="I263" i="31"/>
  <c r="I264" i="31"/>
  <c r="I265" i="31"/>
  <c r="I266" i="31"/>
  <c r="I267" i="31"/>
  <c r="I268" i="31"/>
  <c r="I269" i="31"/>
  <c r="I270" i="31"/>
  <c r="I271" i="31"/>
  <c r="I272" i="31"/>
  <c r="I273" i="31"/>
  <c r="I274" i="31"/>
  <c r="I275" i="31"/>
  <c r="I276" i="31"/>
  <c r="I277" i="31"/>
  <c r="I278" i="31"/>
  <c r="I279" i="31"/>
  <c r="I280" i="31"/>
  <c r="I281" i="31"/>
  <c r="I282" i="31"/>
  <c r="I283" i="31"/>
  <c r="I284" i="31"/>
  <c r="I285" i="31"/>
  <c r="I286" i="31"/>
  <c r="I287" i="31"/>
  <c r="I288" i="31"/>
  <c r="I289" i="31"/>
  <c r="I290" i="31"/>
  <c r="I291" i="31"/>
  <c r="I292" i="31"/>
  <c r="I293" i="31"/>
  <c r="I294" i="31"/>
  <c r="I295" i="31"/>
  <c r="I296" i="31"/>
  <c r="I297" i="31"/>
  <c r="I298" i="31"/>
  <c r="I299" i="31"/>
  <c r="I300" i="31"/>
  <c r="I301" i="31"/>
  <c r="I302" i="31"/>
  <c r="I303" i="31"/>
  <c r="I304" i="31"/>
  <c r="I305" i="31"/>
  <c r="I306" i="31"/>
  <c r="I307" i="31"/>
  <c r="I308" i="31"/>
  <c r="I309" i="31"/>
  <c r="I310" i="31"/>
  <c r="I311" i="31"/>
  <c r="I312" i="31"/>
  <c r="I313" i="31"/>
  <c r="I314" i="31"/>
  <c r="I315" i="31"/>
  <c r="I316" i="31"/>
  <c r="I317" i="31"/>
  <c r="I318" i="31"/>
  <c r="I319" i="31"/>
  <c r="I320" i="31"/>
  <c r="I321" i="31"/>
  <c r="I322" i="31"/>
  <c r="I323" i="31"/>
  <c r="I324" i="31"/>
  <c r="I325" i="31"/>
  <c r="I326" i="31"/>
  <c r="I327" i="31"/>
  <c r="I328" i="31"/>
  <c r="I329" i="31"/>
  <c r="I330" i="31"/>
  <c r="I331" i="31"/>
  <c r="I332" i="31"/>
  <c r="I333" i="31"/>
  <c r="I334" i="31"/>
  <c r="I335" i="31"/>
  <c r="I336" i="31"/>
  <c r="I337" i="31"/>
  <c r="I338" i="31"/>
  <c r="I339" i="31"/>
  <c r="I340" i="31"/>
  <c r="I341" i="31"/>
  <c r="I342" i="31"/>
  <c r="I343" i="31"/>
  <c r="I344" i="31"/>
  <c r="I345" i="31"/>
  <c r="I346" i="31"/>
  <c r="I347" i="31"/>
  <c r="I348" i="31"/>
  <c r="I349" i="31"/>
  <c r="I350" i="31"/>
  <c r="I351" i="31"/>
  <c r="I352" i="31"/>
  <c r="I353" i="31"/>
  <c r="I354" i="31"/>
  <c r="I355" i="31"/>
  <c r="I356" i="31"/>
  <c r="I357" i="31"/>
  <c r="I358" i="31"/>
  <c r="I359" i="31"/>
  <c r="I360" i="31"/>
  <c r="I361" i="31"/>
  <c r="I362" i="31"/>
  <c r="I363" i="31"/>
  <c r="I364" i="31"/>
  <c r="I365" i="31"/>
  <c r="I366" i="31"/>
  <c r="I367" i="31"/>
  <c r="I368" i="31"/>
  <c r="I369" i="31"/>
  <c r="I370" i="31"/>
  <c r="I371" i="31"/>
  <c r="I372" i="31"/>
  <c r="I373" i="31"/>
  <c r="I374" i="31"/>
  <c r="I375" i="31"/>
  <c r="I376" i="31"/>
  <c r="I377" i="31"/>
  <c r="I378" i="31"/>
  <c r="I379" i="31"/>
  <c r="I380" i="31"/>
  <c r="I381" i="31"/>
  <c r="I382" i="31"/>
  <c r="I383" i="31"/>
  <c r="I384" i="31"/>
  <c r="I385" i="31"/>
  <c r="I386" i="31"/>
  <c r="I387" i="31"/>
  <c r="I388" i="31"/>
  <c r="I389" i="31"/>
  <c r="I390" i="31"/>
  <c r="I391" i="31"/>
  <c r="I392" i="31"/>
  <c r="I393" i="31"/>
  <c r="I394" i="31"/>
  <c r="I395" i="31"/>
  <c r="I396" i="31"/>
  <c r="I397" i="31"/>
  <c r="I398" i="31"/>
  <c r="I399" i="31"/>
  <c r="I400" i="31"/>
  <c r="I401" i="31"/>
  <c r="I402" i="31"/>
  <c r="I403" i="31"/>
  <c r="I404" i="31"/>
  <c r="I405" i="31"/>
  <c r="I406" i="31"/>
  <c r="I407" i="31"/>
  <c r="I408" i="31"/>
  <c r="I409" i="31"/>
  <c r="I410" i="31"/>
  <c r="I411" i="31"/>
  <c r="I412" i="31"/>
  <c r="I413" i="31"/>
  <c r="I414" i="31"/>
  <c r="I415" i="31"/>
  <c r="I416" i="31"/>
  <c r="I417" i="31"/>
  <c r="I418" i="31"/>
  <c r="I419" i="31"/>
  <c r="I420" i="31"/>
  <c r="I421" i="31"/>
  <c r="I422" i="31"/>
  <c r="I423" i="31"/>
  <c r="I424" i="31"/>
  <c r="I425" i="31"/>
  <c r="I426" i="31"/>
  <c r="I427" i="31"/>
  <c r="I428" i="31"/>
  <c r="I429" i="31"/>
  <c r="I430" i="31"/>
  <c r="I431" i="31"/>
  <c r="I432" i="31"/>
  <c r="I433" i="31"/>
  <c r="I434" i="31"/>
  <c r="I435" i="31"/>
  <c r="I436" i="31"/>
  <c r="I437" i="31"/>
  <c r="I438" i="31"/>
  <c r="I439" i="31"/>
  <c r="I440" i="31"/>
  <c r="I441" i="31"/>
  <c r="I442" i="31"/>
  <c r="I443" i="31"/>
  <c r="I444" i="31"/>
  <c r="I445" i="31"/>
  <c r="I446" i="31"/>
  <c r="I447" i="31"/>
  <c r="I448" i="31"/>
  <c r="I449" i="31"/>
  <c r="I450" i="31"/>
  <c r="I451" i="31"/>
  <c r="I452" i="31"/>
  <c r="I453" i="31"/>
  <c r="I454" i="31"/>
  <c r="I455" i="31"/>
  <c r="I456" i="31"/>
  <c r="I457" i="31"/>
  <c r="I458" i="31"/>
  <c r="I459" i="31"/>
  <c r="I460" i="31"/>
  <c r="I461" i="31"/>
  <c r="I462" i="31"/>
  <c r="I463" i="31"/>
  <c r="I464" i="31"/>
  <c r="I465" i="31"/>
  <c r="I466" i="31"/>
  <c r="I467" i="31"/>
  <c r="I468" i="31"/>
  <c r="I469" i="31"/>
  <c r="I470" i="31"/>
  <c r="I471" i="31"/>
  <c r="I472" i="31"/>
  <c r="I473" i="31"/>
  <c r="I474" i="31"/>
  <c r="I475" i="31"/>
  <c r="I476" i="31"/>
  <c r="I477" i="31"/>
  <c r="I478" i="31"/>
  <c r="I479" i="31"/>
  <c r="I480" i="31"/>
  <c r="I481" i="31"/>
  <c r="I482" i="31"/>
  <c r="I483" i="31"/>
  <c r="I484" i="31"/>
  <c r="I485" i="31"/>
  <c r="I486" i="31"/>
  <c r="I487" i="31"/>
  <c r="I488" i="31"/>
  <c r="I489" i="31"/>
  <c r="I490" i="31"/>
  <c r="I491" i="31"/>
  <c r="I492" i="31"/>
  <c r="I493" i="31"/>
  <c r="I494" i="31"/>
  <c r="I495" i="31"/>
  <c r="I496" i="31"/>
  <c r="I497" i="31"/>
  <c r="I498" i="31"/>
  <c r="I499" i="31"/>
  <c r="I500" i="31"/>
  <c r="I501" i="31"/>
  <c r="I502" i="31"/>
  <c r="I503" i="31"/>
  <c r="I504" i="31"/>
  <c r="I505" i="31"/>
  <c r="I506" i="31"/>
  <c r="I507" i="31"/>
  <c r="I508" i="31"/>
  <c r="I509" i="31"/>
  <c r="I510" i="31"/>
  <c r="I511" i="31"/>
  <c r="I512" i="31"/>
  <c r="I513" i="31"/>
  <c r="I514" i="31"/>
  <c r="I515" i="31"/>
  <c r="I516" i="31"/>
  <c r="I517" i="31"/>
  <c r="I518" i="31"/>
  <c r="I519" i="31"/>
  <c r="I520" i="31"/>
  <c r="I521" i="31"/>
  <c r="I522" i="31"/>
  <c r="I523" i="31"/>
  <c r="I524" i="31"/>
  <c r="I525" i="31"/>
  <c r="I526" i="31"/>
  <c r="I527" i="31"/>
  <c r="G32" i="31"/>
  <c r="G33" i="31"/>
  <c r="G34" i="31"/>
  <c r="G35" i="31"/>
  <c r="G36" i="31"/>
  <c r="G37" i="31"/>
  <c r="G38" i="31"/>
  <c r="G39" i="31"/>
  <c r="G40" i="31"/>
  <c r="G41" i="31"/>
  <c r="G42" i="31"/>
  <c r="G43" i="31"/>
  <c r="G44" i="31"/>
  <c r="G45" i="31"/>
  <c r="G46" i="31"/>
  <c r="G47" i="31"/>
  <c r="G48" i="31"/>
  <c r="G49" i="31"/>
  <c r="G50" i="31"/>
  <c r="G51" i="31"/>
  <c r="G52" i="31"/>
  <c r="G53" i="31"/>
  <c r="G54" i="31"/>
  <c r="G55" i="31"/>
  <c r="G56" i="31"/>
  <c r="G57" i="31"/>
  <c r="G58" i="31"/>
  <c r="G59" i="31"/>
  <c r="G60" i="31"/>
  <c r="G61" i="31"/>
  <c r="G62" i="31"/>
  <c r="G63" i="31"/>
  <c r="G64" i="31"/>
  <c r="G65" i="31"/>
  <c r="G66" i="31"/>
  <c r="G67" i="31"/>
  <c r="G68" i="31"/>
  <c r="G69" i="31"/>
  <c r="G70" i="31"/>
  <c r="G71" i="31"/>
  <c r="G72" i="31"/>
  <c r="G73" i="31"/>
  <c r="G74" i="31"/>
  <c r="G75" i="31"/>
  <c r="G76" i="31"/>
  <c r="G77" i="31"/>
  <c r="G78" i="31"/>
  <c r="G79" i="31"/>
  <c r="G80" i="31"/>
  <c r="G81" i="31"/>
  <c r="G82" i="31"/>
  <c r="G83" i="31"/>
  <c r="G84" i="31"/>
  <c r="G85" i="31"/>
  <c r="G86" i="31"/>
  <c r="G87" i="31"/>
  <c r="G88" i="31"/>
  <c r="G89" i="31"/>
  <c r="G90" i="31"/>
  <c r="G91" i="31"/>
  <c r="G92" i="31"/>
  <c r="G93" i="31"/>
  <c r="G94" i="31"/>
  <c r="G95" i="31"/>
  <c r="G96" i="31"/>
  <c r="G97" i="31"/>
  <c r="G98" i="31"/>
  <c r="G99" i="31"/>
  <c r="G100" i="31"/>
  <c r="G101" i="31"/>
  <c r="G102" i="31"/>
  <c r="G103" i="31"/>
  <c r="G104" i="31"/>
  <c r="G105" i="31"/>
  <c r="G106" i="31"/>
  <c r="G107" i="31"/>
  <c r="G108" i="31"/>
  <c r="G109" i="31"/>
  <c r="G110" i="31"/>
  <c r="G111" i="31"/>
  <c r="G112" i="31"/>
  <c r="G113" i="31"/>
  <c r="G114" i="31"/>
  <c r="G115" i="31"/>
  <c r="G116" i="31"/>
  <c r="G117" i="31"/>
  <c r="G118" i="31"/>
  <c r="G119" i="31"/>
  <c r="G120" i="31"/>
  <c r="G121" i="31"/>
  <c r="G122" i="31"/>
  <c r="G123" i="31"/>
  <c r="G124" i="31"/>
  <c r="G125" i="31"/>
  <c r="G126" i="31"/>
  <c r="G127" i="31"/>
  <c r="G128" i="31"/>
  <c r="G129" i="31"/>
  <c r="G130" i="31"/>
  <c r="G131" i="31"/>
  <c r="G132" i="31"/>
  <c r="G133" i="31"/>
  <c r="G134" i="31"/>
  <c r="G135" i="31"/>
  <c r="G136" i="31"/>
  <c r="G137" i="31"/>
  <c r="G138" i="31"/>
  <c r="G139" i="31"/>
  <c r="G140" i="31"/>
  <c r="G141" i="31"/>
  <c r="G142" i="31"/>
  <c r="G143" i="31"/>
  <c r="G144" i="31"/>
  <c r="G145" i="31"/>
  <c r="G146" i="31"/>
  <c r="G147" i="31"/>
  <c r="G148" i="31"/>
  <c r="G149" i="31"/>
  <c r="G150" i="31"/>
  <c r="G151" i="31"/>
  <c r="G152" i="31"/>
  <c r="G153" i="31"/>
  <c r="G154" i="31"/>
  <c r="G155" i="31"/>
  <c r="G156" i="31"/>
  <c r="G157" i="31"/>
  <c r="G158" i="31"/>
  <c r="G159" i="31"/>
  <c r="G160" i="31"/>
  <c r="G161" i="31"/>
  <c r="G162" i="31"/>
  <c r="G163" i="31"/>
  <c r="G164" i="31"/>
  <c r="G165" i="31"/>
  <c r="G166" i="31"/>
  <c r="G167" i="31"/>
  <c r="G168" i="31"/>
  <c r="G169" i="31"/>
  <c r="G170" i="31"/>
  <c r="G171" i="31"/>
  <c r="G172" i="31"/>
  <c r="G173" i="31"/>
  <c r="G174" i="31"/>
  <c r="G175" i="31"/>
  <c r="G176" i="31"/>
  <c r="G177" i="31"/>
  <c r="G178" i="31"/>
  <c r="G179" i="31"/>
  <c r="G180" i="31"/>
  <c r="G181" i="31"/>
  <c r="G182" i="31"/>
  <c r="G183" i="31"/>
  <c r="G184" i="31"/>
  <c r="G185" i="31"/>
  <c r="G186" i="31"/>
  <c r="G187" i="31"/>
  <c r="G188" i="31"/>
  <c r="G189" i="31"/>
  <c r="G190" i="31"/>
  <c r="G191" i="31"/>
  <c r="G192" i="31"/>
  <c r="G193" i="31"/>
  <c r="G194" i="31"/>
  <c r="G195" i="31"/>
  <c r="G196" i="31"/>
  <c r="G197" i="31"/>
  <c r="G198" i="31"/>
  <c r="G199" i="31"/>
  <c r="G200" i="31"/>
  <c r="G201" i="31"/>
  <c r="G202" i="31"/>
  <c r="G203" i="31"/>
  <c r="G204" i="31"/>
  <c r="G205" i="31"/>
  <c r="G206" i="31"/>
  <c r="G207" i="31"/>
  <c r="G208" i="31"/>
  <c r="G209" i="31"/>
  <c r="G210" i="31"/>
  <c r="G211" i="31"/>
  <c r="G212" i="31"/>
  <c r="G213" i="31"/>
  <c r="G214" i="31"/>
  <c r="G215" i="31"/>
  <c r="G216" i="31"/>
  <c r="G217" i="31"/>
  <c r="G218" i="31"/>
  <c r="G219" i="31"/>
  <c r="G220" i="31"/>
  <c r="G221" i="31"/>
  <c r="G222" i="31"/>
  <c r="G223" i="31"/>
  <c r="G224" i="31"/>
  <c r="G225" i="31"/>
  <c r="G226" i="31"/>
  <c r="G227" i="31"/>
  <c r="G228" i="31"/>
  <c r="G229" i="31"/>
  <c r="G230" i="31"/>
  <c r="G231" i="31"/>
  <c r="G232" i="31"/>
  <c r="G233" i="31"/>
  <c r="G234" i="31"/>
  <c r="G235" i="31"/>
  <c r="G236" i="31"/>
  <c r="G237" i="31"/>
  <c r="G238" i="31"/>
  <c r="G239" i="31"/>
  <c r="G240" i="31"/>
  <c r="G241" i="31"/>
  <c r="G242" i="31"/>
  <c r="G243" i="31"/>
  <c r="G244" i="31"/>
  <c r="G245" i="31"/>
  <c r="G246" i="31"/>
  <c r="G247" i="31"/>
  <c r="G248" i="31"/>
  <c r="G249" i="31"/>
  <c r="G250" i="31"/>
  <c r="G251" i="31"/>
  <c r="G252" i="31"/>
  <c r="G253" i="31"/>
  <c r="G254" i="31"/>
  <c r="G255" i="31"/>
  <c r="G256" i="31"/>
  <c r="G257" i="31"/>
  <c r="G258" i="31"/>
  <c r="G259" i="31"/>
  <c r="G260" i="31"/>
  <c r="G261" i="31"/>
  <c r="G262" i="31"/>
  <c r="G263" i="31"/>
  <c r="G264" i="31"/>
  <c r="G265" i="31"/>
  <c r="G266" i="31"/>
  <c r="G267" i="31"/>
  <c r="G268" i="31"/>
  <c r="G269" i="31"/>
  <c r="G270" i="31"/>
  <c r="G271" i="31"/>
  <c r="G272" i="31"/>
  <c r="G273" i="31"/>
  <c r="G274" i="31"/>
  <c r="G275" i="31"/>
  <c r="G276" i="31"/>
  <c r="G277" i="31"/>
  <c r="G278" i="31"/>
  <c r="G279" i="31"/>
  <c r="G280" i="31"/>
  <c r="G281" i="31"/>
  <c r="G282" i="31"/>
  <c r="G283" i="31"/>
  <c r="G284" i="31"/>
  <c r="G285" i="31"/>
  <c r="G286" i="31"/>
  <c r="G287" i="31"/>
  <c r="G288" i="31"/>
  <c r="G289" i="31"/>
  <c r="G290" i="31"/>
  <c r="G291" i="31"/>
  <c r="G292" i="31"/>
  <c r="G293" i="31"/>
  <c r="G294" i="31"/>
  <c r="G295" i="31"/>
  <c r="G296" i="31"/>
  <c r="G297" i="31"/>
  <c r="G298" i="31"/>
  <c r="G299" i="31"/>
  <c r="G300" i="31"/>
  <c r="G301" i="31"/>
  <c r="G302" i="31"/>
  <c r="G303" i="31"/>
  <c r="G304" i="31"/>
  <c r="G305" i="31"/>
  <c r="G306" i="31"/>
  <c r="G307" i="31"/>
  <c r="G308" i="31"/>
  <c r="G309" i="31"/>
  <c r="G310" i="31"/>
  <c r="G311" i="31"/>
  <c r="G312" i="31"/>
  <c r="G313" i="31"/>
  <c r="G314" i="31"/>
  <c r="G315" i="31"/>
  <c r="G316" i="31"/>
  <c r="G317" i="31"/>
  <c r="G318" i="31"/>
  <c r="G319" i="31"/>
  <c r="G320" i="31"/>
  <c r="G321" i="31"/>
  <c r="G322" i="31"/>
  <c r="G323" i="31"/>
  <c r="G324" i="31"/>
  <c r="G325" i="31"/>
  <c r="G326" i="31"/>
  <c r="G327" i="31"/>
  <c r="G328" i="31"/>
  <c r="G329" i="31"/>
  <c r="G330" i="31"/>
  <c r="G331" i="31"/>
  <c r="G332" i="31"/>
  <c r="G333" i="31"/>
  <c r="G334" i="31"/>
  <c r="G335" i="31"/>
  <c r="G336" i="31"/>
  <c r="G337" i="31"/>
  <c r="G338" i="31"/>
  <c r="G339" i="31"/>
  <c r="G340" i="31"/>
  <c r="G341" i="31"/>
  <c r="G342" i="31"/>
  <c r="G343" i="31"/>
  <c r="G344" i="31"/>
  <c r="G345" i="31"/>
  <c r="G346" i="31"/>
  <c r="G347" i="31"/>
  <c r="G348" i="31"/>
  <c r="G349" i="31"/>
  <c r="G350" i="31"/>
  <c r="G351" i="31"/>
  <c r="G352" i="31"/>
  <c r="G353" i="31"/>
  <c r="G354" i="31"/>
  <c r="G355" i="31"/>
  <c r="G356" i="31"/>
  <c r="G357" i="31"/>
  <c r="G358" i="31"/>
  <c r="G359" i="31"/>
  <c r="G360" i="31"/>
  <c r="G361" i="31"/>
  <c r="G362" i="31"/>
  <c r="G363" i="31"/>
  <c r="G364" i="31"/>
  <c r="G365" i="31"/>
  <c r="G366" i="31"/>
  <c r="G367" i="31"/>
  <c r="G368" i="31"/>
  <c r="G369" i="31"/>
  <c r="G370" i="31"/>
  <c r="G371" i="31"/>
  <c r="G372" i="31"/>
  <c r="G373" i="31"/>
  <c r="G374" i="31"/>
  <c r="G375" i="31"/>
  <c r="G376" i="31"/>
  <c r="G377" i="31"/>
  <c r="G378" i="31"/>
  <c r="G379" i="31"/>
  <c r="G380" i="31"/>
  <c r="G381" i="31"/>
  <c r="G382" i="31"/>
  <c r="G383" i="31"/>
  <c r="G384" i="31"/>
  <c r="G385" i="31"/>
  <c r="G386" i="31"/>
  <c r="G387" i="31"/>
  <c r="G388" i="31"/>
  <c r="G389" i="31"/>
  <c r="G390" i="31"/>
  <c r="G391" i="31"/>
  <c r="G392" i="31"/>
  <c r="G393" i="31"/>
  <c r="G394" i="31"/>
  <c r="G395" i="31"/>
  <c r="G396" i="31"/>
  <c r="G397" i="31"/>
  <c r="G398" i="31"/>
  <c r="G399" i="31"/>
  <c r="G400" i="31"/>
  <c r="G401" i="31"/>
  <c r="G402" i="31"/>
  <c r="G403" i="31"/>
  <c r="G404" i="31"/>
  <c r="G405" i="31"/>
  <c r="G406" i="31"/>
  <c r="G407" i="31"/>
  <c r="G408" i="31"/>
  <c r="G409" i="31"/>
  <c r="G410" i="31"/>
  <c r="G411" i="31"/>
  <c r="G412" i="31"/>
  <c r="G413" i="31"/>
  <c r="G414" i="31"/>
  <c r="G415" i="31"/>
  <c r="G416" i="31"/>
  <c r="G417" i="31"/>
  <c r="G418" i="31"/>
  <c r="G419" i="31"/>
  <c r="G420" i="31"/>
  <c r="G421" i="31"/>
  <c r="G422" i="31"/>
  <c r="G423" i="31"/>
  <c r="G424" i="31"/>
  <c r="G425" i="31"/>
  <c r="G426" i="31"/>
  <c r="G427" i="31"/>
  <c r="G428" i="31"/>
  <c r="G429" i="31"/>
  <c r="G430" i="31"/>
  <c r="G431" i="31"/>
  <c r="G432" i="31"/>
  <c r="G433" i="31"/>
  <c r="G434" i="31"/>
  <c r="G435" i="31"/>
  <c r="G436" i="31"/>
  <c r="G437" i="31"/>
  <c r="G438" i="31"/>
  <c r="G439" i="31"/>
  <c r="G440" i="31"/>
  <c r="G441" i="31"/>
  <c r="G442" i="31"/>
  <c r="G443" i="31"/>
  <c r="G444" i="31"/>
  <c r="G445" i="31"/>
  <c r="G446" i="31"/>
  <c r="G447" i="31"/>
  <c r="G448" i="31"/>
  <c r="G449" i="31"/>
  <c r="G450" i="31"/>
  <c r="G451" i="31"/>
  <c r="G452" i="31"/>
  <c r="G453" i="31"/>
  <c r="G454" i="31"/>
  <c r="G455" i="31"/>
  <c r="G456" i="31"/>
  <c r="G457" i="31"/>
  <c r="G458" i="31"/>
  <c r="G459" i="31"/>
  <c r="G460" i="31"/>
  <c r="G461" i="31"/>
  <c r="G462" i="31"/>
  <c r="G463" i="31"/>
  <c r="G464" i="31"/>
  <c r="G465" i="31"/>
  <c r="G466" i="31"/>
  <c r="G467" i="31"/>
  <c r="G468" i="31"/>
  <c r="G469" i="31"/>
  <c r="G470" i="31"/>
  <c r="G471" i="31"/>
  <c r="G472" i="31"/>
  <c r="G473" i="31"/>
  <c r="G474" i="31"/>
  <c r="G475" i="31"/>
  <c r="G476" i="31"/>
  <c r="G477" i="31"/>
  <c r="G478" i="31"/>
  <c r="G479" i="31"/>
  <c r="G480" i="31"/>
  <c r="G481" i="31"/>
  <c r="G482" i="31"/>
  <c r="G483" i="31"/>
  <c r="G484" i="31"/>
  <c r="G485" i="31"/>
  <c r="G486" i="31"/>
  <c r="G487" i="31"/>
  <c r="G488" i="31"/>
  <c r="G489" i="31"/>
  <c r="G490" i="31"/>
  <c r="G491" i="31"/>
  <c r="G492" i="31"/>
  <c r="G493" i="31"/>
  <c r="G494" i="31"/>
  <c r="G495" i="31"/>
  <c r="G496" i="31"/>
  <c r="G497" i="31"/>
  <c r="G498" i="31"/>
  <c r="G499" i="31"/>
  <c r="G500" i="31"/>
  <c r="G501" i="31"/>
  <c r="G502" i="31"/>
  <c r="G503" i="31"/>
  <c r="G504" i="31"/>
  <c r="G505" i="31"/>
  <c r="G506" i="31"/>
  <c r="G507" i="31"/>
  <c r="G508" i="31"/>
  <c r="G509" i="31"/>
  <c r="G510" i="31"/>
  <c r="G511" i="31"/>
  <c r="G512" i="31"/>
  <c r="G513" i="31"/>
  <c r="G514" i="31"/>
  <c r="G515" i="31"/>
  <c r="G516" i="31"/>
  <c r="G517" i="31"/>
  <c r="G518" i="31"/>
  <c r="G519" i="31"/>
  <c r="G520" i="31"/>
  <c r="G521" i="31"/>
  <c r="G522" i="31"/>
  <c r="G523" i="31"/>
  <c r="G524" i="31"/>
  <c r="G525" i="31"/>
  <c r="G526" i="31"/>
  <c r="G527" i="31"/>
  <c r="G29" i="31"/>
  <c r="G30" i="31"/>
  <c r="G31" i="31"/>
  <c r="E32" i="31"/>
  <c r="E33" i="31"/>
  <c r="E34" i="31"/>
  <c r="E35" i="31"/>
  <c r="E36" i="31"/>
  <c r="E37" i="31"/>
  <c r="E38" i="31"/>
  <c r="E39" i="31"/>
  <c r="E40" i="31"/>
  <c r="E41" i="31"/>
  <c r="E42" i="31"/>
  <c r="E43" i="31"/>
  <c r="E44" i="31"/>
  <c r="E45" i="31"/>
  <c r="E46" i="31"/>
  <c r="E47" i="31"/>
  <c r="E48" i="31"/>
  <c r="E49" i="31"/>
  <c r="E50" i="31"/>
  <c r="E51" i="31"/>
  <c r="E52" i="31"/>
  <c r="E53" i="31"/>
  <c r="E54" i="31"/>
  <c r="E55" i="31"/>
  <c r="E56" i="31"/>
  <c r="E57" i="31"/>
  <c r="E58" i="31"/>
  <c r="E59" i="31"/>
  <c r="E60" i="31"/>
  <c r="E61" i="31"/>
  <c r="E62" i="31"/>
  <c r="E63" i="31"/>
  <c r="E64" i="31"/>
  <c r="E65" i="31"/>
  <c r="E66" i="31"/>
  <c r="E67" i="31"/>
  <c r="E68" i="31"/>
  <c r="E69" i="31"/>
  <c r="E70" i="31"/>
  <c r="E71" i="31"/>
  <c r="E72" i="31"/>
  <c r="E73" i="31"/>
  <c r="E74" i="31"/>
  <c r="E75" i="31"/>
  <c r="E76" i="31"/>
  <c r="E77" i="31"/>
  <c r="E78" i="31"/>
  <c r="E79" i="31"/>
  <c r="E80" i="31"/>
  <c r="E81" i="31"/>
  <c r="E82" i="31"/>
  <c r="E83" i="31"/>
  <c r="E84" i="31"/>
  <c r="E85" i="31"/>
  <c r="E86" i="31"/>
  <c r="E87" i="31"/>
  <c r="E88" i="31"/>
  <c r="E89" i="31"/>
  <c r="E90" i="31"/>
  <c r="E91" i="31"/>
  <c r="E92" i="31"/>
  <c r="E93" i="31"/>
  <c r="E94" i="31"/>
  <c r="E95" i="31"/>
  <c r="E96" i="31"/>
  <c r="E97" i="31"/>
  <c r="E98" i="31"/>
  <c r="E99" i="31"/>
  <c r="E100" i="31"/>
  <c r="E101" i="31"/>
  <c r="E102" i="31"/>
  <c r="E103" i="31"/>
  <c r="E104" i="31"/>
  <c r="E105" i="31"/>
  <c r="E106" i="31"/>
  <c r="E107" i="31"/>
  <c r="E108" i="31"/>
  <c r="E109" i="31"/>
  <c r="E110" i="31"/>
  <c r="E111" i="31"/>
  <c r="E112" i="31"/>
  <c r="E113" i="31"/>
  <c r="E114" i="31"/>
  <c r="E115" i="31"/>
  <c r="E116" i="31"/>
  <c r="E117" i="31"/>
  <c r="E118" i="31"/>
  <c r="E119" i="31"/>
  <c r="E120" i="31"/>
  <c r="E121" i="31"/>
  <c r="E122" i="31"/>
  <c r="E123" i="31"/>
  <c r="E124" i="31"/>
  <c r="E125" i="31"/>
  <c r="E126" i="31"/>
  <c r="E127" i="31"/>
  <c r="E128" i="31"/>
  <c r="E129" i="31"/>
  <c r="E130" i="31"/>
  <c r="E131" i="31"/>
  <c r="E132" i="31"/>
  <c r="E133" i="31"/>
  <c r="E134" i="31"/>
  <c r="E135" i="31"/>
  <c r="E136" i="31"/>
  <c r="E137" i="31"/>
  <c r="E138" i="31"/>
  <c r="E139" i="31"/>
  <c r="E140" i="31"/>
  <c r="E141" i="31"/>
  <c r="E142" i="31"/>
  <c r="E143" i="31"/>
  <c r="E144" i="31"/>
  <c r="E145" i="31"/>
  <c r="E146" i="31"/>
  <c r="E147" i="31"/>
  <c r="E148" i="31"/>
  <c r="E149" i="31"/>
  <c r="E150" i="31"/>
  <c r="E151" i="31"/>
  <c r="E152" i="31"/>
  <c r="E153" i="31"/>
  <c r="E154" i="31"/>
  <c r="E155" i="31"/>
  <c r="E156" i="31"/>
  <c r="E157" i="31"/>
  <c r="E158" i="31"/>
  <c r="E159" i="31"/>
  <c r="E160" i="31"/>
  <c r="E161" i="31"/>
  <c r="E162" i="31"/>
  <c r="E163" i="31"/>
  <c r="E164" i="31"/>
  <c r="E165" i="31"/>
  <c r="E166" i="31"/>
  <c r="E167" i="31"/>
  <c r="E168" i="31"/>
  <c r="E169" i="31"/>
  <c r="E170" i="31"/>
  <c r="E171" i="31"/>
  <c r="E172" i="31"/>
  <c r="E173" i="31"/>
  <c r="E174" i="31"/>
  <c r="E175" i="31"/>
  <c r="E176" i="31"/>
  <c r="E177" i="31"/>
  <c r="E178" i="31"/>
  <c r="E179" i="31"/>
  <c r="E180" i="31"/>
  <c r="E181" i="31"/>
  <c r="E182" i="31"/>
  <c r="E183" i="31"/>
  <c r="E184" i="31"/>
  <c r="E185" i="31"/>
  <c r="E186" i="31"/>
  <c r="E187" i="31"/>
  <c r="E188" i="31"/>
  <c r="E189" i="31"/>
  <c r="E190" i="31"/>
  <c r="E191" i="31"/>
  <c r="E192" i="31"/>
  <c r="E193" i="31"/>
  <c r="E194" i="31"/>
  <c r="E195" i="31"/>
  <c r="E196" i="31"/>
  <c r="E197" i="31"/>
  <c r="E198" i="31"/>
  <c r="E199" i="31"/>
  <c r="E200" i="31"/>
  <c r="E201" i="31"/>
  <c r="E202" i="31"/>
  <c r="E203" i="31"/>
  <c r="E204" i="31"/>
  <c r="E205" i="31"/>
  <c r="E206" i="31"/>
  <c r="E207" i="31"/>
  <c r="E208" i="31"/>
  <c r="E209" i="31"/>
  <c r="E210" i="31"/>
  <c r="E211" i="31"/>
  <c r="E212" i="31"/>
  <c r="E213" i="31"/>
  <c r="E214" i="31"/>
  <c r="E215" i="31"/>
  <c r="E216" i="31"/>
  <c r="E217" i="31"/>
  <c r="E218" i="31"/>
  <c r="E219" i="31"/>
  <c r="E220" i="31"/>
  <c r="E221" i="31"/>
  <c r="E222" i="31"/>
  <c r="E223" i="31"/>
  <c r="E224" i="31"/>
  <c r="E225" i="31"/>
  <c r="E226" i="31"/>
  <c r="E227" i="31"/>
  <c r="E228" i="31"/>
  <c r="E229" i="31"/>
  <c r="E230" i="31"/>
  <c r="E231" i="31"/>
  <c r="E232" i="31"/>
  <c r="E233" i="31"/>
  <c r="E234" i="31"/>
  <c r="E235" i="31"/>
  <c r="E236" i="31"/>
  <c r="E237" i="31"/>
  <c r="E238" i="31"/>
  <c r="E239" i="31"/>
  <c r="E240" i="31"/>
  <c r="E241" i="31"/>
  <c r="E242" i="31"/>
  <c r="E243" i="31"/>
  <c r="E244" i="31"/>
  <c r="E245" i="31"/>
  <c r="E246" i="31"/>
  <c r="E247" i="31"/>
  <c r="E248" i="31"/>
  <c r="E249" i="31"/>
  <c r="E250" i="31"/>
  <c r="E251" i="31"/>
  <c r="E252" i="31"/>
  <c r="E253" i="31"/>
  <c r="E254" i="31"/>
  <c r="E255" i="31"/>
  <c r="E256" i="31"/>
  <c r="E257" i="31"/>
  <c r="E258" i="31"/>
  <c r="E259" i="31"/>
  <c r="E260" i="31"/>
  <c r="E261" i="31"/>
  <c r="E262" i="31"/>
  <c r="E263" i="31"/>
  <c r="E264" i="31"/>
  <c r="E265" i="31"/>
  <c r="E266" i="31"/>
  <c r="E267" i="31"/>
  <c r="E268" i="31"/>
  <c r="E269" i="31"/>
  <c r="E270" i="31"/>
  <c r="E271" i="31"/>
  <c r="E272" i="31"/>
  <c r="E273" i="31"/>
  <c r="E274" i="31"/>
  <c r="E275" i="31"/>
  <c r="E276" i="31"/>
  <c r="E277" i="31"/>
  <c r="E278" i="31"/>
  <c r="E279" i="31"/>
  <c r="E280" i="31"/>
  <c r="E281" i="31"/>
  <c r="E282" i="31"/>
  <c r="E283" i="31"/>
  <c r="E284" i="31"/>
  <c r="E285" i="31"/>
  <c r="E286" i="31"/>
  <c r="E287" i="31"/>
  <c r="E288" i="31"/>
  <c r="E289" i="31"/>
  <c r="E290" i="31"/>
  <c r="E291" i="31"/>
  <c r="E292" i="31"/>
  <c r="E293" i="31"/>
  <c r="E294" i="31"/>
  <c r="E295" i="31"/>
  <c r="E296" i="31"/>
  <c r="E297" i="31"/>
  <c r="E298" i="31"/>
  <c r="E299" i="31"/>
  <c r="E300" i="31"/>
  <c r="E301" i="31"/>
  <c r="E302" i="31"/>
  <c r="E303" i="31"/>
  <c r="E304" i="31"/>
  <c r="E305" i="31"/>
  <c r="E306" i="31"/>
  <c r="E307" i="31"/>
  <c r="E308" i="31"/>
  <c r="E309" i="31"/>
  <c r="E310" i="31"/>
  <c r="E311" i="31"/>
  <c r="E312" i="31"/>
  <c r="E313" i="31"/>
  <c r="E314" i="31"/>
  <c r="E315" i="31"/>
  <c r="E316" i="31"/>
  <c r="E317" i="31"/>
  <c r="E318" i="31"/>
  <c r="E319" i="31"/>
  <c r="E320" i="31"/>
  <c r="E321" i="31"/>
  <c r="E322" i="31"/>
  <c r="E323" i="31"/>
  <c r="E324" i="31"/>
  <c r="E325" i="31"/>
  <c r="E326" i="31"/>
  <c r="E327" i="31"/>
  <c r="E328" i="31"/>
  <c r="E329" i="31"/>
  <c r="E330" i="31"/>
  <c r="E331" i="31"/>
  <c r="E332" i="31"/>
  <c r="E333" i="31"/>
  <c r="E334" i="31"/>
  <c r="E335" i="31"/>
  <c r="E336" i="31"/>
  <c r="E337" i="31"/>
  <c r="E338" i="31"/>
  <c r="E339" i="31"/>
  <c r="E340" i="31"/>
  <c r="E341" i="31"/>
  <c r="E342" i="31"/>
  <c r="E343" i="31"/>
  <c r="E344" i="31"/>
  <c r="E345" i="31"/>
  <c r="E346" i="31"/>
  <c r="E347" i="31"/>
  <c r="E348" i="31"/>
  <c r="E349" i="31"/>
  <c r="E350" i="31"/>
  <c r="E351" i="31"/>
  <c r="E352" i="31"/>
  <c r="E353" i="31"/>
  <c r="E354" i="31"/>
  <c r="E355" i="31"/>
  <c r="E356" i="31"/>
  <c r="E357" i="31"/>
  <c r="E358" i="31"/>
  <c r="E359" i="31"/>
  <c r="E360" i="31"/>
  <c r="E361" i="31"/>
  <c r="E362" i="31"/>
  <c r="E363" i="31"/>
  <c r="E364" i="31"/>
  <c r="E365" i="31"/>
  <c r="E366" i="31"/>
  <c r="E367" i="31"/>
  <c r="E368" i="31"/>
  <c r="E369" i="31"/>
  <c r="E370" i="31"/>
  <c r="E371" i="31"/>
  <c r="E372" i="31"/>
  <c r="E373" i="31"/>
  <c r="E374" i="31"/>
  <c r="E375" i="31"/>
  <c r="E376" i="31"/>
  <c r="E377" i="31"/>
  <c r="E378" i="31"/>
  <c r="E379" i="31"/>
  <c r="E380" i="31"/>
  <c r="E381" i="31"/>
  <c r="E382" i="31"/>
  <c r="E383" i="31"/>
  <c r="E384" i="31"/>
  <c r="E385" i="31"/>
  <c r="E386" i="31"/>
  <c r="E387" i="31"/>
  <c r="E388" i="31"/>
  <c r="E389" i="31"/>
  <c r="E390" i="31"/>
  <c r="E391" i="31"/>
  <c r="E392" i="31"/>
  <c r="E393" i="31"/>
  <c r="E394" i="31"/>
  <c r="E395" i="31"/>
  <c r="E396" i="31"/>
  <c r="E397" i="31"/>
  <c r="E398" i="31"/>
  <c r="E399" i="31"/>
  <c r="E400" i="31"/>
  <c r="E401" i="31"/>
  <c r="E402" i="31"/>
  <c r="E403" i="31"/>
  <c r="E404" i="31"/>
  <c r="E405" i="31"/>
  <c r="E406" i="31"/>
  <c r="E407" i="31"/>
  <c r="E408" i="31"/>
  <c r="E409" i="31"/>
  <c r="E410" i="31"/>
  <c r="E411" i="31"/>
  <c r="E412" i="31"/>
  <c r="E413" i="31"/>
  <c r="E414" i="31"/>
  <c r="E415" i="31"/>
  <c r="E416" i="31"/>
  <c r="E417" i="31"/>
  <c r="E418" i="31"/>
  <c r="E419" i="31"/>
  <c r="E420" i="31"/>
  <c r="E421" i="31"/>
  <c r="E422" i="31"/>
  <c r="E423" i="31"/>
  <c r="E424" i="31"/>
  <c r="E425" i="31"/>
  <c r="E426" i="31"/>
  <c r="E427" i="31"/>
  <c r="E428" i="31"/>
  <c r="E429" i="31"/>
  <c r="E430" i="31"/>
  <c r="E431" i="31"/>
  <c r="E432" i="31"/>
  <c r="E433" i="31"/>
  <c r="E434" i="31"/>
  <c r="E435" i="31"/>
  <c r="E436" i="31"/>
  <c r="E437" i="31"/>
  <c r="E438" i="31"/>
  <c r="E439" i="31"/>
  <c r="E440" i="31"/>
  <c r="E441" i="31"/>
  <c r="E442" i="31"/>
  <c r="E443" i="31"/>
  <c r="E444" i="31"/>
  <c r="E445" i="31"/>
  <c r="E446" i="31"/>
  <c r="E447" i="31"/>
  <c r="E448" i="31"/>
  <c r="E449" i="31"/>
  <c r="E450" i="31"/>
  <c r="E451" i="31"/>
  <c r="E452" i="31"/>
  <c r="E453" i="31"/>
  <c r="E454" i="31"/>
  <c r="E455" i="31"/>
  <c r="E456" i="31"/>
  <c r="E457" i="31"/>
  <c r="E458" i="31"/>
  <c r="E459" i="31"/>
  <c r="E460" i="31"/>
  <c r="E461" i="31"/>
  <c r="E462" i="31"/>
  <c r="E463" i="31"/>
  <c r="E464" i="31"/>
  <c r="E465" i="31"/>
  <c r="E466" i="31"/>
  <c r="E467" i="31"/>
  <c r="E468" i="31"/>
  <c r="E469" i="31"/>
  <c r="E470" i="31"/>
  <c r="E471" i="31"/>
  <c r="E472" i="31"/>
  <c r="E473" i="31"/>
  <c r="E474" i="31"/>
  <c r="E475" i="31"/>
  <c r="E476" i="31"/>
  <c r="E477" i="31"/>
  <c r="E478" i="31"/>
  <c r="E479" i="31"/>
  <c r="E480" i="31"/>
  <c r="E481" i="31"/>
  <c r="E482" i="31"/>
  <c r="E483" i="31"/>
  <c r="E484" i="31"/>
  <c r="E485" i="31"/>
  <c r="E486" i="31"/>
  <c r="E487" i="31"/>
  <c r="E488" i="31"/>
  <c r="E489" i="31"/>
  <c r="E490" i="31"/>
  <c r="E491" i="31"/>
  <c r="E492" i="31"/>
  <c r="E493" i="31"/>
  <c r="E494" i="31"/>
  <c r="E495" i="31"/>
  <c r="E496" i="31"/>
  <c r="E497" i="31"/>
  <c r="E498" i="31"/>
  <c r="E499" i="31"/>
  <c r="E500" i="31"/>
  <c r="E501" i="31"/>
  <c r="E502" i="31"/>
  <c r="E503" i="31"/>
  <c r="E504" i="31"/>
  <c r="E505" i="31"/>
  <c r="E506" i="31"/>
  <c r="E507" i="31"/>
  <c r="E508" i="31"/>
  <c r="E509" i="31"/>
  <c r="E510" i="31"/>
  <c r="E511" i="31"/>
  <c r="E512" i="31"/>
  <c r="E513" i="31"/>
  <c r="E514" i="31"/>
  <c r="E515" i="31"/>
  <c r="E516" i="31"/>
  <c r="E517" i="31"/>
  <c r="E518" i="31"/>
  <c r="E519" i="31"/>
  <c r="E520" i="31"/>
  <c r="E521" i="31"/>
  <c r="E522" i="31"/>
  <c r="E523" i="31"/>
  <c r="E524" i="31"/>
  <c r="E525" i="31"/>
  <c r="E526" i="31"/>
  <c r="E527" i="31"/>
  <c r="E29" i="31"/>
  <c r="E30" i="31"/>
  <c r="E31" i="31"/>
  <c r="P26" i="31"/>
  <c r="N26" i="31"/>
  <c r="L26" i="31"/>
  <c r="J26" i="31"/>
  <c r="H26" i="31"/>
  <c r="F26" i="31"/>
  <c r="D26" i="31"/>
  <c r="Q28" i="31"/>
  <c r="O28" i="31"/>
  <c r="M28" i="31"/>
  <c r="D15" i="31"/>
  <c r="K28" i="31"/>
  <c r="D13" i="31"/>
  <c r="E13" i="31" s="1"/>
  <c r="F13" i="31" s="1"/>
  <c r="G13" i="31" s="1"/>
  <c r="H13" i="31" s="1"/>
  <c r="I13" i="31" s="1"/>
  <c r="J13" i="31" s="1"/>
  <c r="K13" i="31" s="1"/>
  <c r="L13" i="31" s="1"/>
  <c r="M13" i="31" s="1"/>
  <c r="N13" i="31" s="1"/>
  <c r="O13" i="31" s="1"/>
  <c r="P13" i="31" s="1"/>
  <c r="Q13" i="31" s="1"/>
  <c r="R13" i="31" s="1"/>
  <c r="S13" i="31" s="1"/>
  <c r="D11" i="31"/>
  <c r="E11" i="31"/>
  <c r="F11" i="31" s="1"/>
  <c r="G11" i="31" s="1"/>
  <c r="H11" i="31" s="1"/>
  <c r="I11" i="31" s="1"/>
  <c r="J11" i="31" s="1"/>
  <c r="K11" i="31" s="1"/>
  <c r="L11" i="31" s="1"/>
  <c r="M11" i="31" s="1"/>
  <c r="N11" i="31" s="1"/>
  <c r="O11" i="31" s="1"/>
  <c r="P11" i="31" s="1"/>
  <c r="Q11" i="31" s="1"/>
  <c r="R11" i="31" s="1"/>
  <c r="S11" i="31" s="1"/>
  <c r="G28" i="31"/>
  <c r="E28" i="31"/>
  <c r="L5" i="31"/>
  <c r="K5" i="31"/>
  <c r="J5" i="31"/>
  <c r="I5" i="31"/>
  <c r="H5" i="31"/>
  <c r="G5" i="31"/>
  <c r="F5" i="31"/>
  <c r="E5" i="31"/>
  <c r="D5" i="31"/>
  <c r="C5" i="31"/>
  <c r="S384" i="31"/>
  <c r="S342" i="31"/>
  <c r="S300" i="31"/>
  <c r="S258" i="31"/>
  <c r="S257" i="31"/>
  <c r="S256" i="31"/>
  <c r="S255" i="31"/>
  <c r="S254" i="31"/>
  <c r="S253" i="31"/>
  <c r="S252" i="31"/>
  <c r="S251" i="31"/>
  <c r="S250" i="31"/>
  <c r="S249" i="31"/>
  <c r="S248" i="31"/>
  <c r="S247" i="31"/>
  <c r="S246" i="31"/>
  <c r="S245" i="31"/>
  <c r="S244" i="31"/>
  <c r="S243" i="31"/>
  <c r="S242" i="31"/>
  <c r="S241" i="31"/>
  <c r="S240" i="31"/>
  <c r="S239" i="31"/>
  <c r="S238" i="31"/>
  <c r="S237" i="31"/>
  <c r="S236" i="31"/>
  <c r="S235" i="31"/>
  <c r="S234" i="31"/>
  <c r="S233" i="31"/>
  <c r="S232" i="31"/>
  <c r="S231" i="31"/>
  <c r="S230" i="31"/>
  <c r="S229" i="31"/>
  <c r="S228" i="31"/>
  <c r="S227" i="31"/>
  <c r="S226" i="31"/>
  <c r="S198" i="31"/>
  <c r="S166" i="31"/>
  <c r="S134" i="31"/>
  <c r="S499" i="31"/>
  <c r="S491" i="31"/>
  <c r="S483" i="31"/>
  <c r="S475" i="31"/>
  <c r="S503" i="31"/>
  <c r="S51" i="31"/>
  <c r="S43" i="31"/>
  <c r="S35" i="31"/>
  <c r="S60" i="31"/>
  <c r="S106" i="31"/>
  <c r="I48" i="37"/>
  <c r="J48" i="37" s="1"/>
  <c r="G48" i="37"/>
  <c r="H48" i="37" s="1"/>
  <c r="E48" i="37"/>
  <c r="F48" i="37" s="1"/>
  <c r="I55" i="34"/>
  <c r="J55" i="34" s="1"/>
  <c r="G55" i="34"/>
  <c r="H55" i="34" s="1"/>
  <c r="E55" i="34"/>
  <c r="F55" i="34" s="1"/>
  <c r="I48" i="40"/>
  <c r="J48" i="40" s="1"/>
  <c r="G48" i="40"/>
  <c r="H48" i="40" s="1"/>
  <c r="E48" i="40"/>
  <c r="F48" i="40" s="1"/>
  <c r="I53" i="39"/>
  <c r="J53" i="39" s="1"/>
  <c r="G53" i="39"/>
  <c r="H53" i="39" s="1"/>
  <c r="E53" i="39"/>
  <c r="F53" i="39" s="1"/>
  <c r="I42" i="36"/>
  <c r="J42" i="36" s="1"/>
  <c r="G42" i="36"/>
  <c r="H42" i="36" s="1"/>
  <c r="E42" i="36"/>
  <c r="F42" i="36" s="1"/>
  <c r="I44" i="35"/>
  <c r="J44" i="35" s="1"/>
  <c r="G44" i="35"/>
  <c r="H44" i="35" s="1"/>
  <c r="E44" i="35"/>
  <c r="F44" i="35" s="1"/>
  <c r="I54" i="33"/>
  <c r="J54" i="33" s="1"/>
  <c r="G54" i="33"/>
  <c r="H54" i="33" s="1"/>
  <c r="E54" i="33"/>
  <c r="G111" i="21"/>
  <c r="H111" i="21"/>
  <c r="B110" i="39"/>
  <c r="F35" i="39" s="1"/>
  <c r="S35" i="39" s="1"/>
  <c r="B112" i="39"/>
  <c r="J30" i="36"/>
  <c r="H30" i="36"/>
  <c r="F30" i="36"/>
  <c r="AA30" i="36" s="1"/>
  <c r="C79" i="35"/>
  <c r="J31" i="35"/>
  <c r="H31" i="35"/>
  <c r="AB31" i="35" s="1"/>
  <c r="F31" i="35"/>
  <c r="AA31" i="35" s="1"/>
  <c r="D87" i="35"/>
  <c r="E87" i="35" s="1"/>
  <c r="F87" i="35" s="1"/>
  <c r="G87" i="35" s="1"/>
  <c r="H87" i="35" s="1"/>
  <c r="I87" i="35" s="1"/>
  <c r="J87" i="35" s="1"/>
  <c r="K87" i="35" s="1"/>
  <c r="L87" i="35" s="1"/>
  <c r="M87" i="35" s="1"/>
  <c r="H29" i="35"/>
  <c r="H34" i="37"/>
  <c r="AB34" i="37" s="1"/>
  <c r="D101" i="37"/>
  <c r="F34" i="37"/>
  <c r="AA34" i="37" s="1"/>
  <c r="D99" i="37"/>
  <c r="E99" i="37" s="1"/>
  <c r="F99" i="37" s="1"/>
  <c r="G99" i="37" s="1"/>
  <c r="H42" i="34"/>
  <c r="J42" i="34"/>
  <c r="F42" i="34"/>
  <c r="J38" i="34"/>
  <c r="AC38" i="34"/>
  <c r="D114" i="34"/>
  <c r="D112" i="34"/>
  <c r="E112" i="34" s="1"/>
  <c r="F112" i="34" s="1"/>
  <c r="G112" i="34" s="1"/>
  <c r="H112" i="34" s="1"/>
  <c r="I112" i="34" s="1"/>
  <c r="J112" i="34" s="1"/>
  <c r="K112" i="34" s="1"/>
  <c r="L112" i="34" s="1"/>
  <c r="M112" i="34" s="1"/>
  <c r="F40" i="33"/>
  <c r="J41" i="33"/>
  <c r="W41" i="33"/>
  <c r="D113" i="33"/>
  <c r="F37" i="33"/>
  <c r="S37" i="33" s="1"/>
  <c r="D111" i="33"/>
  <c r="E111" i="33" s="1"/>
  <c r="F111" i="33" s="1"/>
  <c r="G111" i="33" s="1"/>
  <c r="H111" i="33"/>
  <c r="I111" i="33" s="1"/>
  <c r="J111" i="33" s="1"/>
  <c r="K111" i="33" s="1"/>
  <c r="L111" i="33" s="1"/>
  <c r="M111" i="33" s="1"/>
  <c r="S519" i="31"/>
  <c r="S521" i="31"/>
  <c r="S523" i="31"/>
  <c r="S525" i="31"/>
  <c r="S527" i="31"/>
  <c r="F41" i="21"/>
  <c r="J41" i="21"/>
  <c r="AC41" i="21"/>
  <c r="H41" i="21"/>
  <c r="D81" i="39"/>
  <c r="E81" i="39" s="1"/>
  <c r="F81" i="39" s="1"/>
  <c r="G81" i="39" s="1"/>
  <c r="H81" i="39" s="1"/>
  <c r="I81" i="39" s="1"/>
  <c r="J81" i="39" s="1"/>
  <c r="K81" i="39" s="1"/>
  <c r="L81" i="39" s="1"/>
  <c r="M81" i="39" s="1"/>
  <c r="D76" i="40"/>
  <c r="E76" i="40" s="1"/>
  <c r="F76" i="40" s="1"/>
  <c r="G76" i="40" s="1"/>
  <c r="H76" i="40"/>
  <c r="I76" i="40" s="1"/>
  <c r="J76" i="40" s="1"/>
  <c r="K76" i="40" s="1"/>
  <c r="L76" i="40" s="1"/>
  <c r="M76" i="40" s="1"/>
  <c r="B120" i="40"/>
  <c r="B118" i="40"/>
  <c r="J39" i="40" s="1"/>
  <c r="B116" i="40"/>
  <c r="D115" i="40"/>
  <c r="E115" i="40" s="1"/>
  <c r="F115" i="40" s="1"/>
  <c r="G115" i="40" s="1"/>
  <c r="H115" i="40" s="1"/>
  <c r="I115" i="40" s="1"/>
  <c r="J115" i="40" s="1"/>
  <c r="K115" i="40" s="1"/>
  <c r="L115" i="40" s="1"/>
  <c r="M115" i="40" s="1"/>
  <c r="D113" i="40"/>
  <c r="E113" i="40" s="1"/>
  <c r="F113" i="40" s="1"/>
  <c r="G113" i="40" s="1"/>
  <c r="H113" i="40" s="1"/>
  <c r="I113" i="40" s="1"/>
  <c r="J113" i="40" s="1"/>
  <c r="K113" i="40" s="1"/>
  <c r="L113" i="40" s="1"/>
  <c r="M113" i="40" s="1"/>
  <c r="D111" i="40"/>
  <c r="E111" i="40" s="1"/>
  <c r="F111" i="40" s="1"/>
  <c r="G111" i="40" s="1"/>
  <c r="H111" i="40" s="1"/>
  <c r="I111" i="40" s="1"/>
  <c r="J111" i="40" s="1"/>
  <c r="K111" i="40" s="1"/>
  <c r="L111" i="40" s="1"/>
  <c r="M111" i="40" s="1"/>
  <c r="M107" i="40"/>
  <c r="L107" i="40"/>
  <c r="K107" i="40"/>
  <c r="J107" i="40"/>
  <c r="I107" i="40"/>
  <c r="H107" i="40"/>
  <c r="G107" i="40"/>
  <c r="F107" i="40"/>
  <c r="E107" i="40"/>
  <c r="D107" i="40"/>
  <c r="C107" i="40"/>
  <c r="B105" i="40"/>
  <c r="J33" i="40" s="1"/>
  <c r="AC33" i="40"/>
  <c r="B103" i="40"/>
  <c r="J32" i="40"/>
  <c r="AC32" i="40" s="1"/>
  <c r="B101" i="40"/>
  <c r="J31" i="40" s="1"/>
  <c r="AC31" i="40"/>
  <c r="D100" i="40"/>
  <c r="E100" i="40"/>
  <c r="F100" i="40" s="1"/>
  <c r="G100" i="40" s="1"/>
  <c r="H100" i="40" s="1"/>
  <c r="I100" i="40" s="1"/>
  <c r="J100" i="40" s="1"/>
  <c r="K100" i="40" s="1"/>
  <c r="L100" i="40" s="1"/>
  <c r="M100" i="40" s="1"/>
  <c r="D98" i="40"/>
  <c r="E98" i="40" s="1"/>
  <c r="D96" i="40"/>
  <c r="E96" i="40" s="1"/>
  <c r="B95" i="40"/>
  <c r="D92" i="40"/>
  <c r="E92" i="40" s="1"/>
  <c r="F92" i="40" s="1"/>
  <c r="G92" i="40" s="1"/>
  <c r="D90" i="40"/>
  <c r="E90" i="40" s="1"/>
  <c r="D88" i="40"/>
  <c r="E88" i="40" s="1"/>
  <c r="F88" i="40"/>
  <c r="G88" i="40" s="1"/>
  <c r="D86" i="40"/>
  <c r="E86" i="40" s="1"/>
  <c r="D84" i="40"/>
  <c r="E84" i="40" s="1"/>
  <c r="B81" i="40"/>
  <c r="B79" i="40"/>
  <c r="B77" i="40"/>
  <c r="J12" i="40" s="1"/>
  <c r="M74" i="40"/>
  <c r="L74" i="40"/>
  <c r="K74" i="40"/>
  <c r="J74" i="40"/>
  <c r="I74" i="40"/>
  <c r="H74" i="40"/>
  <c r="G74" i="40"/>
  <c r="F74" i="40"/>
  <c r="E74" i="40"/>
  <c r="D74" i="40"/>
  <c r="C74" i="40"/>
  <c r="P43" i="40"/>
  <c r="P42" i="40"/>
  <c r="V41" i="40"/>
  <c r="T41" i="40"/>
  <c r="R41" i="40"/>
  <c r="P41" i="40"/>
  <c r="Q40" i="40"/>
  <c r="Z40" i="40"/>
  <c r="Q39" i="40"/>
  <c r="Z39" i="40"/>
  <c r="AC39" i="40"/>
  <c r="Q38" i="40"/>
  <c r="Z38" i="40"/>
  <c r="Q37" i="40"/>
  <c r="Z37" i="40"/>
  <c r="Q36" i="40"/>
  <c r="Z36" i="40"/>
  <c r="Q35" i="40"/>
  <c r="Z35" i="40"/>
  <c r="Q34" i="40"/>
  <c r="Z34" i="40"/>
  <c r="J34" i="40"/>
  <c r="AC34" i="40"/>
  <c r="H34" i="40"/>
  <c r="AB34" i="40"/>
  <c r="F34" i="40"/>
  <c r="AA34" i="40"/>
  <c r="Q33" i="40"/>
  <c r="Z33" i="40"/>
  <c r="Q32" i="40"/>
  <c r="Z32" i="40"/>
  <c r="Q31" i="40"/>
  <c r="Z31" i="40"/>
  <c r="Q30" i="40"/>
  <c r="Z30" i="40"/>
  <c r="Q28" i="40"/>
  <c r="Z28" i="40"/>
  <c r="Q27" i="40"/>
  <c r="Z27" i="40"/>
  <c r="Q23" i="40"/>
  <c r="Z23" i="40"/>
  <c r="Q21" i="40"/>
  <c r="Z21" i="40"/>
  <c r="Q19" i="40"/>
  <c r="Z19" i="40"/>
  <c r="Q17" i="40"/>
  <c r="Z17" i="40"/>
  <c r="Q15" i="40"/>
  <c r="Z15" i="40"/>
  <c r="Q14" i="40"/>
  <c r="Z14" i="40"/>
  <c r="Q13" i="40"/>
  <c r="Z13" i="40"/>
  <c r="Q12" i="40"/>
  <c r="Z12" i="40"/>
  <c r="Q11" i="40"/>
  <c r="Z11" i="40"/>
  <c r="Q10" i="40"/>
  <c r="Z10" i="40"/>
  <c r="Q9" i="40"/>
  <c r="Z9" i="40"/>
  <c r="J9" i="40"/>
  <c r="W9" i="40"/>
  <c r="H9" i="40"/>
  <c r="AB9" i="40"/>
  <c r="F9" i="40"/>
  <c r="AA9" i="40"/>
  <c r="J8" i="40"/>
  <c r="AC8" i="40"/>
  <c r="H8" i="40"/>
  <c r="AB8" i="40"/>
  <c r="F8" i="40"/>
  <c r="AA8" i="40"/>
  <c r="C7" i="40"/>
  <c r="C63" i="40" s="1"/>
  <c r="J38" i="39"/>
  <c r="W38" i="39" s="1"/>
  <c r="H38" i="39"/>
  <c r="AB38" i="39" s="1"/>
  <c r="F38" i="39"/>
  <c r="AA38" i="39" s="1"/>
  <c r="D124" i="39"/>
  <c r="E124" i="39" s="1"/>
  <c r="F124" i="39"/>
  <c r="G124" i="39" s="1"/>
  <c r="H124" i="39" s="1"/>
  <c r="I124" i="39" s="1"/>
  <c r="J124" i="39" s="1"/>
  <c r="K124" i="39" s="1"/>
  <c r="L124" i="39" s="1"/>
  <c r="M124" i="39" s="1"/>
  <c r="D120" i="39"/>
  <c r="E120" i="39" s="1"/>
  <c r="F120" i="39" s="1"/>
  <c r="G120" i="39" s="1"/>
  <c r="H120" i="39" s="1"/>
  <c r="I120" i="39" s="1"/>
  <c r="J120" i="39" s="1"/>
  <c r="K120" i="39" s="1"/>
  <c r="L120" i="39" s="1"/>
  <c r="M120" i="39" s="1"/>
  <c r="B114" i="39"/>
  <c r="J37" i="39" s="1"/>
  <c r="W37" i="39" s="1"/>
  <c r="D109" i="39"/>
  <c r="F34" i="39"/>
  <c r="AA34" i="39" s="1"/>
  <c r="D107" i="39"/>
  <c r="E107" i="39" s="1"/>
  <c r="F107" i="39" s="1"/>
  <c r="G107" i="39" s="1"/>
  <c r="H107" i="39" s="1"/>
  <c r="I107" i="39" s="1"/>
  <c r="J107" i="39" s="1"/>
  <c r="K107" i="39" s="1"/>
  <c r="L107" i="39" s="1"/>
  <c r="M107" i="39" s="1"/>
  <c r="D105" i="39"/>
  <c r="E105" i="39" s="1"/>
  <c r="F105" i="39" s="1"/>
  <c r="G105" i="39" s="1"/>
  <c r="H105" i="39" s="1"/>
  <c r="I105" i="39" s="1"/>
  <c r="J105" i="39" s="1"/>
  <c r="K105" i="39" s="1"/>
  <c r="L105" i="39" s="1"/>
  <c r="M105" i="39" s="1"/>
  <c r="D103" i="39"/>
  <c r="D99" i="39"/>
  <c r="E99" i="39" s="1"/>
  <c r="F99" i="39" s="1"/>
  <c r="G99" i="39" s="1"/>
  <c r="Q39" i="39"/>
  <c r="Z39" i="39"/>
  <c r="Q40" i="39"/>
  <c r="Z40" i="39"/>
  <c r="Q41" i="39"/>
  <c r="Z41" i="39"/>
  <c r="Q42" i="39"/>
  <c r="Z42" i="39"/>
  <c r="Q43" i="39"/>
  <c r="Z43" i="39"/>
  <c r="Q44" i="39"/>
  <c r="Z44" i="39"/>
  <c r="Q45" i="39"/>
  <c r="Z45" i="39"/>
  <c r="Q38" i="39"/>
  <c r="Z38" i="39"/>
  <c r="Q36" i="39"/>
  <c r="Z36" i="39"/>
  <c r="Q37" i="39"/>
  <c r="Z37" i="39"/>
  <c r="M116" i="39"/>
  <c r="L116" i="39"/>
  <c r="K116" i="39"/>
  <c r="J116" i="39"/>
  <c r="I116" i="39"/>
  <c r="H116" i="39"/>
  <c r="G116" i="39"/>
  <c r="F116" i="39"/>
  <c r="E116" i="39"/>
  <c r="D116" i="39"/>
  <c r="C116" i="39"/>
  <c r="B131" i="39"/>
  <c r="H45" i="39" s="1"/>
  <c r="B129" i="39"/>
  <c r="H44" i="39" s="1"/>
  <c r="B127" i="39"/>
  <c r="J43" i="39" s="1"/>
  <c r="D126" i="39"/>
  <c r="E126" i="39" s="1"/>
  <c r="F126" i="39"/>
  <c r="G126" i="39" s="1"/>
  <c r="H126" i="39" s="1"/>
  <c r="I126" i="39" s="1"/>
  <c r="J126" i="39" s="1"/>
  <c r="K126" i="39" s="1"/>
  <c r="L126" i="39" s="1"/>
  <c r="M126" i="39" s="1"/>
  <c r="D122" i="39"/>
  <c r="E122" i="39" s="1"/>
  <c r="F122" i="39" s="1"/>
  <c r="G122" i="39" s="1"/>
  <c r="H122" i="39" s="1"/>
  <c r="I122" i="39" s="1"/>
  <c r="J122" i="39" s="1"/>
  <c r="K122" i="39" s="1"/>
  <c r="L122" i="39" s="1"/>
  <c r="M122" i="39" s="1"/>
  <c r="B104" i="39"/>
  <c r="D97" i="39"/>
  <c r="D95" i="39"/>
  <c r="E95" i="39" s="1"/>
  <c r="F95" i="39" s="1"/>
  <c r="G95" i="39" s="1"/>
  <c r="J21" i="39"/>
  <c r="AC21" i="39" s="1"/>
  <c r="D93" i="39"/>
  <c r="E93" i="39" s="1"/>
  <c r="F93" i="39" s="1"/>
  <c r="G93" i="39" s="1"/>
  <c r="D91" i="39"/>
  <c r="E91" i="39" s="1"/>
  <c r="F91" i="39" s="1"/>
  <c r="G91" i="39" s="1"/>
  <c r="D89" i="39"/>
  <c r="E89" i="39" s="1"/>
  <c r="F89" i="39" s="1"/>
  <c r="G89" i="39" s="1"/>
  <c r="B86" i="39"/>
  <c r="F14" i="39" s="1"/>
  <c r="AA14" i="39" s="1"/>
  <c r="B84" i="39"/>
  <c r="B82" i="39"/>
  <c r="H12" i="39" s="1"/>
  <c r="M79" i="39"/>
  <c r="L79" i="39"/>
  <c r="K79" i="39"/>
  <c r="J79" i="39"/>
  <c r="I79" i="39"/>
  <c r="H79" i="39"/>
  <c r="G79" i="39"/>
  <c r="F79" i="39"/>
  <c r="E79" i="39"/>
  <c r="D79" i="39"/>
  <c r="C79" i="39"/>
  <c r="P48" i="39"/>
  <c r="P47" i="39"/>
  <c r="V46" i="39"/>
  <c r="T46" i="39"/>
  <c r="R46" i="39"/>
  <c r="P46" i="39"/>
  <c r="F44" i="39"/>
  <c r="AA44" i="39" s="1"/>
  <c r="J40" i="39"/>
  <c r="AC40" i="39" s="1"/>
  <c r="F40" i="39"/>
  <c r="AA40" i="39" s="1"/>
  <c r="J39" i="39"/>
  <c r="AC39" i="39" s="1"/>
  <c r="F39" i="39"/>
  <c r="AA39" i="39" s="1"/>
  <c r="Q35" i="39"/>
  <c r="Z35" i="39" s="1"/>
  <c r="Q34" i="39"/>
  <c r="Z34" i="39" s="1"/>
  <c r="Q32" i="39"/>
  <c r="Z32" i="39" s="1"/>
  <c r="Q31" i="39"/>
  <c r="Z31" i="39" s="1"/>
  <c r="Q29" i="39"/>
  <c r="Z29" i="39" s="1"/>
  <c r="Q25" i="39"/>
  <c r="Z25" i="39" s="1"/>
  <c r="Q23" i="39"/>
  <c r="Z23" i="39" s="1"/>
  <c r="Q21" i="39"/>
  <c r="Z21" i="39" s="1"/>
  <c r="Q19" i="39"/>
  <c r="Z19" i="39" s="1"/>
  <c r="Q17" i="39"/>
  <c r="Z17" i="39" s="1"/>
  <c r="Q15" i="39"/>
  <c r="Z15" i="39" s="1"/>
  <c r="Q14" i="39"/>
  <c r="Z14" i="39" s="1"/>
  <c r="Q13" i="39"/>
  <c r="Z13" i="39" s="1"/>
  <c r="Q12" i="39"/>
  <c r="Z12" i="39" s="1"/>
  <c r="Q11" i="39"/>
  <c r="Z11" i="39" s="1"/>
  <c r="Q10" i="39"/>
  <c r="Z10" i="39" s="1"/>
  <c r="Q9" i="39"/>
  <c r="Z9" i="39" s="1"/>
  <c r="J9" i="39"/>
  <c r="AC9" i="39" s="1"/>
  <c r="H9" i="39"/>
  <c r="AB9" i="39" s="1"/>
  <c r="F9" i="39"/>
  <c r="J8" i="39"/>
  <c r="AC8" i="39" s="1"/>
  <c r="H8" i="39"/>
  <c r="F8" i="39"/>
  <c r="AA8" i="39"/>
  <c r="C20" i="36"/>
  <c r="C20" i="35"/>
  <c r="C16" i="36"/>
  <c r="C16" i="35"/>
  <c r="C14" i="36"/>
  <c r="C14" i="35"/>
  <c r="B80" i="37"/>
  <c r="H25" i="37"/>
  <c r="U25" i="37" s="1"/>
  <c r="B110" i="37"/>
  <c r="J39" i="37" s="1"/>
  <c r="AC39" i="37" s="1"/>
  <c r="B108" i="37"/>
  <c r="C23" i="37"/>
  <c r="C19" i="37"/>
  <c r="C17" i="37"/>
  <c r="C15" i="37"/>
  <c r="B112" i="37"/>
  <c r="H40" i="37" s="1"/>
  <c r="D107" i="37"/>
  <c r="E107" i="37" s="1"/>
  <c r="F107" i="37" s="1"/>
  <c r="G107" i="37" s="1"/>
  <c r="H107" i="37" s="1"/>
  <c r="I107" i="37" s="1"/>
  <c r="J107" i="37" s="1"/>
  <c r="K107" i="37" s="1"/>
  <c r="L107" i="37" s="1"/>
  <c r="M107" i="37" s="1"/>
  <c r="D105" i="37"/>
  <c r="E105" i="37" s="1"/>
  <c r="F105" i="37" s="1"/>
  <c r="G105" i="37" s="1"/>
  <c r="D103" i="37"/>
  <c r="J35" i="37"/>
  <c r="G97" i="37"/>
  <c r="F97" i="37"/>
  <c r="E97" i="37"/>
  <c r="D97" i="37"/>
  <c r="C97" i="37"/>
  <c r="D96" i="37"/>
  <c r="E96" i="37"/>
  <c r="F96" i="37" s="1"/>
  <c r="G96" i="37" s="1"/>
  <c r="H96" i="37" s="1"/>
  <c r="I96" i="37" s="1"/>
  <c r="J96" i="37" s="1"/>
  <c r="K96" i="37" s="1"/>
  <c r="L96" i="37" s="1"/>
  <c r="M96" i="37" s="1"/>
  <c r="D94" i="37"/>
  <c r="E94" i="37"/>
  <c r="F94" i="37" s="1"/>
  <c r="G94" i="37" s="1"/>
  <c r="H94" i="37" s="1"/>
  <c r="I94" i="37" s="1"/>
  <c r="J94" i="37" s="1"/>
  <c r="K94" i="37"/>
  <c r="L94" i="37" s="1"/>
  <c r="M94" i="37" s="1"/>
  <c r="M90" i="37"/>
  <c r="L90" i="37"/>
  <c r="K90" i="37"/>
  <c r="J90" i="37"/>
  <c r="I90" i="37"/>
  <c r="H90" i="37"/>
  <c r="G90" i="37"/>
  <c r="F90" i="37"/>
  <c r="E90" i="37"/>
  <c r="D90" i="37"/>
  <c r="C90" i="37"/>
  <c r="D89" i="37"/>
  <c r="E89" i="37" s="1"/>
  <c r="F89" i="37" s="1"/>
  <c r="G89" i="37" s="1"/>
  <c r="H89" i="37" s="1"/>
  <c r="I89" i="37" s="1"/>
  <c r="J89" i="37" s="1"/>
  <c r="K89" i="37" s="1"/>
  <c r="L89" i="37" s="1"/>
  <c r="M89" i="37" s="1"/>
  <c r="B86" i="37"/>
  <c r="B84" i="37"/>
  <c r="B82" i="37"/>
  <c r="D79" i="37"/>
  <c r="E79" i="37" s="1"/>
  <c r="F79" i="37" s="1"/>
  <c r="G79" i="37" s="1"/>
  <c r="D75" i="37"/>
  <c r="E75" i="37" s="1"/>
  <c r="F75" i="37" s="1"/>
  <c r="D73" i="37"/>
  <c r="E73" i="37" s="1"/>
  <c r="J17" i="37"/>
  <c r="D71" i="37"/>
  <c r="E71" i="37" s="1"/>
  <c r="F71" i="37" s="1"/>
  <c r="G71" i="37"/>
  <c r="B68" i="37"/>
  <c r="H14" i="37"/>
  <c r="AB14" i="37" s="1"/>
  <c r="B66" i="37"/>
  <c r="B64" i="37"/>
  <c r="H12" i="37" s="1"/>
  <c r="U12" i="37" s="1"/>
  <c r="D63" i="37"/>
  <c r="E63" i="37" s="1"/>
  <c r="F63" i="37" s="1"/>
  <c r="G63" i="37" s="1"/>
  <c r="H63" i="37" s="1"/>
  <c r="I63" i="37" s="1"/>
  <c r="J63" i="37" s="1"/>
  <c r="K63" i="37" s="1"/>
  <c r="L63" i="37" s="1"/>
  <c r="M63" i="37" s="1"/>
  <c r="H11" i="37"/>
  <c r="U11" i="37" s="1"/>
  <c r="M61" i="37"/>
  <c r="L61" i="37"/>
  <c r="K61" i="37"/>
  <c r="J61" i="37"/>
  <c r="I61" i="37"/>
  <c r="H61" i="37"/>
  <c r="G61" i="37"/>
  <c r="F61" i="37"/>
  <c r="E61" i="37"/>
  <c r="D61" i="37"/>
  <c r="C61" i="37"/>
  <c r="F60" i="37"/>
  <c r="C57" i="37"/>
  <c r="P43" i="37"/>
  <c r="P42" i="37"/>
  <c r="V41" i="37"/>
  <c r="T41" i="37"/>
  <c r="R41" i="37"/>
  <c r="P41" i="37"/>
  <c r="Q40" i="37"/>
  <c r="Z40" i="37"/>
  <c r="Q39" i="37"/>
  <c r="Z39" i="37"/>
  <c r="Q38" i="37"/>
  <c r="Z38" i="37"/>
  <c r="Q37" i="37"/>
  <c r="Z37" i="37"/>
  <c r="Q36" i="37"/>
  <c r="Z36" i="37"/>
  <c r="Q35" i="37"/>
  <c r="Z35" i="37"/>
  <c r="Q34" i="37"/>
  <c r="Z34" i="37"/>
  <c r="Q33" i="37"/>
  <c r="Z33" i="37"/>
  <c r="Q32" i="37"/>
  <c r="Z32" i="37"/>
  <c r="Q31" i="37"/>
  <c r="Z31" i="37"/>
  <c r="J31" i="37"/>
  <c r="AC31" i="37" s="1"/>
  <c r="Q30" i="37"/>
  <c r="Z30" i="37" s="1"/>
  <c r="J30" i="37"/>
  <c r="AC30" i="37" s="1"/>
  <c r="H30" i="37"/>
  <c r="AB30" i="37" s="1"/>
  <c r="F30" i="37"/>
  <c r="AA30" i="37" s="1"/>
  <c r="Q29" i="37"/>
  <c r="Z29" i="37" s="1"/>
  <c r="H29" i="37"/>
  <c r="AB29" i="37" s="1"/>
  <c r="Q28" i="37"/>
  <c r="Z28" i="37" s="1"/>
  <c r="Q27" i="37"/>
  <c r="Z27" i="37" s="1"/>
  <c r="Q26" i="37"/>
  <c r="Z26" i="37" s="1"/>
  <c r="Q25" i="37"/>
  <c r="Z25" i="37" s="1"/>
  <c r="J25" i="37"/>
  <c r="AC25" i="37" s="1"/>
  <c r="F25" i="37"/>
  <c r="AA25" i="37" s="1"/>
  <c r="Q23" i="37"/>
  <c r="Z23" i="37" s="1"/>
  <c r="Q19" i="37"/>
  <c r="Z19" i="37" s="1"/>
  <c r="Q17" i="37"/>
  <c r="Z17" i="37" s="1"/>
  <c r="Q15" i="37"/>
  <c r="Z15" i="37" s="1"/>
  <c r="Q14" i="37"/>
  <c r="Z14" i="37" s="1"/>
  <c r="Q13" i="37"/>
  <c r="Z13" i="37" s="1"/>
  <c r="Q12" i="37"/>
  <c r="Z12" i="37" s="1"/>
  <c r="Q11" i="37"/>
  <c r="Z11" i="37" s="1"/>
  <c r="Q10" i="37"/>
  <c r="Z10" i="37" s="1"/>
  <c r="Q9" i="37"/>
  <c r="Z9" i="37" s="1"/>
  <c r="J8" i="37"/>
  <c r="W8" i="37" s="1"/>
  <c r="H8" i="37"/>
  <c r="AB8" i="37" s="1"/>
  <c r="F8" i="37"/>
  <c r="S8" i="37" s="1"/>
  <c r="J31" i="36"/>
  <c r="H31" i="36"/>
  <c r="AB31" i="36" s="1"/>
  <c r="F31" i="36"/>
  <c r="S31" i="36" s="1"/>
  <c r="M86" i="36"/>
  <c r="L86" i="36"/>
  <c r="K86" i="36"/>
  <c r="J86" i="36"/>
  <c r="I86" i="36"/>
  <c r="H86" i="36"/>
  <c r="G86" i="36"/>
  <c r="F86" i="36"/>
  <c r="E86" i="36"/>
  <c r="D86" i="36"/>
  <c r="C86" i="36"/>
  <c r="D85" i="36"/>
  <c r="H29" i="36"/>
  <c r="U29" i="36" s="1"/>
  <c r="D81" i="36"/>
  <c r="E81" i="36" s="1"/>
  <c r="F81" i="36" s="1"/>
  <c r="G81" i="36" s="1"/>
  <c r="H81" i="36" s="1"/>
  <c r="I81" i="36" s="1"/>
  <c r="J81" i="36" s="1"/>
  <c r="K81" i="36" s="1"/>
  <c r="L81" i="36" s="1"/>
  <c r="M81" i="36" s="1"/>
  <c r="G79" i="36"/>
  <c r="F79" i="36"/>
  <c r="E79" i="36"/>
  <c r="D79" i="36"/>
  <c r="C79" i="36"/>
  <c r="B93" i="36"/>
  <c r="H33" i="36" s="1"/>
  <c r="AB33" i="36" s="1"/>
  <c r="B91" i="36"/>
  <c r="F32" i="36" s="1"/>
  <c r="B95" i="36"/>
  <c r="H34" i="36" s="1"/>
  <c r="U34" i="36"/>
  <c r="D83" i="36"/>
  <c r="E83" i="36"/>
  <c r="D78" i="36"/>
  <c r="E78" i="36"/>
  <c r="F78" i="36" s="1"/>
  <c r="G78" i="36" s="1"/>
  <c r="H78" i="36" s="1"/>
  <c r="I78" i="36" s="1"/>
  <c r="J78" i="36" s="1"/>
  <c r="K78" i="36" s="1"/>
  <c r="L78" i="36" s="1"/>
  <c r="M78" i="36" s="1"/>
  <c r="B75" i="36"/>
  <c r="B73" i="36"/>
  <c r="B71" i="36"/>
  <c r="D70" i="36"/>
  <c r="H22" i="36"/>
  <c r="AB22" i="36"/>
  <c r="D68" i="36"/>
  <c r="E68" i="36"/>
  <c r="F68" i="36" s="1"/>
  <c r="G68" i="36" s="1"/>
  <c r="D64" i="36"/>
  <c r="E64" i="36"/>
  <c r="F64" i="36" s="1"/>
  <c r="G64" i="36" s="1"/>
  <c r="J16" i="36"/>
  <c r="W16" i="36" s="1"/>
  <c r="D62" i="36"/>
  <c r="E62" i="36" s="1"/>
  <c r="F62" i="36" s="1"/>
  <c r="G62" i="36" s="1"/>
  <c r="H14" i="36"/>
  <c r="AB14" i="36" s="1"/>
  <c r="B59" i="36"/>
  <c r="B57" i="36"/>
  <c r="B55" i="36"/>
  <c r="F54" i="36"/>
  <c r="G54" i="36" s="1"/>
  <c r="H54" i="36"/>
  <c r="I54" i="36" s="1"/>
  <c r="C51" i="36"/>
  <c r="P37" i="36"/>
  <c r="P36" i="36"/>
  <c r="V35" i="36"/>
  <c r="T35" i="36"/>
  <c r="R35" i="36"/>
  <c r="P35" i="36"/>
  <c r="Q34" i="36"/>
  <c r="Z34" i="36" s="1"/>
  <c r="Q33" i="36"/>
  <c r="Z33" i="36" s="1"/>
  <c r="Q32" i="36"/>
  <c r="Z32" i="36" s="1"/>
  <c r="Q31" i="36"/>
  <c r="Z31" i="36" s="1"/>
  <c r="Q30" i="36"/>
  <c r="Z30" i="36" s="1"/>
  <c r="Q29" i="36"/>
  <c r="Z29" i="36" s="1"/>
  <c r="Q28" i="36"/>
  <c r="Z28" i="36" s="1"/>
  <c r="J28" i="36"/>
  <c r="AC28" i="36" s="1"/>
  <c r="Q27" i="36"/>
  <c r="Z27" i="36" s="1"/>
  <c r="Q26" i="36"/>
  <c r="Z26" i="36" s="1"/>
  <c r="H26" i="36"/>
  <c r="Q25" i="36"/>
  <c r="Z25" i="36" s="1"/>
  <c r="Q24" i="36"/>
  <c r="Z24" i="36" s="1"/>
  <c r="Q23" i="36"/>
  <c r="Z23" i="36" s="1"/>
  <c r="J23" i="36"/>
  <c r="AC23" i="36" s="1"/>
  <c r="H23" i="36"/>
  <c r="F23" i="36"/>
  <c r="AA23" i="36" s="1"/>
  <c r="Q22" i="36"/>
  <c r="Z22" i="36" s="1"/>
  <c r="J22" i="36"/>
  <c r="AC22" i="36" s="1"/>
  <c r="Q20" i="36"/>
  <c r="Z20" i="36" s="1"/>
  <c r="Q16" i="36"/>
  <c r="Z16" i="36" s="1"/>
  <c r="Q14" i="36"/>
  <c r="Z14" i="36" s="1"/>
  <c r="Q13" i="36"/>
  <c r="Z13" i="36" s="1"/>
  <c r="Q12" i="36"/>
  <c r="Z12" i="36" s="1"/>
  <c r="Q11" i="36"/>
  <c r="Z11" i="36" s="1"/>
  <c r="Q10" i="36"/>
  <c r="Z10" i="36" s="1"/>
  <c r="F10" i="36"/>
  <c r="AA10" i="36" s="1"/>
  <c r="Q9" i="36"/>
  <c r="Z9" i="36" s="1"/>
  <c r="J8" i="36"/>
  <c r="AC8" i="36" s="1"/>
  <c r="H8" i="36"/>
  <c r="U8" i="36" s="1"/>
  <c r="F8" i="36"/>
  <c r="AA8" i="36" s="1"/>
  <c r="D89" i="35"/>
  <c r="M90" i="35"/>
  <c r="L90" i="35"/>
  <c r="K90" i="35"/>
  <c r="J90" i="35"/>
  <c r="I90" i="35"/>
  <c r="H90" i="35"/>
  <c r="G90" i="35"/>
  <c r="F90" i="35"/>
  <c r="E90" i="35"/>
  <c r="D90" i="35"/>
  <c r="C90" i="35"/>
  <c r="G85" i="35"/>
  <c r="F85" i="35"/>
  <c r="E85" i="35"/>
  <c r="D85" i="35"/>
  <c r="C85" i="35"/>
  <c r="J27" i="35"/>
  <c r="W27" i="35" s="1"/>
  <c r="H27" i="35"/>
  <c r="U27" i="35" s="1"/>
  <c r="F27" i="35"/>
  <c r="AA27" i="35"/>
  <c r="J22" i="35"/>
  <c r="AC22" i="35"/>
  <c r="B101" i="35"/>
  <c r="H36" i="35"/>
  <c r="AB36" i="35" s="1"/>
  <c r="B99" i="35"/>
  <c r="B97" i="35"/>
  <c r="B77" i="35"/>
  <c r="B75" i="35"/>
  <c r="B73" i="35"/>
  <c r="B57" i="35"/>
  <c r="B61" i="35"/>
  <c r="B59" i="35"/>
  <c r="H12" i="35" s="1"/>
  <c r="U12" i="35" s="1"/>
  <c r="B131" i="34"/>
  <c r="B129" i="34"/>
  <c r="B127" i="34"/>
  <c r="B99" i="34"/>
  <c r="B97" i="34"/>
  <c r="B95" i="34"/>
  <c r="B93" i="34"/>
  <c r="B75" i="34"/>
  <c r="B73" i="34"/>
  <c r="B71" i="34"/>
  <c r="B130" i="33"/>
  <c r="B128" i="33"/>
  <c r="B126" i="33"/>
  <c r="B98" i="33"/>
  <c r="B96" i="33"/>
  <c r="B94" i="33"/>
  <c r="B74" i="33"/>
  <c r="B72" i="33"/>
  <c r="B70" i="33"/>
  <c r="D96" i="35"/>
  <c r="E96" i="35" s="1"/>
  <c r="F96" i="35" s="1"/>
  <c r="G96" i="35" s="1"/>
  <c r="D94" i="35"/>
  <c r="E94" i="35"/>
  <c r="F94" i="35" s="1"/>
  <c r="G94" i="35" s="1"/>
  <c r="H94" i="35" s="1"/>
  <c r="I94" i="35" s="1"/>
  <c r="J94" i="35" s="1"/>
  <c r="K94" i="35" s="1"/>
  <c r="L94" i="35" s="1"/>
  <c r="M94" i="35" s="1"/>
  <c r="D84" i="35"/>
  <c r="E84" i="35"/>
  <c r="F84" i="35" s="1"/>
  <c r="G84" i="35" s="1"/>
  <c r="H84" i="35" s="1"/>
  <c r="I84" i="35" s="1"/>
  <c r="J84" i="35" s="1"/>
  <c r="K84" i="35" s="1"/>
  <c r="L84" i="35" s="1"/>
  <c r="M84" i="35" s="1"/>
  <c r="D80" i="35"/>
  <c r="E80" i="35"/>
  <c r="F80" i="35" s="1"/>
  <c r="G80" i="35" s="1"/>
  <c r="H80" i="35" s="1"/>
  <c r="I80" i="35" s="1"/>
  <c r="J80" i="35" s="1"/>
  <c r="K80" i="35" s="1"/>
  <c r="L80" i="35" s="1"/>
  <c r="M80" i="35" s="1"/>
  <c r="D72" i="35"/>
  <c r="E72" i="35"/>
  <c r="F72" i="35" s="1"/>
  <c r="G72" i="35" s="1"/>
  <c r="D70" i="35"/>
  <c r="E70" i="35"/>
  <c r="F70" i="35" s="1"/>
  <c r="G70" i="35" s="1"/>
  <c r="D66" i="35"/>
  <c r="E66" i="35" s="1"/>
  <c r="F66" i="35" s="1"/>
  <c r="G66" i="35" s="1"/>
  <c r="F16" i="35"/>
  <c r="S16" i="35" s="1"/>
  <c r="D64" i="35"/>
  <c r="E64" i="35" s="1"/>
  <c r="F64" i="35" s="1"/>
  <c r="G64" i="35" s="1"/>
  <c r="J14" i="35"/>
  <c r="AC14" i="35"/>
  <c r="F56" i="35"/>
  <c r="G56" i="35"/>
  <c r="H56" i="35" s="1"/>
  <c r="I56" i="35" s="1"/>
  <c r="C53" i="35"/>
  <c r="P39" i="35"/>
  <c r="P38" i="35"/>
  <c r="V37" i="35"/>
  <c r="T37" i="35"/>
  <c r="R37" i="35"/>
  <c r="P37" i="35"/>
  <c r="Q36" i="35"/>
  <c r="Z36" i="35" s="1"/>
  <c r="J36" i="35"/>
  <c r="AC36" i="35" s="1"/>
  <c r="Q35" i="35"/>
  <c r="Z35" i="35" s="1"/>
  <c r="Q34" i="35"/>
  <c r="Z34" i="35" s="1"/>
  <c r="J34" i="35"/>
  <c r="AC34" i="35" s="1"/>
  <c r="Q33" i="35"/>
  <c r="Z33" i="35" s="1"/>
  <c r="Q32" i="35"/>
  <c r="Z32" i="35" s="1"/>
  <c r="H32" i="35"/>
  <c r="AB32" i="35" s="1"/>
  <c r="F32" i="35"/>
  <c r="AA32" i="35" s="1"/>
  <c r="Q31" i="35"/>
  <c r="Z31" i="35" s="1"/>
  <c r="AC31" i="35"/>
  <c r="Q30" i="35"/>
  <c r="Z30" i="35" s="1"/>
  <c r="Q29" i="35"/>
  <c r="Z29" i="35" s="1"/>
  <c r="Q28" i="35"/>
  <c r="Z28" i="35" s="1"/>
  <c r="J28" i="35"/>
  <c r="AC28" i="35" s="1"/>
  <c r="H28" i="35"/>
  <c r="AB28" i="35" s="1"/>
  <c r="F28" i="35"/>
  <c r="AA28" i="35" s="1"/>
  <c r="Q27" i="35"/>
  <c r="Z27" i="35" s="1"/>
  <c r="Q26" i="35"/>
  <c r="Z26" i="35" s="1"/>
  <c r="Q25" i="35"/>
  <c r="Z25" i="35" s="1"/>
  <c r="Q24" i="35"/>
  <c r="Z24" i="35" s="1"/>
  <c r="Q23" i="35"/>
  <c r="Z23" i="35" s="1"/>
  <c r="Q22" i="35"/>
  <c r="Z22" i="35" s="1"/>
  <c r="Q20" i="35"/>
  <c r="Z20" i="35" s="1"/>
  <c r="Q16" i="35"/>
  <c r="Z16" i="35" s="1"/>
  <c r="Q14" i="35"/>
  <c r="Z14" i="35" s="1"/>
  <c r="Q13" i="35"/>
  <c r="Z13" i="35" s="1"/>
  <c r="Q12" i="35"/>
  <c r="Z12" i="35" s="1"/>
  <c r="J12" i="35"/>
  <c r="W12" i="35" s="1"/>
  <c r="F12" i="35"/>
  <c r="S12" i="35" s="1"/>
  <c r="Q11" i="35"/>
  <c r="Z11" i="35" s="1"/>
  <c r="Q10" i="35"/>
  <c r="Z10" i="35" s="1"/>
  <c r="Q9" i="35"/>
  <c r="Z9" i="35" s="1"/>
  <c r="J9" i="35"/>
  <c r="AC9" i="35" s="1"/>
  <c r="H9" i="35"/>
  <c r="AB9" i="35" s="1"/>
  <c r="F9" i="35"/>
  <c r="AA9" i="35" s="1"/>
  <c r="J8" i="35"/>
  <c r="AC8" i="35" s="1"/>
  <c r="H8" i="35"/>
  <c r="AB8" i="35" s="1"/>
  <c r="F8" i="35"/>
  <c r="AA8" i="35" s="1"/>
  <c r="C7" i="35"/>
  <c r="C48" i="35" s="1"/>
  <c r="D48" i="35" s="1"/>
  <c r="E48" i="35" s="1"/>
  <c r="F48" i="35" s="1"/>
  <c r="G48" i="35" s="1"/>
  <c r="H48" i="35" s="1"/>
  <c r="D120" i="34"/>
  <c r="E120" i="34"/>
  <c r="F120" i="34" s="1"/>
  <c r="G120" i="34" s="1"/>
  <c r="H120" i="34" s="1"/>
  <c r="I120" i="34" s="1"/>
  <c r="J120" i="34" s="1"/>
  <c r="K120" i="34" s="1"/>
  <c r="L120" i="34" s="1"/>
  <c r="M120" i="34" s="1"/>
  <c r="D90" i="34"/>
  <c r="E90" i="34"/>
  <c r="F90" i="34" s="1"/>
  <c r="G90" i="34" s="1"/>
  <c r="H90" i="34" s="1"/>
  <c r="I90" i="34" s="1"/>
  <c r="J90" i="34" s="1"/>
  <c r="K90" i="34" s="1"/>
  <c r="L90" i="34" s="1"/>
  <c r="M90" i="34" s="1"/>
  <c r="C15" i="34"/>
  <c r="F67" i="34"/>
  <c r="G67" i="34" s="1"/>
  <c r="H67" i="34" s="1"/>
  <c r="I67" i="34" s="1"/>
  <c r="D126" i="34"/>
  <c r="D124" i="34"/>
  <c r="E124" i="34"/>
  <c r="F124" i="34" s="1"/>
  <c r="G124" i="34" s="1"/>
  <c r="H124" i="34" s="1"/>
  <c r="I124" i="34" s="1"/>
  <c r="J124" i="34" s="1"/>
  <c r="K124" i="34" s="1"/>
  <c r="L124" i="34" s="1"/>
  <c r="M124" i="34" s="1"/>
  <c r="D118" i="34"/>
  <c r="E118" i="34" s="1"/>
  <c r="F118" i="34" s="1"/>
  <c r="D116" i="34"/>
  <c r="G110" i="34"/>
  <c r="F110" i="34"/>
  <c r="E110" i="34"/>
  <c r="D110" i="34"/>
  <c r="C110" i="34"/>
  <c r="D109" i="34"/>
  <c r="E109" i="34" s="1"/>
  <c r="D107" i="34"/>
  <c r="E107" i="34" s="1"/>
  <c r="M103" i="34"/>
  <c r="L103" i="34"/>
  <c r="K103" i="34"/>
  <c r="J103" i="34"/>
  <c r="I103" i="34"/>
  <c r="H103" i="34"/>
  <c r="G103" i="34"/>
  <c r="F103" i="34"/>
  <c r="E103" i="34"/>
  <c r="D103" i="34"/>
  <c r="C103" i="34"/>
  <c r="D102" i="34"/>
  <c r="E102" i="34" s="1"/>
  <c r="F102" i="34"/>
  <c r="G102" i="34" s="1"/>
  <c r="H102" i="34" s="1"/>
  <c r="I102" i="34" s="1"/>
  <c r="J102" i="34" s="1"/>
  <c r="K102" i="34" s="1"/>
  <c r="L102" i="34" s="1"/>
  <c r="M102" i="34" s="1"/>
  <c r="H33" i="34"/>
  <c r="U33" i="34" s="1"/>
  <c r="D92" i="34"/>
  <c r="E92" i="34" s="1"/>
  <c r="F92" i="34" s="1"/>
  <c r="G92" i="34" s="1"/>
  <c r="H92" i="34" s="1"/>
  <c r="I92" i="34" s="1"/>
  <c r="J92" i="34" s="1"/>
  <c r="K92" i="34" s="1"/>
  <c r="L92" i="34" s="1"/>
  <c r="M92" i="34" s="1"/>
  <c r="B91" i="34"/>
  <c r="B89" i="34"/>
  <c r="J27" i="34"/>
  <c r="D88" i="34"/>
  <c r="E88" i="34"/>
  <c r="F88" i="34" s="1"/>
  <c r="G88" i="34" s="1"/>
  <c r="H88" i="34" s="1"/>
  <c r="I88" i="34" s="1"/>
  <c r="J88" i="34" s="1"/>
  <c r="K88" i="34" s="1"/>
  <c r="L88" i="34" s="1"/>
  <c r="M88" i="34" s="1"/>
  <c r="D86" i="34"/>
  <c r="E86" i="34"/>
  <c r="F86" i="34" s="1"/>
  <c r="G86" i="34" s="1"/>
  <c r="F23" i="34"/>
  <c r="AA23" i="34"/>
  <c r="D82" i="34"/>
  <c r="E82" i="34"/>
  <c r="F82" i="34" s="1"/>
  <c r="G82" i="34" s="1"/>
  <c r="F19" i="34"/>
  <c r="D80" i="34"/>
  <c r="E80" i="34" s="1"/>
  <c r="D78" i="34"/>
  <c r="E78" i="34" s="1"/>
  <c r="F78" i="34" s="1"/>
  <c r="G78" i="34" s="1"/>
  <c r="F15" i="34"/>
  <c r="AA15" i="34" s="1"/>
  <c r="D70" i="34"/>
  <c r="E70" i="34" s="1"/>
  <c r="F70" i="34" s="1"/>
  <c r="G70" i="34" s="1"/>
  <c r="H70" i="34" s="1"/>
  <c r="I70" i="34" s="1"/>
  <c r="J70" i="34" s="1"/>
  <c r="K70" i="34" s="1"/>
  <c r="L70" i="34" s="1"/>
  <c r="M70" i="34" s="1"/>
  <c r="F11" i="34"/>
  <c r="M68" i="34"/>
  <c r="L68" i="34"/>
  <c r="K68" i="34"/>
  <c r="J68" i="34"/>
  <c r="I68" i="34"/>
  <c r="H68" i="34"/>
  <c r="G68" i="34"/>
  <c r="F68" i="34"/>
  <c r="E68" i="34"/>
  <c r="D68" i="34"/>
  <c r="C68" i="34"/>
  <c r="C64" i="34"/>
  <c r="P50" i="34"/>
  <c r="P49" i="34"/>
  <c r="V48" i="34"/>
  <c r="T48" i="34"/>
  <c r="R48" i="34"/>
  <c r="P48" i="34"/>
  <c r="Q47" i="34"/>
  <c r="Z47" i="34"/>
  <c r="Q46" i="34"/>
  <c r="Z46" i="34"/>
  <c r="Q45" i="34"/>
  <c r="Z45" i="34"/>
  <c r="Q44" i="34"/>
  <c r="Z44" i="34"/>
  <c r="Q43" i="34"/>
  <c r="Z43" i="34"/>
  <c r="F43" i="34"/>
  <c r="AA43" i="34"/>
  <c r="Q42" i="34"/>
  <c r="Z42" i="34"/>
  <c r="Q41" i="34"/>
  <c r="Z41" i="34"/>
  <c r="Q40" i="34"/>
  <c r="Z40" i="34"/>
  <c r="Q39" i="34"/>
  <c r="Z39" i="34"/>
  <c r="H39" i="34"/>
  <c r="AB39" i="34"/>
  <c r="F39" i="34"/>
  <c r="AA39" i="34"/>
  <c r="Q38" i="34"/>
  <c r="Z38" i="34"/>
  <c r="Q37" i="34"/>
  <c r="Z37" i="34"/>
  <c r="Q36" i="34"/>
  <c r="Z36" i="34"/>
  <c r="Q35" i="34"/>
  <c r="Z35" i="34"/>
  <c r="Q34" i="34"/>
  <c r="Z34" i="34"/>
  <c r="J34" i="34"/>
  <c r="AC34" i="34"/>
  <c r="H34" i="34"/>
  <c r="AB34" i="34"/>
  <c r="F34" i="34"/>
  <c r="AA34" i="34"/>
  <c r="Q33" i="34"/>
  <c r="Z33" i="34"/>
  <c r="Q32" i="34"/>
  <c r="Z32" i="34"/>
  <c r="Q31" i="34"/>
  <c r="Z31" i="34"/>
  <c r="Q30" i="34"/>
  <c r="Z30" i="34"/>
  <c r="Q29" i="34"/>
  <c r="Z29" i="34"/>
  <c r="Q28" i="34"/>
  <c r="Z28" i="34"/>
  <c r="Q27" i="34"/>
  <c r="Z27" i="34"/>
  <c r="Q25" i="34"/>
  <c r="Z25" i="34"/>
  <c r="Q23" i="34"/>
  <c r="Z23" i="34"/>
  <c r="C23" i="34"/>
  <c r="Q19" i="34"/>
  <c r="Z19" i="34" s="1"/>
  <c r="C19" i="34"/>
  <c r="Q17" i="34"/>
  <c r="Z17" i="34" s="1"/>
  <c r="C17" i="34"/>
  <c r="Q15" i="34"/>
  <c r="Z15" i="34" s="1"/>
  <c r="Q14" i="34"/>
  <c r="Z14" i="34" s="1"/>
  <c r="Q13" i="34"/>
  <c r="Z13" i="34" s="1"/>
  <c r="Q12" i="34"/>
  <c r="Z12" i="34" s="1"/>
  <c r="J12" i="34"/>
  <c r="H12" i="34"/>
  <c r="U12" i="34" s="1"/>
  <c r="F12" i="34"/>
  <c r="Q11" i="34"/>
  <c r="Z11" i="34" s="1"/>
  <c r="Q10" i="34"/>
  <c r="Z10" i="34" s="1"/>
  <c r="F10" i="34"/>
  <c r="Q9" i="34"/>
  <c r="Z9" i="34" s="1"/>
  <c r="J8" i="34"/>
  <c r="H8" i="34"/>
  <c r="U8" i="34" s="1"/>
  <c r="F8" i="34"/>
  <c r="AA8" i="34" s="1"/>
  <c r="D121" i="33"/>
  <c r="E121" i="33" s="1"/>
  <c r="F121" i="33" s="1"/>
  <c r="G121" i="33" s="1"/>
  <c r="H121" i="33" s="1"/>
  <c r="I121" i="33" s="1"/>
  <c r="J121" i="33" s="1"/>
  <c r="K121" i="33" s="1"/>
  <c r="L121" i="33" s="1"/>
  <c r="M121" i="33" s="1"/>
  <c r="G109" i="33"/>
  <c r="F109" i="33"/>
  <c r="E109" i="33"/>
  <c r="D109" i="33"/>
  <c r="C109" i="33"/>
  <c r="D91" i="33"/>
  <c r="B88" i="33"/>
  <c r="J26" i="33" s="1"/>
  <c r="AC26" i="33" s="1"/>
  <c r="C23" i="33"/>
  <c r="C19" i="33"/>
  <c r="C17" i="33"/>
  <c r="C15" i="33"/>
  <c r="C15" i="21"/>
  <c r="D125" i="33"/>
  <c r="D123" i="33"/>
  <c r="E123" i="33" s="1"/>
  <c r="F123" i="33" s="1"/>
  <c r="G123" i="33" s="1"/>
  <c r="H123" i="33" s="1"/>
  <c r="I123" i="33" s="1"/>
  <c r="J123" i="33" s="1"/>
  <c r="K123" i="33" s="1"/>
  <c r="L123" i="33" s="1"/>
  <c r="M123" i="33" s="1"/>
  <c r="D117" i="33"/>
  <c r="D115" i="33"/>
  <c r="E115" i="33" s="1"/>
  <c r="F115" i="33" s="1"/>
  <c r="G115" i="33" s="1"/>
  <c r="H115" i="33" s="1"/>
  <c r="I115" i="33" s="1"/>
  <c r="J115" i="33" s="1"/>
  <c r="K115" i="33" s="1"/>
  <c r="L115" i="33" s="1"/>
  <c r="M115" i="33" s="1"/>
  <c r="D108" i="33"/>
  <c r="E108" i="33" s="1"/>
  <c r="F108" i="33" s="1"/>
  <c r="G108" i="33" s="1"/>
  <c r="H108" i="33" s="1"/>
  <c r="I108" i="33" s="1"/>
  <c r="J108" i="33" s="1"/>
  <c r="K108" i="33" s="1"/>
  <c r="L108" i="33" s="1"/>
  <c r="M108" i="33" s="1"/>
  <c r="J35" i="33"/>
  <c r="AC35" i="33" s="1"/>
  <c r="D106" i="33"/>
  <c r="E106" i="33" s="1"/>
  <c r="F106" i="33"/>
  <c r="G106" i="33" s="1"/>
  <c r="H106" i="33" s="1"/>
  <c r="I106" i="33" s="1"/>
  <c r="J106" i="33" s="1"/>
  <c r="K106" i="33" s="1"/>
  <c r="L106" i="33" s="1"/>
  <c r="M106" i="33" s="1"/>
  <c r="M102" i="33"/>
  <c r="L102" i="33"/>
  <c r="K102" i="33"/>
  <c r="J102" i="33"/>
  <c r="I102" i="33"/>
  <c r="H102" i="33"/>
  <c r="G102" i="33"/>
  <c r="F102" i="33"/>
  <c r="E102" i="33"/>
  <c r="D102" i="33"/>
  <c r="C102" i="33"/>
  <c r="D101" i="33"/>
  <c r="B92" i="33"/>
  <c r="B90" i="33"/>
  <c r="D87" i="33"/>
  <c r="E87" i="33" s="1"/>
  <c r="F87" i="33" s="1"/>
  <c r="G87" i="33" s="1"/>
  <c r="H87" i="33" s="1"/>
  <c r="I87" i="33" s="1"/>
  <c r="J87" i="33" s="1"/>
  <c r="K87" i="33" s="1"/>
  <c r="L87" i="33" s="1"/>
  <c r="M87" i="33" s="1"/>
  <c r="D85" i="33"/>
  <c r="E85" i="33" s="1"/>
  <c r="F85" i="33" s="1"/>
  <c r="G85" i="33" s="1"/>
  <c r="D81" i="33"/>
  <c r="E81" i="33" s="1"/>
  <c r="F81" i="33" s="1"/>
  <c r="G81" i="33" s="1"/>
  <c r="D79" i="33"/>
  <c r="E79" i="33" s="1"/>
  <c r="F79" i="33" s="1"/>
  <c r="G79" i="33" s="1"/>
  <c r="D77" i="33"/>
  <c r="E77" i="33" s="1"/>
  <c r="F77" i="33" s="1"/>
  <c r="G77" i="33" s="1"/>
  <c r="D69" i="33"/>
  <c r="E69" i="33" s="1"/>
  <c r="F69" i="33" s="1"/>
  <c r="G69" i="33" s="1"/>
  <c r="H69" i="33" s="1"/>
  <c r="I69" i="33" s="1"/>
  <c r="J69" i="33" s="1"/>
  <c r="K69" i="33" s="1"/>
  <c r="L69" i="33" s="1"/>
  <c r="M69" i="33" s="1"/>
  <c r="H11" i="33"/>
  <c r="U11" i="33" s="1"/>
  <c r="M67" i="33"/>
  <c r="L67" i="33"/>
  <c r="K67" i="33"/>
  <c r="J67" i="33"/>
  <c r="I67" i="33"/>
  <c r="H67" i="33"/>
  <c r="G67" i="33"/>
  <c r="F67" i="33"/>
  <c r="E67" i="33"/>
  <c r="D67" i="33"/>
  <c r="C67" i="33"/>
  <c r="G66" i="33"/>
  <c r="H66" i="33" s="1"/>
  <c r="I66" i="33" s="1"/>
  <c r="J10" i="33"/>
  <c r="AC10" i="33" s="1"/>
  <c r="C63" i="33"/>
  <c r="H9" i="33" s="1"/>
  <c r="F54" i="33"/>
  <c r="P49" i="33"/>
  <c r="P48" i="33"/>
  <c r="V47" i="33"/>
  <c r="T47" i="33"/>
  <c r="R47" i="33"/>
  <c r="P47" i="33"/>
  <c r="Q46" i="33"/>
  <c r="Z46" i="33"/>
  <c r="Q45" i="33"/>
  <c r="Z45" i="33"/>
  <c r="Q44" i="33"/>
  <c r="Z44" i="33"/>
  <c r="Q43" i="33"/>
  <c r="Z43" i="33"/>
  <c r="Q42" i="33"/>
  <c r="Z42" i="33"/>
  <c r="J42" i="33"/>
  <c r="AC42" i="33"/>
  <c r="Q41" i="33"/>
  <c r="Z41" i="33"/>
  <c r="Q40" i="33"/>
  <c r="Z40" i="33"/>
  <c r="J40" i="33"/>
  <c r="AC40" i="33"/>
  <c r="H40" i="33"/>
  <c r="AB40" i="33"/>
  <c r="AA40" i="33"/>
  <c r="Q39" i="33"/>
  <c r="Z39" i="33" s="1"/>
  <c r="Q38" i="33"/>
  <c r="Z38" i="33" s="1"/>
  <c r="J38" i="33"/>
  <c r="H38" i="33"/>
  <c r="AB38" i="33"/>
  <c r="F38" i="33"/>
  <c r="Q37" i="33"/>
  <c r="Z37" i="33" s="1"/>
  <c r="Q36" i="33"/>
  <c r="Z36" i="33" s="1"/>
  <c r="Q35" i="33"/>
  <c r="Z35" i="33" s="1"/>
  <c r="H35" i="33"/>
  <c r="AB35" i="33" s="1"/>
  <c r="F35" i="33"/>
  <c r="S35" i="33" s="1"/>
  <c r="Q34" i="33"/>
  <c r="Z34" i="33" s="1"/>
  <c r="H34" i="33"/>
  <c r="AB34" i="33" s="1"/>
  <c r="F34" i="33"/>
  <c r="AA34" i="33" s="1"/>
  <c r="Q33" i="33"/>
  <c r="Z33" i="33" s="1"/>
  <c r="J33" i="33"/>
  <c r="H33" i="33"/>
  <c r="AB33" i="33" s="1"/>
  <c r="F33" i="33"/>
  <c r="AA33" i="33" s="1"/>
  <c r="Q32" i="33"/>
  <c r="Z32" i="33" s="1"/>
  <c r="Q31" i="33"/>
  <c r="Z31" i="33" s="1"/>
  <c r="Q30" i="33"/>
  <c r="Z30" i="33" s="1"/>
  <c r="Q29" i="33"/>
  <c r="Z29" i="33" s="1"/>
  <c r="Q28" i="33"/>
  <c r="Z28" i="33" s="1"/>
  <c r="Q27" i="33"/>
  <c r="Z27" i="33" s="1"/>
  <c r="Q26" i="33"/>
  <c r="Z26" i="33" s="1"/>
  <c r="Q25" i="33"/>
  <c r="Z25" i="33" s="1"/>
  <c r="Q23" i="33"/>
  <c r="Z23" i="33" s="1"/>
  <c r="Q19" i="33"/>
  <c r="Z19" i="33" s="1"/>
  <c r="Q17" i="33"/>
  <c r="Z17" i="33" s="1"/>
  <c r="Q15" i="33"/>
  <c r="Z15" i="33" s="1"/>
  <c r="F15" i="33"/>
  <c r="Q14" i="33"/>
  <c r="Z14" i="33" s="1"/>
  <c r="Q13" i="33"/>
  <c r="Z13" i="33" s="1"/>
  <c r="Q12" i="33"/>
  <c r="Z12" i="33" s="1"/>
  <c r="J12" i="33"/>
  <c r="W12" i="33" s="1"/>
  <c r="H12" i="33"/>
  <c r="U12" i="33" s="1"/>
  <c r="F12" i="33"/>
  <c r="S12" i="33" s="1"/>
  <c r="Q11" i="33"/>
  <c r="Z11" i="33" s="1"/>
  <c r="Q10" i="33"/>
  <c r="Z10" i="33" s="1"/>
  <c r="F10" i="33"/>
  <c r="AA10" i="33" s="1"/>
  <c r="Q9" i="33"/>
  <c r="Z9" i="33" s="1"/>
  <c r="J8" i="33"/>
  <c r="AC8" i="33" s="1"/>
  <c r="H8" i="33"/>
  <c r="AB8" i="33" s="1"/>
  <c r="F8" i="33"/>
  <c r="AA8" i="33" s="1"/>
  <c r="M102" i="21"/>
  <c r="D102" i="21"/>
  <c r="E102" i="21"/>
  <c r="F102" i="21"/>
  <c r="G102" i="21"/>
  <c r="H102" i="21"/>
  <c r="I102" i="21"/>
  <c r="J102" i="21"/>
  <c r="K102" i="21"/>
  <c r="L102" i="21"/>
  <c r="C102" i="21"/>
  <c r="C63" i="21"/>
  <c r="F9" i="21"/>
  <c r="G18" i="20"/>
  <c r="B88" i="43"/>
  <c r="G19" i="20"/>
  <c r="B85" i="43"/>
  <c r="G16" i="20"/>
  <c r="B82" i="43"/>
  <c r="G15" i="20"/>
  <c r="B81" i="43"/>
  <c r="C24" i="20"/>
  <c r="B73" i="43"/>
  <c r="C21" i="20"/>
  <c r="C27" i="39" s="1"/>
  <c r="B74" i="43"/>
  <c r="C20" i="20"/>
  <c r="B77" i="43"/>
  <c r="C18" i="20"/>
  <c r="B71" i="43"/>
  <c r="C17" i="20"/>
  <c r="B59" i="43"/>
  <c r="C16" i="20"/>
  <c r="B48" i="43"/>
  <c r="C15" i="20"/>
  <c r="B70" i="43"/>
  <c r="E54" i="21"/>
  <c r="F54" i="21"/>
  <c r="I54" i="21"/>
  <c r="J54" i="21"/>
  <c r="G54" i="21"/>
  <c r="H54" i="21"/>
  <c r="D125" i="21"/>
  <c r="E125" i="21"/>
  <c r="F125" i="21" s="1"/>
  <c r="G125" i="21" s="1"/>
  <c r="D123" i="21"/>
  <c r="E123" i="21"/>
  <c r="F123" i="21" s="1"/>
  <c r="G123" i="21" s="1"/>
  <c r="H123" i="21" s="1"/>
  <c r="I123" i="21" s="1"/>
  <c r="J123" i="21" s="1"/>
  <c r="K123" i="21" s="1"/>
  <c r="L123" i="21" s="1"/>
  <c r="M123" i="21" s="1"/>
  <c r="F42" i="21"/>
  <c r="AA42" i="21"/>
  <c r="D119" i="21"/>
  <c r="D117" i="21"/>
  <c r="E117" i="21" s="1"/>
  <c r="D115" i="21"/>
  <c r="E115" i="21" s="1"/>
  <c r="F115" i="21" s="1"/>
  <c r="G115" i="21" s="1"/>
  <c r="H115" i="21" s="1"/>
  <c r="I115" i="21" s="1"/>
  <c r="J115" i="21" s="1"/>
  <c r="K115" i="21" s="1"/>
  <c r="L115" i="21" s="1"/>
  <c r="M115" i="21" s="1"/>
  <c r="D113" i="21"/>
  <c r="E113" i="21" s="1"/>
  <c r="F113" i="21" s="1"/>
  <c r="G113" i="21" s="1"/>
  <c r="H113" i="21" s="1"/>
  <c r="F37" i="21"/>
  <c r="AA37" i="21"/>
  <c r="D110" i="21"/>
  <c r="E110" i="21"/>
  <c r="F110" i="21" s="1"/>
  <c r="G110" i="21" s="1"/>
  <c r="H110" i="21" s="1"/>
  <c r="I110" i="21" s="1"/>
  <c r="J110" i="21" s="1"/>
  <c r="K110" i="21" s="1"/>
  <c r="L110" i="21" s="1"/>
  <c r="M110" i="21" s="1"/>
  <c r="J36" i="21"/>
  <c r="D108" i="21"/>
  <c r="E108" i="21" s="1"/>
  <c r="F108" i="21" s="1"/>
  <c r="G108" i="21" s="1"/>
  <c r="H108" i="21" s="1"/>
  <c r="I108" i="21" s="1"/>
  <c r="J108" i="21" s="1"/>
  <c r="K108" i="21" s="1"/>
  <c r="L108" i="21" s="1"/>
  <c r="M108" i="21" s="1"/>
  <c r="D106" i="21"/>
  <c r="D101" i="21"/>
  <c r="D89" i="21"/>
  <c r="E89" i="21" s="1"/>
  <c r="F89" i="21" s="1"/>
  <c r="G89" i="21" s="1"/>
  <c r="H89" i="21" s="1"/>
  <c r="I89" i="21" s="1"/>
  <c r="J89" i="21" s="1"/>
  <c r="K89" i="21" s="1"/>
  <c r="L89" i="21" s="1"/>
  <c r="M89" i="21" s="1"/>
  <c r="D67" i="21"/>
  <c r="E67" i="21"/>
  <c r="F67" i="21"/>
  <c r="G67" i="21"/>
  <c r="H67" i="21"/>
  <c r="I67" i="21"/>
  <c r="J67" i="21"/>
  <c r="K67" i="21"/>
  <c r="L67" i="21"/>
  <c r="M67" i="21"/>
  <c r="C67" i="21"/>
  <c r="D69" i="21"/>
  <c r="E69" i="21"/>
  <c r="F69" i="21" s="1"/>
  <c r="G69" i="21" s="1"/>
  <c r="H69" i="21" s="1"/>
  <c r="I69" i="21" s="1"/>
  <c r="J69" i="21" s="1"/>
  <c r="K69" i="21" s="1"/>
  <c r="L69" i="21" s="1"/>
  <c r="M69" i="21" s="1"/>
  <c r="D66" i="21"/>
  <c r="E66" i="21"/>
  <c r="F66" i="21" s="1"/>
  <c r="G66" i="21" s="1"/>
  <c r="H66" i="21" s="1"/>
  <c r="I66" i="21" s="1"/>
  <c r="D111" i="21"/>
  <c r="E111" i="21"/>
  <c r="F111" i="21"/>
  <c r="C111" i="21"/>
  <c r="D79" i="21"/>
  <c r="E79" i="21"/>
  <c r="F79" i="21" s="1"/>
  <c r="G79" i="21" s="1"/>
  <c r="D85" i="21"/>
  <c r="E85" i="21"/>
  <c r="F85" i="21" s="1"/>
  <c r="G85" i="21" s="1"/>
  <c r="D81" i="21"/>
  <c r="E81" i="21"/>
  <c r="F81" i="21" s="1"/>
  <c r="G81" i="21" s="1"/>
  <c r="D77" i="21"/>
  <c r="E77" i="21"/>
  <c r="F77" i="21" s="1"/>
  <c r="G77" i="21" s="1"/>
  <c r="H15" i="21"/>
  <c r="B130" i="21"/>
  <c r="B128" i="21"/>
  <c r="B126" i="21"/>
  <c r="B98" i="21"/>
  <c r="B96" i="21"/>
  <c r="B94" i="21"/>
  <c r="B92" i="21"/>
  <c r="B90" i="21"/>
  <c r="B74" i="21"/>
  <c r="B72" i="21"/>
  <c r="B70" i="21"/>
  <c r="F12" i="21" s="1"/>
  <c r="F10" i="21"/>
  <c r="AA10" i="21"/>
  <c r="C19" i="21"/>
  <c r="C17" i="21"/>
  <c r="C23" i="21"/>
  <c r="Q9" i="21"/>
  <c r="Z9" i="21" s="1"/>
  <c r="Q10" i="21"/>
  <c r="Z10" i="21" s="1"/>
  <c r="Q11" i="21"/>
  <c r="Z11" i="21" s="1"/>
  <c r="Q12" i="21"/>
  <c r="Z12" i="21" s="1"/>
  <c r="Q13" i="21"/>
  <c r="Z13" i="21" s="1"/>
  <c r="Q14" i="21"/>
  <c r="Z14" i="21" s="1"/>
  <c r="Q15" i="21"/>
  <c r="Z15" i="21" s="1"/>
  <c r="Q17" i="21"/>
  <c r="Z17" i="21" s="1"/>
  <c r="Q19" i="21"/>
  <c r="Z19" i="21" s="1"/>
  <c r="Q23" i="21"/>
  <c r="Z23" i="21" s="1"/>
  <c r="Q25" i="21"/>
  <c r="Z25" i="21" s="1"/>
  <c r="Q26" i="21"/>
  <c r="Z26" i="21" s="1"/>
  <c r="Q27" i="21"/>
  <c r="Z27" i="21" s="1"/>
  <c r="Q28" i="21"/>
  <c r="Z28" i="21" s="1"/>
  <c r="Q29" i="21"/>
  <c r="Z29" i="21" s="1"/>
  <c r="Q30" i="21"/>
  <c r="Z30" i="21" s="1"/>
  <c r="Q31" i="21"/>
  <c r="Z31" i="21" s="1"/>
  <c r="Q32" i="21"/>
  <c r="Z32" i="21" s="1"/>
  <c r="Q33" i="21"/>
  <c r="Z33" i="21" s="1"/>
  <c r="Q34" i="21"/>
  <c r="Z34" i="21" s="1"/>
  <c r="J35" i="21"/>
  <c r="W35" i="21" s="1"/>
  <c r="Q35" i="21"/>
  <c r="Z35" i="21" s="1"/>
  <c r="Q36" i="21"/>
  <c r="Z36" i="21" s="1"/>
  <c r="Q37" i="21"/>
  <c r="Z37" i="21" s="1"/>
  <c r="J38" i="21"/>
  <c r="W38" i="21" s="1"/>
  <c r="Q38" i="21"/>
  <c r="Z38" i="21" s="1"/>
  <c r="J39" i="21"/>
  <c r="AC39" i="21" s="1"/>
  <c r="Q39" i="21"/>
  <c r="Z39" i="21" s="1"/>
  <c r="Q40" i="21"/>
  <c r="Z40" i="21" s="1"/>
  <c r="Q41" i="21"/>
  <c r="Z41" i="21" s="1"/>
  <c r="Q42" i="21"/>
  <c r="Z42" i="21" s="1"/>
  <c r="J43" i="21"/>
  <c r="AC43" i="21" s="1"/>
  <c r="Q43" i="21"/>
  <c r="Z43" i="21" s="1"/>
  <c r="Q44" i="21"/>
  <c r="Z44" i="21" s="1"/>
  <c r="Q45" i="21"/>
  <c r="Z45" i="21" s="1"/>
  <c r="Q46" i="21"/>
  <c r="Z46" i="21" s="1"/>
  <c r="P47" i="21"/>
  <c r="R47" i="21"/>
  <c r="T47" i="21"/>
  <c r="V47" i="21"/>
  <c r="P48" i="21"/>
  <c r="P49" i="21"/>
  <c r="F8" i="21"/>
  <c r="AA8" i="21" s="1"/>
  <c r="E10" i="11"/>
  <c r="E9" i="11"/>
  <c r="F43" i="21"/>
  <c r="S43" i="21" s="1"/>
  <c r="H38" i="21"/>
  <c r="U38" i="21" s="1"/>
  <c r="H43" i="21"/>
  <c r="AB43" i="21" s="1"/>
  <c r="F38" i="21"/>
  <c r="F36" i="21"/>
  <c r="S36" i="21"/>
  <c r="F39" i="21"/>
  <c r="S39" i="21"/>
  <c r="H35" i="21"/>
  <c r="AB35" i="21"/>
  <c r="J8" i="21"/>
  <c r="AC8" i="21"/>
  <c r="J9" i="21"/>
  <c r="W9" i="21" s="1"/>
  <c r="H8" i="21"/>
  <c r="U8" i="21" s="1"/>
  <c r="H9" i="21"/>
  <c r="AB9" i="21" s="1"/>
  <c r="H10" i="21"/>
  <c r="AB10" i="21" s="1"/>
  <c r="H36" i="21"/>
  <c r="U36" i="21" s="1"/>
  <c r="F35" i="21"/>
  <c r="AA35" i="21" s="1"/>
  <c r="J33" i="21"/>
  <c r="W33" i="21" s="1"/>
  <c r="H33" i="21"/>
  <c r="AB33" i="21" s="1"/>
  <c r="F33" i="21"/>
  <c r="AA33" i="21" s="1"/>
  <c r="J10" i="21"/>
  <c r="AC10" i="21" s="1"/>
  <c r="H26" i="21"/>
  <c r="AB26" i="21" s="1"/>
  <c r="F19" i="21"/>
  <c r="AA19" i="21" s="1"/>
  <c r="H19" i="21"/>
  <c r="AB19" i="21" s="1"/>
  <c r="J19" i="21"/>
  <c r="W19" i="21" s="1"/>
  <c r="J26" i="21"/>
  <c r="W26" i="21" s="1"/>
  <c r="F26" i="21"/>
  <c r="S26" i="21" s="1"/>
  <c r="AB41" i="21"/>
  <c r="U41" i="21"/>
  <c r="S41" i="21"/>
  <c r="AA41" i="21"/>
  <c r="W41" i="21"/>
  <c r="F45" i="39"/>
  <c r="J44" i="39"/>
  <c r="F36" i="39"/>
  <c r="S36" i="39" s="1"/>
  <c r="H36" i="39"/>
  <c r="AB36" i="39" s="1"/>
  <c r="J36" i="39"/>
  <c r="AC36" i="39" s="1"/>
  <c r="S8" i="39"/>
  <c r="U38" i="39"/>
  <c r="H32" i="37"/>
  <c r="AB32" i="37" s="1"/>
  <c r="U8" i="37"/>
  <c r="F39" i="37"/>
  <c r="S39" i="37" s="1"/>
  <c r="U14" i="37"/>
  <c r="W30" i="37"/>
  <c r="F29" i="36"/>
  <c r="AA29" i="36" s="1"/>
  <c r="F16" i="36"/>
  <c r="S16" i="36" s="1"/>
  <c r="U22" i="36"/>
  <c r="S23" i="36"/>
  <c r="W23" i="36"/>
  <c r="W22" i="36"/>
  <c r="AA31" i="36"/>
  <c r="AC31" i="36"/>
  <c r="W31" i="36"/>
  <c r="U31" i="36"/>
  <c r="J33" i="36"/>
  <c r="W33" i="36" s="1"/>
  <c r="AB34" i="36"/>
  <c r="H22" i="35"/>
  <c r="AB22" i="35"/>
  <c r="U9" i="35"/>
  <c r="U31" i="35"/>
  <c r="S32" i="35"/>
  <c r="S31" i="35"/>
  <c r="W31" i="35"/>
  <c r="U32" i="35"/>
  <c r="F36" i="34"/>
  <c r="AA36" i="34"/>
  <c r="U39" i="34"/>
  <c r="H39" i="33"/>
  <c r="AB39" i="33" s="1"/>
  <c r="F26" i="33"/>
  <c r="AA26" i="33" s="1"/>
  <c r="S40" i="33"/>
  <c r="W8" i="21"/>
  <c r="AC38" i="21"/>
  <c r="S27" i="35"/>
  <c r="F11" i="40"/>
  <c r="AA11" i="40" s="1"/>
  <c r="S8" i="40"/>
  <c r="H11" i="40"/>
  <c r="AB11" i="40" s="1"/>
  <c r="W8" i="40"/>
  <c r="U9" i="40"/>
  <c r="S34" i="40"/>
  <c r="U34" i="40"/>
  <c r="W39" i="40"/>
  <c r="F42" i="39"/>
  <c r="AA42" i="39" s="1"/>
  <c r="F41" i="39"/>
  <c r="AA41" i="39" s="1"/>
  <c r="H40" i="39"/>
  <c r="AB40" i="39" s="1"/>
  <c r="H39" i="39"/>
  <c r="U39" i="39" s="1"/>
  <c r="H34" i="39"/>
  <c r="AB34" i="39" s="1"/>
  <c r="E109" i="39"/>
  <c r="F109" i="39" s="1"/>
  <c r="G109" i="39" s="1"/>
  <c r="H109" i="39" s="1"/>
  <c r="I109" i="39" s="1"/>
  <c r="J109" i="39" s="1"/>
  <c r="K109" i="39" s="1"/>
  <c r="L109" i="39" s="1"/>
  <c r="M109" i="39" s="1"/>
  <c r="H31" i="39"/>
  <c r="AB31" i="39" s="1"/>
  <c r="F31" i="39"/>
  <c r="AA31" i="39" s="1"/>
  <c r="E103" i="39"/>
  <c r="H19" i="39"/>
  <c r="AB19" i="39"/>
  <c r="F19" i="39"/>
  <c r="S19" i="39"/>
  <c r="H17" i="39"/>
  <c r="U17" i="39"/>
  <c r="F17" i="39"/>
  <c r="AA17" i="39"/>
  <c r="J23" i="40"/>
  <c r="AC23" i="40"/>
  <c r="H42" i="39"/>
  <c r="AB42" i="39"/>
  <c r="J34" i="39"/>
  <c r="AC34" i="39"/>
  <c r="J31" i="39"/>
  <c r="W31" i="39" s="1"/>
  <c r="F103" i="39"/>
  <c r="H29" i="39"/>
  <c r="U29" i="39"/>
  <c r="J19" i="39"/>
  <c r="AC19" i="39"/>
  <c r="J17" i="39"/>
  <c r="W17" i="39" s="1"/>
  <c r="J29" i="39"/>
  <c r="AC29" i="39" s="1"/>
  <c r="F29" i="39"/>
  <c r="AA29" i="39" s="1"/>
  <c r="F11" i="21"/>
  <c r="S11" i="21" s="1"/>
  <c r="C25" i="39"/>
  <c r="C21" i="39"/>
  <c r="H11" i="39"/>
  <c r="AB11" i="39" s="1"/>
  <c r="AB39" i="39"/>
  <c r="H11" i="21"/>
  <c r="U11" i="21" s="1"/>
  <c r="J11" i="21"/>
  <c r="AC11" i="21" s="1"/>
  <c r="U33" i="21"/>
  <c r="H36" i="40"/>
  <c r="U36" i="40" s="1"/>
  <c r="F35" i="40"/>
  <c r="S35" i="40" s="1"/>
  <c r="J30" i="40"/>
  <c r="W30" i="40" s="1"/>
  <c r="F30" i="40"/>
  <c r="AA30" i="40" s="1"/>
  <c r="F96" i="40"/>
  <c r="G96" i="40" s="1"/>
  <c r="H96" i="40" s="1"/>
  <c r="I96" i="40" s="1"/>
  <c r="J96" i="40" s="1"/>
  <c r="K96" i="40" s="1"/>
  <c r="L96" i="40" s="1"/>
  <c r="M96" i="40" s="1"/>
  <c r="H27" i="40"/>
  <c r="U27" i="40" s="1"/>
  <c r="H23" i="40"/>
  <c r="AB23" i="40" s="1"/>
  <c r="J11" i="40"/>
  <c r="W11" i="40" s="1"/>
  <c r="AA12" i="33"/>
  <c r="S44" i="39"/>
  <c r="F37" i="39"/>
  <c r="S37" i="39" s="1"/>
  <c r="AC9" i="21"/>
  <c r="J34" i="36"/>
  <c r="W34" i="36" s="1"/>
  <c r="U30" i="36"/>
  <c r="F22" i="35"/>
  <c r="AA22" i="35" s="1"/>
  <c r="H10" i="35"/>
  <c r="U10" i="35" s="1"/>
  <c r="U33" i="36"/>
  <c r="AB29" i="36"/>
  <c r="F33" i="36"/>
  <c r="S33" i="36" s="1"/>
  <c r="E85" i="36"/>
  <c r="F85" i="36" s="1"/>
  <c r="G85" i="36" s="1"/>
  <c r="H85" i="36" s="1"/>
  <c r="I85" i="36" s="1"/>
  <c r="J85" i="36" s="1"/>
  <c r="K85" i="36" s="1"/>
  <c r="L85" i="36" s="1"/>
  <c r="M85" i="36" s="1"/>
  <c r="J29" i="36"/>
  <c r="AC29" i="36"/>
  <c r="F12" i="36"/>
  <c r="AA12" i="36"/>
  <c r="F34" i="36"/>
  <c r="AA34" i="36"/>
  <c r="H20" i="36"/>
  <c r="J20" i="36"/>
  <c r="W20" i="36" s="1"/>
  <c r="AB8" i="36"/>
  <c r="W9" i="35"/>
  <c r="F14" i="35"/>
  <c r="F23" i="35"/>
  <c r="AA23" i="35" s="1"/>
  <c r="J32" i="35"/>
  <c r="AC32" i="35" s="1"/>
  <c r="J16" i="35"/>
  <c r="W16" i="35" s="1"/>
  <c r="H14" i="35"/>
  <c r="AB14" i="35" s="1"/>
  <c r="H33" i="35"/>
  <c r="AB33" i="35" s="1"/>
  <c r="S8" i="35"/>
  <c r="W8" i="35"/>
  <c r="S9" i="35"/>
  <c r="J20" i="35"/>
  <c r="W20" i="35" s="1"/>
  <c r="H20" i="35"/>
  <c r="U20" i="35" s="1"/>
  <c r="F20" i="35"/>
  <c r="AA20" i="35" s="1"/>
  <c r="E101" i="37"/>
  <c r="F101" i="37" s="1"/>
  <c r="G101" i="37" s="1"/>
  <c r="H101" i="37" s="1"/>
  <c r="I101" i="37" s="1"/>
  <c r="J101" i="37" s="1"/>
  <c r="K101" i="37" s="1"/>
  <c r="L101" i="37" s="1"/>
  <c r="M101" i="37" s="1"/>
  <c r="J34" i="37"/>
  <c r="W34" i="37" s="1"/>
  <c r="AA39" i="37"/>
  <c r="J43" i="34"/>
  <c r="AC43" i="34"/>
  <c r="H43" i="34"/>
  <c r="AB43" i="34"/>
  <c r="U42" i="34"/>
  <c r="H40" i="34"/>
  <c r="U40" i="34"/>
  <c r="E114" i="34"/>
  <c r="F38" i="34"/>
  <c r="AA38" i="34" s="1"/>
  <c r="F114" i="34"/>
  <c r="G114" i="34" s="1"/>
  <c r="H114" i="34" s="1"/>
  <c r="I114" i="34" s="1"/>
  <c r="J114" i="34" s="1"/>
  <c r="K114" i="34" s="1"/>
  <c r="L114" i="34" s="1"/>
  <c r="M114" i="34" s="1"/>
  <c r="F28" i="34"/>
  <c r="AA28" i="34" s="1"/>
  <c r="J19" i="34"/>
  <c r="W19" i="34" s="1"/>
  <c r="J15" i="34"/>
  <c r="AC15" i="34" s="1"/>
  <c r="H15" i="34"/>
  <c r="AB15" i="34" s="1"/>
  <c r="J10" i="34"/>
  <c r="W10" i="34" s="1"/>
  <c r="H10" i="34"/>
  <c r="AB10" i="34" s="1"/>
  <c r="F41" i="33"/>
  <c r="S41" i="33" s="1"/>
  <c r="E113" i="33"/>
  <c r="F113" i="33" s="1"/>
  <c r="G113" i="33" s="1"/>
  <c r="H113" i="33" s="1"/>
  <c r="I113" i="33" s="1"/>
  <c r="J113" i="33" s="1"/>
  <c r="K113" i="33" s="1"/>
  <c r="L113" i="33" s="1"/>
  <c r="M113" i="33" s="1"/>
  <c r="J34" i="33"/>
  <c r="F36" i="33"/>
  <c r="S36" i="33" s="1"/>
  <c r="F25" i="33"/>
  <c r="AA25" i="33" s="1"/>
  <c r="J25" i="33"/>
  <c r="AC25" i="33" s="1"/>
  <c r="H25" i="33"/>
  <c r="AB25" i="33" s="1"/>
  <c r="J23" i="33"/>
  <c r="AC23" i="33" s="1"/>
  <c r="F23" i="33"/>
  <c r="AA23" i="33" s="1"/>
  <c r="H23" i="33"/>
  <c r="F19" i="33"/>
  <c r="S19" i="33" s="1"/>
  <c r="J19" i="33"/>
  <c r="W19" i="33" s="1"/>
  <c r="J17" i="33"/>
  <c r="AC17" i="33" s="1"/>
  <c r="H17" i="33"/>
  <c r="AB17" i="33" s="1"/>
  <c r="J15" i="33"/>
  <c r="AC15" i="33" s="1"/>
  <c r="F11" i="33"/>
  <c r="AA11" i="33" s="1"/>
  <c r="W10" i="33"/>
  <c r="H10" i="33"/>
  <c r="U10" i="33" s="1"/>
  <c r="S10" i="21"/>
  <c r="U40" i="33"/>
  <c r="U8" i="33"/>
  <c r="S8" i="33"/>
  <c r="F37" i="40"/>
  <c r="AA37" i="40" s="1"/>
  <c r="F36" i="40"/>
  <c r="AA36" i="40" s="1"/>
  <c r="J27" i="40"/>
  <c r="W27" i="40" s="1"/>
  <c r="F27" i="40"/>
  <c r="S27" i="40" s="1"/>
  <c r="F23" i="40"/>
  <c r="AA23" i="40" s="1"/>
  <c r="AC11" i="40"/>
  <c r="AB30" i="36"/>
  <c r="AC34" i="36"/>
  <c r="W32" i="35"/>
  <c r="F29" i="35"/>
  <c r="S29" i="35" s="1"/>
  <c r="U34" i="37"/>
  <c r="AB42" i="34"/>
  <c r="H38" i="34"/>
  <c r="U15" i="34"/>
  <c r="H37" i="33"/>
  <c r="AB37" i="33" s="1"/>
  <c r="AA37" i="33"/>
  <c r="H36" i="33"/>
  <c r="U36" i="33" s="1"/>
  <c r="S25" i="33"/>
  <c r="F17" i="33"/>
  <c r="AA17" i="33"/>
  <c r="H15" i="33"/>
  <c r="AB15" i="33"/>
  <c r="AB11" i="33"/>
  <c r="AC42" i="34"/>
  <c r="W42" i="34"/>
  <c r="AA42" i="34"/>
  <c r="S42" i="34"/>
  <c r="W38" i="34"/>
  <c r="J37" i="33"/>
  <c r="AC37" i="33" s="1"/>
  <c r="J36" i="33"/>
  <c r="AC36" i="33" s="1"/>
  <c r="J11" i="33"/>
  <c r="AC11" i="33" s="1"/>
  <c r="J42" i="21"/>
  <c r="AC42" i="21" s="1"/>
  <c r="H42" i="21"/>
  <c r="AB42" i="21" s="1"/>
  <c r="J10" i="35"/>
  <c r="AC10" i="35" s="1"/>
  <c r="J14" i="21"/>
  <c r="W14" i="21" s="1"/>
  <c r="F14" i="21"/>
  <c r="S14" i="21" s="1"/>
  <c r="H14" i="21"/>
  <c r="AB14" i="21" s="1"/>
  <c r="H28" i="21"/>
  <c r="AB28" i="21" s="1"/>
  <c r="F28" i="21"/>
  <c r="AA28" i="21" s="1"/>
  <c r="J28" i="21"/>
  <c r="W28" i="21" s="1"/>
  <c r="H30" i="21"/>
  <c r="AB30" i="21" s="1"/>
  <c r="F30" i="21"/>
  <c r="S30" i="21" s="1"/>
  <c r="J30" i="21"/>
  <c r="W30" i="21" s="1"/>
  <c r="J44" i="21"/>
  <c r="AC44" i="21" s="1"/>
  <c r="H44" i="21"/>
  <c r="U44" i="21" s="1"/>
  <c r="F44" i="21"/>
  <c r="AA44" i="21" s="1"/>
  <c r="H46" i="21"/>
  <c r="U46" i="21" s="1"/>
  <c r="J46" i="21"/>
  <c r="W46" i="21" s="1"/>
  <c r="F46" i="21"/>
  <c r="AA46" i="21" s="1"/>
  <c r="E119" i="21"/>
  <c r="F119" i="21" s="1"/>
  <c r="G119" i="21" s="1"/>
  <c r="H119" i="21" s="1"/>
  <c r="I119" i="21" s="1"/>
  <c r="J119" i="21" s="1"/>
  <c r="K119" i="21" s="1"/>
  <c r="L119" i="21" s="1"/>
  <c r="M119" i="21" s="1"/>
  <c r="H26" i="33"/>
  <c r="U26" i="33" s="1"/>
  <c r="H28" i="33"/>
  <c r="U28" i="33" s="1"/>
  <c r="F28" i="33"/>
  <c r="S28" i="33" s="1"/>
  <c r="J28" i="33"/>
  <c r="AC28" i="33" s="1"/>
  <c r="F33" i="35"/>
  <c r="S33" i="35" s="1"/>
  <c r="J33" i="35"/>
  <c r="AC33" i="35" s="1"/>
  <c r="F30" i="35"/>
  <c r="S30" i="35" s="1"/>
  <c r="E89" i="35"/>
  <c r="F89" i="35" s="1"/>
  <c r="G89" i="35" s="1"/>
  <c r="H89" i="35" s="1"/>
  <c r="I89" i="35" s="1"/>
  <c r="J89" i="35" s="1"/>
  <c r="K89" i="35" s="1"/>
  <c r="L89" i="35" s="1"/>
  <c r="M89" i="35" s="1"/>
  <c r="H10" i="36"/>
  <c r="AB10" i="36" s="1"/>
  <c r="F83" i="36"/>
  <c r="G83" i="36" s="1"/>
  <c r="H83" i="36"/>
  <c r="I83" i="36" s="1"/>
  <c r="J83" i="36" s="1"/>
  <c r="K83" i="36" s="1"/>
  <c r="L83" i="36" s="1"/>
  <c r="M83" i="36" s="1"/>
  <c r="F28" i="36"/>
  <c r="AA28" i="36" s="1"/>
  <c r="J13" i="33"/>
  <c r="AC13" i="33" s="1"/>
  <c r="H13" i="33"/>
  <c r="AB13" i="33" s="1"/>
  <c r="F13" i="33"/>
  <c r="S13" i="33" s="1"/>
  <c r="J29" i="33"/>
  <c r="AC29" i="33" s="1"/>
  <c r="H29" i="33"/>
  <c r="U29" i="33" s="1"/>
  <c r="F29" i="33"/>
  <c r="S29" i="33" s="1"/>
  <c r="J31" i="33"/>
  <c r="W31" i="33" s="1"/>
  <c r="H31" i="33"/>
  <c r="AB31" i="33" s="1"/>
  <c r="F31" i="33"/>
  <c r="AA31" i="33" s="1"/>
  <c r="H45" i="33"/>
  <c r="U45" i="33" s="1"/>
  <c r="J45" i="33"/>
  <c r="W45" i="33" s="1"/>
  <c r="F45" i="33"/>
  <c r="S45" i="33" s="1"/>
  <c r="J14" i="34"/>
  <c r="W14" i="34" s="1"/>
  <c r="F14" i="34"/>
  <c r="H14" i="34"/>
  <c r="U14" i="34" s="1"/>
  <c r="H30" i="34"/>
  <c r="F30" i="34"/>
  <c r="S30" i="34" s="1"/>
  <c r="J30" i="34"/>
  <c r="H32" i="34"/>
  <c r="F32" i="34"/>
  <c r="S32" i="34" s="1"/>
  <c r="J32" i="34"/>
  <c r="W32" i="34" s="1"/>
  <c r="H46" i="34"/>
  <c r="U46" i="34" s="1"/>
  <c r="F46" i="34"/>
  <c r="S46" i="34" s="1"/>
  <c r="J46" i="34"/>
  <c r="W46" i="34" s="1"/>
  <c r="H11" i="35"/>
  <c r="U11" i="35" s="1"/>
  <c r="J11" i="35"/>
  <c r="AC11" i="35" s="1"/>
  <c r="F11" i="35"/>
  <c r="S11" i="35" s="1"/>
  <c r="J26" i="36"/>
  <c r="W26" i="36" s="1"/>
  <c r="H28" i="36"/>
  <c r="U28" i="36" s="1"/>
  <c r="H32" i="36"/>
  <c r="AB32" i="36" s="1"/>
  <c r="J32" i="36"/>
  <c r="W32" i="36" s="1"/>
  <c r="J11" i="36"/>
  <c r="W11" i="36" s="1"/>
  <c r="H11" i="36"/>
  <c r="AB11" i="36" s="1"/>
  <c r="F11" i="36"/>
  <c r="AA11" i="36" s="1"/>
  <c r="H13" i="36"/>
  <c r="AB13" i="36" s="1"/>
  <c r="J13" i="36"/>
  <c r="W13" i="36" s="1"/>
  <c r="F13" i="36"/>
  <c r="S13" i="36" s="1"/>
  <c r="H36" i="37"/>
  <c r="AB36" i="37" s="1"/>
  <c r="H37" i="37"/>
  <c r="AC12" i="40"/>
  <c r="W12" i="40"/>
  <c r="H14" i="33"/>
  <c r="U14" i="33" s="1"/>
  <c r="F14" i="33"/>
  <c r="AA14" i="33" s="1"/>
  <c r="J14" i="33"/>
  <c r="AC14" i="33" s="1"/>
  <c r="H30" i="33"/>
  <c r="AB30" i="33" s="1"/>
  <c r="F30" i="33"/>
  <c r="S30" i="33" s="1"/>
  <c r="J30" i="33"/>
  <c r="AC30" i="33" s="1"/>
  <c r="H44" i="33"/>
  <c r="AB44" i="33" s="1"/>
  <c r="J44" i="33"/>
  <c r="AC44" i="33" s="1"/>
  <c r="F44" i="33"/>
  <c r="J46" i="33"/>
  <c r="W46" i="33" s="1"/>
  <c r="F46" i="33"/>
  <c r="AA46" i="33" s="1"/>
  <c r="H46" i="33"/>
  <c r="AB46" i="33" s="1"/>
  <c r="H13" i="34"/>
  <c r="U13" i="34" s="1"/>
  <c r="J13" i="34"/>
  <c r="W13" i="34" s="1"/>
  <c r="F13" i="34"/>
  <c r="AA13" i="34" s="1"/>
  <c r="J29" i="34"/>
  <c r="AC29" i="34" s="1"/>
  <c r="F29" i="34"/>
  <c r="S29" i="34" s="1"/>
  <c r="H29" i="34"/>
  <c r="U29" i="34" s="1"/>
  <c r="J31" i="34"/>
  <c r="AC31" i="34" s="1"/>
  <c r="H31" i="34"/>
  <c r="AB31" i="34" s="1"/>
  <c r="F31" i="34"/>
  <c r="S31" i="34" s="1"/>
  <c r="H45" i="34"/>
  <c r="U45" i="34" s="1"/>
  <c r="J45" i="34"/>
  <c r="W45" i="34" s="1"/>
  <c r="F45" i="34"/>
  <c r="S45" i="34" s="1"/>
  <c r="H47" i="34"/>
  <c r="U47" i="34" s="1"/>
  <c r="F47" i="34"/>
  <c r="J47" i="34"/>
  <c r="AC47" i="34" s="1"/>
  <c r="F13" i="35"/>
  <c r="S13" i="35" s="1"/>
  <c r="J13" i="35"/>
  <c r="AC13" i="35" s="1"/>
  <c r="H13" i="35"/>
  <c r="U13" i="35" s="1"/>
  <c r="J25" i="35"/>
  <c r="W25" i="35" s="1"/>
  <c r="F25" i="35"/>
  <c r="S25" i="35" s="1"/>
  <c r="H25" i="35"/>
  <c r="AB25" i="35" s="1"/>
  <c r="J35" i="35"/>
  <c r="AC35" i="35" s="1"/>
  <c r="F35" i="35"/>
  <c r="AA35" i="35" s="1"/>
  <c r="H35" i="35"/>
  <c r="AB35" i="35" s="1"/>
  <c r="J25" i="36"/>
  <c r="AC25" i="36" s="1"/>
  <c r="F25" i="36"/>
  <c r="S25" i="36" s="1"/>
  <c r="H25" i="36"/>
  <c r="AB25" i="36" s="1"/>
  <c r="H13" i="37"/>
  <c r="U13" i="37" s="1"/>
  <c r="F13" i="37"/>
  <c r="S13" i="37" s="1"/>
  <c r="J13" i="37"/>
  <c r="W13" i="37" s="1"/>
  <c r="F28" i="37"/>
  <c r="AA28" i="37" s="1"/>
  <c r="J28" i="37"/>
  <c r="AC28" i="37" s="1"/>
  <c r="H28" i="37"/>
  <c r="U28" i="37" s="1"/>
  <c r="H38" i="37"/>
  <c r="AB38" i="37" s="1"/>
  <c r="J38" i="37"/>
  <c r="AC38" i="37" s="1"/>
  <c r="F38" i="37"/>
  <c r="S38" i="37" s="1"/>
  <c r="F43" i="39"/>
  <c r="AA43" i="39" s="1"/>
  <c r="H43" i="39"/>
  <c r="U43" i="39" s="1"/>
  <c r="J14" i="39"/>
  <c r="W14" i="39" s="1"/>
  <c r="H14" i="39"/>
  <c r="AB14" i="39" s="1"/>
  <c r="F12" i="40"/>
  <c r="AA12" i="40" s="1"/>
  <c r="H12" i="40"/>
  <c r="H30" i="40"/>
  <c r="AB30" i="40" s="1"/>
  <c r="F33" i="40"/>
  <c r="AA33" i="40" s="1"/>
  <c r="H33" i="40"/>
  <c r="AB33" i="40" s="1"/>
  <c r="J35" i="40"/>
  <c r="AC35" i="40" s="1"/>
  <c r="H13" i="40"/>
  <c r="U13" i="40" s="1"/>
  <c r="J13" i="40"/>
  <c r="W13" i="40" s="1"/>
  <c r="F13" i="40"/>
  <c r="AA13" i="40" s="1"/>
  <c r="F14" i="37"/>
  <c r="S14" i="37" s="1"/>
  <c r="F13" i="39"/>
  <c r="AA13" i="39" s="1"/>
  <c r="J13" i="39"/>
  <c r="H13" i="39"/>
  <c r="U13" i="39" s="1"/>
  <c r="H14" i="40"/>
  <c r="AB14" i="40" s="1"/>
  <c r="J14" i="40"/>
  <c r="W14" i="40" s="1"/>
  <c r="F14" i="40"/>
  <c r="AA14" i="40" s="1"/>
  <c r="J14" i="37"/>
  <c r="AC14" i="37" s="1"/>
  <c r="W13" i="35"/>
  <c r="AB14" i="33"/>
  <c r="W28" i="37"/>
  <c r="W30" i="33"/>
  <c r="S14" i="33"/>
  <c r="AC32" i="34"/>
  <c r="AC14" i="34"/>
  <c r="J10" i="36"/>
  <c r="AC10" i="36" s="1"/>
  <c r="AB46" i="21"/>
  <c r="AC14" i="21"/>
  <c r="S46" i="33"/>
  <c r="AC13" i="36"/>
  <c r="AC11" i="36"/>
  <c r="U32" i="36"/>
  <c r="AB45" i="33"/>
  <c r="U31" i="33"/>
  <c r="W29" i="33"/>
  <c r="AB28" i="33"/>
  <c r="U42" i="21"/>
  <c r="S33" i="21"/>
  <c r="S19" i="21"/>
  <c r="J41" i="39"/>
  <c r="W41" i="39" s="1"/>
  <c r="U36" i="39"/>
  <c r="S504" i="31"/>
  <c r="O30" i="31"/>
  <c r="O31" i="31"/>
  <c r="O29" i="31"/>
  <c r="M30" i="31"/>
  <c r="M31" i="31"/>
  <c r="M29" i="31"/>
  <c r="E15" i="31"/>
  <c r="F15" i="31" s="1"/>
  <c r="G15" i="31" s="1"/>
  <c r="H15" i="31" s="1"/>
  <c r="I15" i="31" s="1"/>
  <c r="J15" i="31" s="1"/>
  <c r="K15" i="31" s="1"/>
  <c r="L15" i="31" s="1"/>
  <c r="M15" i="31" s="1"/>
  <c r="N15" i="31" s="1"/>
  <c r="O15" i="31" s="1"/>
  <c r="P15" i="31" s="1"/>
  <c r="Q15" i="31" s="1"/>
  <c r="R15" i="31" s="1"/>
  <c r="S15" i="31" s="1"/>
  <c r="I29" i="31"/>
  <c r="I28" i="31"/>
  <c r="W43" i="21"/>
  <c r="Q29" i="31"/>
  <c r="K29" i="31"/>
  <c r="Q30" i="31"/>
  <c r="K30" i="31"/>
  <c r="I31" i="31"/>
  <c r="Q31" i="31"/>
  <c r="K31" i="31"/>
  <c r="W36" i="33"/>
  <c r="H25" i="21"/>
  <c r="U25" i="21" s="1"/>
  <c r="F25" i="21"/>
  <c r="S25" i="21" s="1"/>
  <c r="J25" i="21"/>
  <c r="AC25" i="21" s="1"/>
  <c r="H17" i="37"/>
  <c r="U17" i="37" s="1"/>
  <c r="F73" i="37"/>
  <c r="G73" i="37" s="1"/>
  <c r="F23" i="37"/>
  <c r="F32" i="37"/>
  <c r="S32" i="37" s="1"/>
  <c r="AA36" i="39"/>
  <c r="F39" i="33"/>
  <c r="AA39" i="33" s="1"/>
  <c r="F42" i="33"/>
  <c r="AA42" i="33" s="1"/>
  <c r="F14" i="36"/>
  <c r="AA14" i="36" s="1"/>
  <c r="F22" i="36"/>
  <c r="AA22" i="36" s="1"/>
  <c r="F26" i="36"/>
  <c r="AA26" i="36" s="1"/>
  <c r="H27" i="34"/>
  <c r="U27" i="34" s="1"/>
  <c r="H35" i="34"/>
  <c r="U35" i="34" s="1"/>
  <c r="F41" i="34"/>
  <c r="S41" i="34" s="1"/>
  <c r="H41" i="34"/>
  <c r="U41" i="34" s="1"/>
  <c r="J41" i="34"/>
  <c r="AC41" i="34" s="1"/>
  <c r="F10" i="35"/>
  <c r="AA10" i="35" s="1"/>
  <c r="H23" i="37"/>
  <c r="J32" i="37"/>
  <c r="AC32" i="37" s="1"/>
  <c r="F36" i="37"/>
  <c r="AA36" i="37" s="1"/>
  <c r="F37" i="37"/>
  <c r="AA37" i="37" s="1"/>
  <c r="F31" i="40"/>
  <c r="AA31" i="40" s="1"/>
  <c r="H31" i="40"/>
  <c r="U31" i="40" s="1"/>
  <c r="F32" i="40"/>
  <c r="S32" i="40" s="1"/>
  <c r="H32" i="40"/>
  <c r="U32" i="40" s="1"/>
  <c r="J36" i="40"/>
  <c r="W36" i="40" s="1"/>
  <c r="AB32" i="40"/>
  <c r="H42" i="33"/>
  <c r="U42" i="33" s="1"/>
  <c r="J23" i="37"/>
  <c r="W23" i="37" s="1"/>
  <c r="U11" i="40"/>
  <c r="AC33" i="36"/>
  <c r="AB20" i="35"/>
  <c r="AA11" i="35"/>
  <c r="AC12" i="35"/>
  <c r="S28" i="37"/>
  <c r="S25" i="37"/>
  <c r="W47" i="34"/>
  <c r="AB8" i="34"/>
  <c r="W14" i="33"/>
  <c r="AA13" i="33"/>
  <c r="AC31" i="33"/>
  <c r="AA30" i="33"/>
  <c r="S11" i="33"/>
  <c r="AC33" i="21"/>
  <c r="AB38" i="21"/>
  <c r="W10" i="36"/>
  <c r="W38" i="37"/>
  <c r="H37" i="21"/>
  <c r="U37" i="21" s="1"/>
  <c r="J37" i="21"/>
  <c r="W37" i="21" s="1"/>
  <c r="H19" i="34"/>
  <c r="U19" i="34" s="1"/>
  <c r="F36" i="35"/>
  <c r="AA36" i="35" s="1"/>
  <c r="J9" i="37"/>
  <c r="H9" i="37"/>
  <c r="AB9" i="37" s="1"/>
  <c r="F9" i="37"/>
  <c r="AA9" i="37" s="1"/>
  <c r="F11" i="37"/>
  <c r="S11" i="37" s="1"/>
  <c r="J42" i="39"/>
  <c r="AC42" i="39" s="1"/>
  <c r="S37" i="21"/>
  <c r="AB37" i="21"/>
  <c r="AB27" i="40"/>
  <c r="AC31" i="39"/>
  <c r="U31" i="39"/>
  <c r="C12" i="43"/>
  <c r="D15" i="47"/>
  <c r="D17" i="47"/>
  <c r="D19" i="47"/>
  <c r="D21" i="47"/>
  <c r="D23" i="47"/>
  <c r="D27" i="47"/>
  <c r="D33" i="47"/>
  <c r="D37" i="47"/>
  <c r="D39" i="47"/>
  <c r="D41" i="47"/>
  <c r="D43" i="47"/>
  <c r="D16" i="47"/>
  <c r="D18" i="47"/>
  <c r="D20" i="47"/>
  <c r="D22" i="47"/>
  <c r="D26" i="47"/>
  <c r="D28" i="47"/>
  <c r="D30" i="47"/>
  <c r="D32" i="47"/>
  <c r="D34" i="47"/>
  <c r="D38" i="47"/>
  <c r="D40" i="47"/>
  <c r="D42" i="47"/>
  <c r="D44" i="47"/>
  <c r="D9" i="47"/>
  <c r="D8" i="47"/>
  <c r="D6" i="47"/>
  <c r="H19" i="40"/>
  <c r="AB19" i="40" s="1"/>
  <c r="F19" i="40"/>
  <c r="S19" i="40" s="1"/>
  <c r="S13" i="40"/>
  <c r="S17" i="39"/>
  <c r="AC43" i="39"/>
  <c r="W43" i="39"/>
  <c r="U45" i="39"/>
  <c r="AB45" i="39"/>
  <c r="AB44" i="39"/>
  <c r="U44" i="39"/>
  <c r="G103" i="39"/>
  <c r="H37" i="39"/>
  <c r="U37" i="39" s="1"/>
  <c r="AC37" i="39"/>
  <c r="H25" i="39"/>
  <c r="U25" i="39" s="1"/>
  <c r="J25" i="39"/>
  <c r="W25" i="39" s="1"/>
  <c r="F25" i="39"/>
  <c r="S25" i="39" s="1"/>
  <c r="F15" i="39"/>
  <c r="S15" i="39" s="1"/>
  <c r="H15" i="39"/>
  <c r="U15" i="39" s="1"/>
  <c r="J15" i="39"/>
  <c r="W15" i="39" s="1"/>
  <c r="H41" i="39"/>
  <c r="AB41" i="39" s="1"/>
  <c r="F11" i="39"/>
  <c r="AA11" i="39" s="1"/>
  <c r="H21" i="39"/>
  <c r="U21" i="39" s="1"/>
  <c r="F32" i="39"/>
  <c r="S32" i="39" s="1"/>
  <c r="W29" i="39"/>
  <c r="W19" i="39"/>
  <c r="U34" i="39"/>
  <c r="S42" i="39"/>
  <c r="S41" i="39"/>
  <c r="W39" i="39"/>
  <c r="W8" i="39"/>
  <c r="W21" i="39"/>
  <c r="J11" i="39"/>
  <c r="W11" i="39" s="1"/>
  <c r="J32" i="39"/>
  <c r="AC32" i="39" s="1"/>
  <c r="E66" i="39"/>
  <c r="E61" i="40"/>
  <c r="F34" i="43"/>
  <c r="C21" i="11"/>
  <c r="C29" i="11" s="1"/>
  <c r="D27" i="11" s="1"/>
  <c r="H55" i="39"/>
  <c r="S30" i="40"/>
  <c r="G60" i="40"/>
  <c r="C60" i="40" s="1"/>
  <c r="H16" i="44"/>
  <c r="D17" i="43"/>
  <c r="I17" i="43"/>
  <c r="D108" i="9"/>
  <c r="F22" i="43"/>
  <c r="G22" i="43"/>
  <c r="H14" i="44"/>
  <c r="W40" i="39"/>
  <c r="AC20" i="35"/>
  <c r="S39" i="34"/>
  <c r="AC10" i="34"/>
  <c r="AB12" i="34"/>
  <c r="H23" i="34"/>
  <c r="AB23" i="34" s="1"/>
  <c r="F33" i="34"/>
  <c r="S33" i="34" s="1"/>
  <c r="F109" i="34"/>
  <c r="G109" i="34" s="1"/>
  <c r="H109" i="34" s="1"/>
  <c r="I109" i="34" s="1"/>
  <c r="J109" i="34" s="1"/>
  <c r="K109" i="34" s="1"/>
  <c r="L109" i="34" s="1"/>
  <c r="M109" i="34" s="1"/>
  <c r="H36" i="34"/>
  <c r="AB36" i="34" s="1"/>
  <c r="F35" i="34"/>
  <c r="AA35" i="34" s="1"/>
  <c r="F107" i="34"/>
  <c r="G107" i="34" s="1"/>
  <c r="H107" i="34" s="1"/>
  <c r="I107" i="34" s="1"/>
  <c r="J107" i="34" s="1"/>
  <c r="K107" i="34" s="1"/>
  <c r="L107" i="34" s="1"/>
  <c r="M107" i="34" s="1"/>
  <c r="J35" i="34"/>
  <c r="AC35" i="34" s="1"/>
  <c r="F27" i="34"/>
  <c r="S27" i="34" s="1"/>
  <c r="W34" i="34"/>
  <c r="S28" i="34"/>
  <c r="J33" i="34"/>
  <c r="W33" i="34" s="1"/>
  <c r="J37" i="34"/>
  <c r="W37" i="34" s="1"/>
  <c r="S23" i="34"/>
  <c r="AB33" i="34"/>
  <c r="AC37" i="34"/>
  <c r="J26" i="35"/>
  <c r="W26" i="35" s="1"/>
  <c r="F26" i="35"/>
  <c r="AA26" i="35" s="1"/>
  <c r="H26" i="35"/>
  <c r="U26" i="35" s="1"/>
  <c r="U28" i="21"/>
  <c r="K145" i="21"/>
  <c r="K144" i="21"/>
  <c r="K141" i="21"/>
  <c r="K143" i="21"/>
  <c r="W25" i="21"/>
  <c r="B101" i="9"/>
  <c r="C112" i="9" s="1"/>
  <c r="H110" i="9" s="1"/>
  <c r="F23" i="21"/>
  <c r="AA23" i="21"/>
  <c r="J23" i="21"/>
  <c r="AC23" i="21"/>
  <c r="H23" i="21"/>
  <c r="U23" i="21"/>
  <c r="F17" i="21"/>
  <c r="AA17" i="21"/>
  <c r="J17" i="21"/>
  <c r="AC17" i="21"/>
  <c r="H17" i="21"/>
  <c r="AB17" i="21" s="1"/>
  <c r="J15" i="21"/>
  <c r="W15" i="21" s="1"/>
  <c r="U35" i="21"/>
  <c r="AC35" i="21"/>
  <c r="A131" i="9"/>
  <c r="A135" i="57"/>
  <c r="B103" i="57"/>
  <c r="B107" i="57" s="1"/>
  <c r="C112" i="57"/>
  <c r="H107" i="57" s="1"/>
  <c r="D128" i="57"/>
  <c r="S23" i="21"/>
  <c r="W17" i="21"/>
  <c r="C110" i="57"/>
  <c r="H104" i="57" s="1"/>
  <c r="B113" i="43"/>
  <c r="I118" i="43" s="1"/>
  <c r="J118" i="43" s="1"/>
  <c r="K118" i="43" s="1"/>
  <c r="L118" i="43" s="1"/>
  <c r="M118" i="43" s="1"/>
  <c r="M101" i="43"/>
  <c r="M109" i="43" s="1"/>
  <c r="K101" i="43"/>
  <c r="K107" i="43" s="1"/>
  <c r="I101" i="43"/>
  <c r="I102" i="43" s="1"/>
  <c r="G101" i="43"/>
  <c r="G105" i="43" s="1"/>
  <c r="E101" i="43"/>
  <c r="E109" i="43" s="1"/>
  <c r="C101" i="43"/>
  <c r="C104" i="43" s="1"/>
  <c r="N101" i="43"/>
  <c r="N107" i="43" s="1"/>
  <c r="L101" i="43"/>
  <c r="L109" i="43" s="1"/>
  <c r="J101" i="43"/>
  <c r="J102" i="43" s="1"/>
  <c r="H101" i="43"/>
  <c r="H107" i="43" s="1"/>
  <c r="F101" i="43"/>
  <c r="F104" i="43" s="1"/>
  <c r="D101" i="43"/>
  <c r="D103" i="43" s="1"/>
  <c r="S427" i="31"/>
  <c r="S423" i="31"/>
  <c r="S419" i="31"/>
  <c r="S415" i="31"/>
  <c r="S411" i="31"/>
  <c r="S407" i="31"/>
  <c r="S403" i="31"/>
  <c r="S399" i="31"/>
  <c r="S395" i="31"/>
  <c r="S391" i="31"/>
  <c r="S387" i="31"/>
  <c r="S383" i="31"/>
  <c r="S379" i="31"/>
  <c r="S375" i="31"/>
  <c r="S371" i="31"/>
  <c r="S367" i="31"/>
  <c r="S363" i="31"/>
  <c r="S359" i="31"/>
  <c r="S355" i="31"/>
  <c r="S351" i="31"/>
  <c r="S347" i="31"/>
  <c r="S343" i="31"/>
  <c r="S339" i="31"/>
  <c r="S335" i="31"/>
  <c r="S331" i="31"/>
  <c r="S327" i="31"/>
  <c r="T323" i="31"/>
  <c r="T321" i="31"/>
  <c r="T319" i="31"/>
  <c r="T317" i="31"/>
  <c r="T315" i="31"/>
  <c r="T313" i="31"/>
  <c r="T311" i="31"/>
  <c r="T309" i="31"/>
  <c r="T307" i="31"/>
  <c r="T305" i="31"/>
  <c r="T303" i="31"/>
  <c r="T301" i="31"/>
  <c r="T299" i="31"/>
  <c r="T297" i="31"/>
  <c r="T295" i="31"/>
  <c r="T293" i="31"/>
  <c r="T291" i="31"/>
  <c r="T289" i="31"/>
  <c r="T287" i="31"/>
  <c r="T285" i="31"/>
  <c r="T283" i="31"/>
  <c r="T281" i="31"/>
  <c r="T279" i="31"/>
  <c r="T277" i="31"/>
  <c r="T275" i="31"/>
  <c r="T273" i="31"/>
  <c r="T271" i="31"/>
  <c r="T269" i="31"/>
  <c r="T267" i="31"/>
  <c r="T265" i="31"/>
  <c r="T263" i="31"/>
  <c r="T261" i="31"/>
  <c r="T259" i="31"/>
  <c r="S517" i="31"/>
  <c r="S513" i="31"/>
  <c r="S113" i="31"/>
  <c r="S109" i="31"/>
  <c r="S105" i="31"/>
  <c r="S101" i="31"/>
  <c r="S81" i="31"/>
  <c r="S85" i="31"/>
  <c r="S89" i="31"/>
  <c r="S93" i="31"/>
  <c r="S97" i="31"/>
  <c r="S453" i="31"/>
  <c r="S457" i="31"/>
  <c r="S461" i="31"/>
  <c r="S465" i="31"/>
  <c r="S469" i="31"/>
  <c r="S505" i="31"/>
  <c r="S433" i="31"/>
  <c r="S437" i="31"/>
  <c r="S441" i="31"/>
  <c r="S445" i="31"/>
  <c r="S127" i="31"/>
  <c r="S131" i="31"/>
  <c r="S135" i="31"/>
  <c r="S139" i="31"/>
  <c r="S143" i="31"/>
  <c r="S147" i="31"/>
  <c r="S151" i="31"/>
  <c r="S155" i="31"/>
  <c r="S159" i="31"/>
  <c r="S163" i="31"/>
  <c r="S167" i="31"/>
  <c r="S171" i="31"/>
  <c r="S175" i="31"/>
  <c r="S179" i="31"/>
  <c r="S183" i="31"/>
  <c r="S187" i="31"/>
  <c r="S191" i="31"/>
  <c r="S195" i="31"/>
  <c r="S199" i="31"/>
  <c r="S203" i="31"/>
  <c r="S207" i="31"/>
  <c r="S211" i="31"/>
  <c r="S215" i="31"/>
  <c r="S219" i="31"/>
  <c r="S223" i="31"/>
  <c r="S429" i="31"/>
  <c r="C114" i="57"/>
  <c r="H109" i="57" s="1"/>
  <c r="C18" i="57"/>
  <c r="D18" i="57" s="1"/>
  <c r="D47" i="15"/>
  <c r="AB12" i="37"/>
  <c r="J37" i="37"/>
  <c r="W37" i="37" s="1"/>
  <c r="AB40" i="37"/>
  <c r="U40" i="37"/>
  <c r="U15" i="21"/>
  <c r="AB15" i="21"/>
  <c r="AA16" i="35"/>
  <c r="S14" i="39"/>
  <c r="AB29" i="35"/>
  <c r="U29" i="35"/>
  <c r="AA35" i="39"/>
  <c r="AB21" i="39"/>
  <c r="U25" i="35"/>
  <c r="W44" i="33"/>
  <c r="U36" i="37"/>
  <c r="AB46" i="34"/>
  <c r="S14" i="34"/>
  <c r="AA14" i="34"/>
  <c r="W44" i="21"/>
  <c r="AB38" i="34"/>
  <c r="U38" i="34"/>
  <c r="F40" i="34"/>
  <c r="AA40" i="34" s="1"/>
  <c r="G118" i="34"/>
  <c r="U20" i="36"/>
  <c r="AB20" i="36"/>
  <c r="AA16" i="36"/>
  <c r="AC44" i="39"/>
  <c r="W44" i="39"/>
  <c r="H13" i="21"/>
  <c r="U13" i="21" s="1"/>
  <c r="J13" i="21"/>
  <c r="F13" i="21"/>
  <c r="AA13" i="21" s="1"/>
  <c r="J45" i="21"/>
  <c r="F45" i="21"/>
  <c r="AA45" i="21" s="1"/>
  <c r="S42" i="21"/>
  <c r="B41" i="47"/>
  <c r="C23" i="40"/>
  <c r="AC8" i="34"/>
  <c r="W8" i="34"/>
  <c r="W12" i="34"/>
  <c r="AC12" i="34"/>
  <c r="J9" i="34"/>
  <c r="AC9" i="34"/>
  <c r="F9" i="34"/>
  <c r="S9" i="34"/>
  <c r="AA19" i="34"/>
  <c r="S19" i="34"/>
  <c r="AB23" i="36"/>
  <c r="U23" i="36"/>
  <c r="J12" i="36"/>
  <c r="W12" i="36"/>
  <c r="H12" i="36"/>
  <c r="AB12" i="36"/>
  <c r="AA9" i="39"/>
  <c r="S9" i="39"/>
  <c r="AB12" i="39"/>
  <c r="U12" i="39"/>
  <c r="J12" i="39"/>
  <c r="F12" i="39"/>
  <c r="S12" i="39" s="1"/>
  <c r="F15" i="21"/>
  <c r="S15" i="21" s="1"/>
  <c r="C106" i="9"/>
  <c r="H102" i="9" s="1"/>
  <c r="AA30" i="21"/>
  <c r="J36" i="34"/>
  <c r="W36" i="34" s="1"/>
  <c r="S8" i="34"/>
  <c r="J19" i="40"/>
  <c r="AC19" i="40" s="1"/>
  <c r="W9" i="39"/>
  <c r="U14" i="39"/>
  <c r="H32" i="39"/>
  <c r="U32" i="39" s="1"/>
  <c r="F21" i="39"/>
  <c r="AA21" i="39" s="1"/>
  <c r="F37" i="47"/>
  <c r="B35" i="47" s="1"/>
  <c r="F31" i="37"/>
  <c r="AA31" i="37" s="1"/>
  <c r="U25" i="36"/>
  <c r="S44" i="21"/>
  <c r="AC36" i="40"/>
  <c r="F17" i="37"/>
  <c r="AA17" i="37" s="1"/>
  <c r="AA29" i="33"/>
  <c r="AB28" i="36"/>
  <c r="AB13" i="40"/>
  <c r="U33" i="40"/>
  <c r="S12" i="40"/>
  <c r="AB13" i="37"/>
  <c r="U44" i="33"/>
  <c r="U11" i="36"/>
  <c r="AB11" i="35"/>
  <c r="U32" i="34"/>
  <c r="AB32" i="34"/>
  <c r="AA30" i="34"/>
  <c r="H45" i="21"/>
  <c r="AB45" i="21" s="1"/>
  <c r="J14" i="36"/>
  <c r="AC14" i="36" s="1"/>
  <c r="AC30" i="21"/>
  <c r="S15" i="34"/>
  <c r="J40" i="34"/>
  <c r="AC40" i="34" s="1"/>
  <c r="S37" i="40"/>
  <c r="H19" i="33"/>
  <c r="AB19" i="33"/>
  <c r="AB23" i="33"/>
  <c r="U23" i="33"/>
  <c r="W23" i="33"/>
  <c r="AA41" i="33"/>
  <c r="J23" i="34"/>
  <c r="W23" i="34" s="1"/>
  <c r="AC30" i="40"/>
  <c r="AB17" i="39"/>
  <c r="W22" i="35"/>
  <c r="S30" i="36"/>
  <c r="S38" i="21"/>
  <c r="AA38" i="21"/>
  <c r="E106" i="21"/>
  <c r="F106" i="21" s="1"/>
  <c r="G106" i="21" s="1"/>
  <c r="H106" i="21" s="1"/>
  <c r="I106" i="21" s="1"/>
  <c r="J106" i="21" s="1"/>
  <c r="K106" i="21" s="1"/>
  <c r="L106" i="21" s="1"/>
  <c r="M106" i="21" s="1"/>
  <c r="F34" i="21"/>
  <c r="S34" i="21" s="1"/>
  <c r="H34" i="21"/>
  <c r="U34" i="21" s="1"/>
  <c r="J34" i="21"/>
  <c r="AC34" i="21" s="1"/>
  <c r="AC36" i="21"/>
  <c r="W36" i="21"/>
  <c r="E101" i="33"/>
  <c r="F32" i="33"/>
  <c r="AA32" i="33" s="1"/>
  <c r="H9" i="34"/>
  <c r="AB9" i="34" s="1"/>
  <c r="W27" i="34"/>
  <c r="AC27" i="34"/>
  <c r="H28" i="34"/>
  <c r="U28" i="34" s="1"/>
  <c r="E116" i="34"/>
  <c r="F116" i="34" s="1"/>
  <c r="G116" i="34" s="1"/>
  <c r="H116" i="34" s="1"/>
  <c r="I116" i="34" s="1"/>
  <c r="J116" i="34" s="1"/>
  <c r="K116" i="34" s="1"/>
  <c r="L116" i="34" s="1"/>
  <c r="M116" i="34" s="1"/>
  <c r="J39" i="34"/>
  <c r="W39" i="34" s="1"/>
  <c r="J27" i="36"/>
  <c r="F37" i="34"/>
  <c r="AA37" i="34" s="1"/>
  <c r="H37" i="34"/>
  <c r="U37" i="34" s="1"/>
  <c r="F26" i="47"/>
  <c r="B24" i="47" s="1"/>
  <c r="AA32" i="37"/>
  <c r="AB12" i="40"/>
  <c r="U12" i="40"/>
  <c r="AC14" i="39"/>
  <c r="AC46" i="34"/>
  <c r="AA32" i="34"/>
  <c r="S31" i="33"/>
  <c r="U10" i="36"/>
  <c r="W28" i="33"/>
  <c r="W34" i="33"/>
  <c r="AC34" i="33"/>
  <c r="AA14" i="35"/>
  <c r="S14" i="35"/>
  <c r="W11" i="21"/>
  <c r="S45" i="39"/>
  <c r="AA45" i="39"/>
  <c r="H27" i="21"/>
  <c r="AB27" i="21" s="1"/>
  <c r="J27" i="21"/>
  <c r="W27" i="21" s="1"/>
  <c r="F27" i="21"/>
  <c r="AA27" i="21" s="1"/>
  <c r="J29" i="21"/>
  <c r="AC29" i="21" s="1"/>
  <c r="H29" i="21"/>
  <c r="U29" i="21" s="1"/>
  <c r="F29" i="21"/>
  <c r="J31" i="21"/>
  <c r="W31" i="21" s="1"/>
  <c r="H31" i="21"/>
  <c r="F31" i="21"/>
  <c r="AA31" i="21"/>
  <c r="H39" i="21"/>
  <c r="U39" i="21"/>
  <c r="F117" i="21"/>
  <c r="G117" i="21"/>
  <c r="S9" i="21"/>
  <c r="AA9" i="21"/>
  <c r="AA15" i="33"/>
  <c r="S15" i="33"/>
  <c r="AA35" i="33"/>
  <c r="E117" i="33"/>
  <c r="F117" i="33" s="1"/>
  <c r="G117" i="33" s="1"/>
  <c r="J39" i="33"/>
  <c r="AC39" i="33"/>
  <c r="E125" i="33"/>
  <c r="H43" i="33"/>
  <c r="U43" i="33" s="1"/>
  <c r="E91" i="33"/>
  <c r="F91" i="33" s="1"/>
  <c r="G91" i="33" s="1"/>
  <c r="H91" i="33" s="1"/>
  <c r="I91" i="33" s="1"/>
  <c r="J91" i="33" s="1"/>
  <c r="K91" i="33" s="1"/>
  <c r="L91" i="33" s="1"/>
  <c r="M91" i="33" s="1"/>
  <c r="F27" i="33"/>
  <c r="S27" i="33" s="1"/>
  <c r="H41" i="33"/>
  <c r="U41" i="33" s="1"/>
  <c r="S12" i="34"/>
  <c r="AA12" i="34"/>
  <c r="AA11" i="34"/>
  <c r="S11" i="34"/>
  <c r="F80" i="34"/>
  <c r="H17" i="34"/>
  <c r="U17" i="34" s="1"/>
  <c r="H16" i="35"/>
  <c r="U16" i="35" s="1"/>
  <c r="J24" i="35"/>
  <c r="AC24" i="35" s="1"/>
  <c r="F24" i="35"/>
  <c r="AA24" i="35" s="1"/>
  <c r="H24" i="35"/>
  <c r="U24" i="35" s="1"/>
  <c r="H34" i="35"/>
  <c r="U34" i="35" s="1"/>
  <c r="F34" i="35"/>
  <c r="G60" i="37"/>
  <c r="F10" i="37"/>
  <c r="AA10" i="37" s="1"/>
  <c r="J12" i="37"/>
  <c r="W12" i="37" s="1"/>
  <c r="F12" i="37"/>
  <c r="S12" i="37" s="1"/>
  <c r="H27" i="37"/>
  <c r="U27" i="37" s="1"/>
  <c r="F27" i="37"/>
  <c r="AA27" i="37" s="1"/>
  <c r="J27" i="37"/>
  <c r="AC27" i="37" s="1"/>
  <c r="J29" i="37"/>
  <c r="W29" i="37" s="1"/>
  <c r="F29" i="37"/>
  <c r="S29" i="37" s="1"/>
  <c r="H31" i="37"/>
  <c r="AB31" i="37" s="1"/>
  <c r="J36" i="37"/>
  <c r="W36" i="37" s="1"/>
  <c r="J40" i="37"/>
  <c r="W40" i="37"/>
  <c r="F40" i="37"/>
  <c r="AA40" i="37"/>
  <c r="AB25" i="37"/>
  <c r="U8" i="39"/>
  <c r="AB8" i="39"/>
  <c r="J29" i="35"/>
  <c r="AC29" i="35" s="1"/>
  <c r="AC30" i="36"/>
  <c r="W30" i="36"/>
  <c r="H35" i="39"/>
  <c r="U35" i="39" s="1"/>
  <c r="J35" i="39"/>
  <c r="AC35" i="39" s="1"/>
  <c r="AA19" i="39"/>
  <c r="H16" i="36"/>
  <c r="U16" i="36" s="1"/>
  <c r="U32" i="37"/>
  <c r="E101" i="21"/>
  <c r="F101" i="21" s="1"/>
  <c r="G101" i="21" s="1"/>
  <c r="H101" i="21" s="1"/>
  <c r="I101" i="21" s="1"/>
  <c r="J101" i="21" s="1"/>
  <c r="K101" i="21" s="1"/>
  <c r="L101" i="21" s="1"/>
  <c r="M101" i="21" s="1"/>
  <c r="F32" i="21"/>
  <c r="S32" i="21" s="1"/>
  <c r="J32" i="21"/>
  <c r="W32" i="21" s="1"/>
  <c r="H32" i="21"/>
  <c r="U32" i="21" s="1"/>
  <c r="F40" i="21"/>
  <c r="AA40" i="21" s="1"/>
  <c r="H40" i="21"/>
  <c r="AB40" i="21" s="1"/>
  <c r="J40" i="21"/>
  <c r="AC40" i="21" s="1"/>
  <c r="B44" i="47"/>
  <c r="C21" i="40"/>
  <c r="AC33" i="33"/>
  <c r="W33" i="33"/>
  <c r="S34" i="33"/>
  <c r="AA38" i="33"/>
  <c r="S38" i="33"/>
  <c r="AC38" i="33"/>
  <c r="W38" i="33"/>
  <c r="J9" i="33"/>
  <c r="AC9" i="33" s="1"/>
  <c r="F9" i="33"/>
  <c r="AA9" i="33" s="1"/>
  <c r="AA10" i="34"/>
  <c r="S10" i="34"/>
  <c r="F25" i="34"/>
  <c r="S25" i="34" s="1"/>
  <c r="E126" i="34"/>
  <c r="H44" i="34"/>
  <c r="U44" i="34"/>
  <c r="AB26" i="36"/>
  <c r="U26" i="36"/>
  <c r="F20" i="36"/>
  <c r="AA20" i="36"/>
  <c r="J24" i="36"/>
  <c r="W24" i="36"/>
  <c r="H24" i="36"/>
  <c r="U24" i="36"/>
  <c r="F24" i="36"/>
  <c r="AA24" i="36"/>
  <c r="AA32" i="36"/>
  <c r="S32" i="36"/>
  <c r="J26" i="37"/>
  <c r="AC26" i="37"/>
  <c r="H26" i="37"/>
  <c r="AB26" i="37"/>
  <c r="F26" i="37"/>
  <c r="AA26" i="37"/>
  <c r="J23" i="39"/>
  <c r="W23" i="39"/>
  <c r="E97" i="39"/>
  <c r="H15" i="37"/>
  <c r="AB15" i="37" s="1"/>
  <c r="F15" i="37"/>
  <c r="AA15" i="37" s="1"/>
  <c r="F38" i="40"/>
  <c r="AA38" i="40" s="1"/>
  <c r="J38" i="40"/>
  <c r="W38" i="40" s="1"/>
  <c r="H38" i="40"/>
  <c r="AB38" i="40" s="1"/>
  <c r="J40" i="40"/>
  <c r="AC40" i="40" s="1"/>
  <c r="H40" i="40"/>
  <c r="AB40" i="40" s="1"/>
  <c r="F40" i="40"/>
  <c r="AA40" i="40" s="1"/>
  <c r="N6" i="43"/>
  <c r="M1" i="43"/>
  <c r="F101" i="9"/>
  <c r="F33" i="9"/>
  <c r="C25" i="57"/>
  <c r="N102" i="43"/>
  <c r="G103" i="43"/>
  <c r="AB24" i="36"/>
  <c r="H25" i="34"/>
  <c r="U25" i="34" s="1"/>
  <c r="AB35" i="39"/>
  <c r="AC40" i="37"/>
  <c r="S27" i="37"/>
  <c r="AA12" i="37"/>
  <c r="AA34" i="35"/>
  <c r="S34" i="35"/>
  <c r="AB24" i="35"/>
  <c r="J17" i="34"/>
  <c r="AC17" i="34"/>
  <c r="G80" i="34"/>
  <c r="F17" i="34"/>
  <c r="AA17" i="34" s="1"/>
  <c r="H27" i="33"/>
  <c r="AB27" i="33" s="1"/>
  <c r="F43" i="33"/>
  <c r="S43" i="33" s="1"/>
  <c r="F125" i="33"/>
  <c r="G125" i="33" s="1"/>
  <c r="J43" i="33"/>
  <c r="AC43" i="33" s="1"/>
  <c r="AB31" i="21"/>
  <c r="U31" i="21"/>
  <c r="AA29" i="21"/>
  <c r="S29" i="21"/>
  <c r="W29" i="21"/>
  <c r="AC27" i="21"/>
  <c r="S37" i="34"/>
  <c r="H27" i="36"/>
  <c r="AB27" i="36" s="1"/>
  <c r="F27" i="36"/>
  <c r="AA27" i="36" s="1"/>
  <c r="J28" i="34"/>
  <c r="W28" i="34" s="1"/>
  <c r="AB34" i="21"/>
  <c r="H11" i="34"/>
  <c r="U11" i="34" s="1"/>
  <c r="S17" i="37"/>
  <c r="J11" i="37"/>
  <c r="AC11" i="37"/>
  <c r="AC36" i="34"/>
  <c r="W12" i="39"/>
  <c r="AC12" i="39"/>
  <c r="W9" i="34"/>
  <c r="S45" i="21"/>
  <c r="AB13" i="21"/>
  <c r="AC37" i="37"/>
  <c r="U38" i="40"/>
  <c r="F23" i="39"/>
  <c r="AA23" i="39"/>
  <c r="F97" i="39"/>
  <c r="G97" i="39"/>
  <c r="S26" i="37"/>
  <c r="S24" i="36"/>
  <c r="F44" i="34"/>
  <c r="F126" i="34"/>
  <c r="G126" i="34" s="1"/>
  <c r="J44" i="34"/>
  <c r="AC44" i="34" s="1"/>
  <c r="S40" i="21"/>
  <c r="U31" i="37"/>
  <c r="W27" i="37"/>
  <c r="AB27" i="37"/>
  <c r="H60" i="37"/>
  <c r="H10" i="37"/>
  <c r="U10" i="37"/>
  <c r="S24" i="35"/>
  <c r="AA27" i="33"/>
  <c r="AB43" i="33"/>
  <c r="S31" i="21"/>
  <c r="AB29" i="21"/>
  <c r="AC27" i="36"/>
  <c r="W27" i="36"/>
  <c r="U9" i="34"/>
  <c r="F101" i="33"/>
  <c r="G101" i="33"/>
  <c r="H101" i="33" s="1"/>
  <c r="I101" i="33" s="1"/>
  <c r="J101" i="33" s="1"/>
  <c r="K101" i="33" s="1"/>
  <c r="L101" i="33" s="1"/>
  <c r="M101" i="33" s="1"/>
  <c r="J32" i="33"/>
  <c r="W32" i="33"/>
  <c r="H32" i="33"/>
  <c r="AB32" i="33"/>
  <c r="W40" i="34"/>
  <c r="U45" i="21"/>
  <c r="U12" i="36"/>
  <c r="AC45" i="21"/>
  <c r="W45" i="21"/>
  <c r="W13" i="21"/>
  <c r="AC13" i="21"/>
  <c r="AA44" i="34"/>
  <c r="S44" i="34"/>
  <c r="S27" i="36"/>
  <c r="AB25" i="34"/>
  <c r="I60" i="37"/>
  <c r="J10" i="37"/>
  <c r="AC10" i="37" s="1"/>
  <c r="H23" i="39"/>
  <c r="AB23" i="39" s="1"/>
  <c r="J11" i="34"/>
  <c r="W11" i="34" s="1"/>
  <c r="J27" i="33"/>
  <c r="W27" i="33" s="1"/>
  <c r="W17" i="34"/>
  <c r="J25" i="34"/>
  <c r="W25" i="34" s="1"/>
  <c r="U23" i="39"/>
  <c r="K53" i="43"/>
  <c r="J53" i="43" s="1"/>
  <c r="D53" i="43"/>
  <c r="M53" i="43"/>
  <c r="N53" i="43" s="1"/>
  <c r="K49" i="43"/>
  <c r="J49" i="43" s="1"/>
  <c r="D49" i="43"/>
  <c r="M49" i="43"/>
  <c r="N49" i="43" s="1"/>
  <c r="K54" i="43"/>
  <c r="J54" i="43" s="1"/>
  <c r="D54" i="43"/>
  <c r="M54" i="43"/>
  <c r="N54" i="43" s="1"/>
  <c r="K50" i="43"/>
  <c r="J50" i="43" s="1"/>
  <c r="D50" i="43"/>
  <c r="M50" i="43"/>
  <c r="N50" i="43" s="1"/>
  <c r="K55" i="43"/>
  <c r="J55" i="43" s="1"/>
  <c r="D55" i="43"/>
  <c r="M55" i="43"/>
  <c r="N55" i="43" s="1"/>
  <c r="K51" i="43"/>
  <c r="J51" i="43" s="1"/>
  <c r="D51" i="43"/>
  <c r="M51" i="43"/>
  <c r="N51" i="43" s="1"/>
  <c r="K48" i="43"/>
  <c r="J48" i="43" s="1"/>
  <c r="D48" i="43"/>
  <c r="M48" i="43"/>
  <c r="N48" i="43" s="1"/>
  <c r="K52" i="43"/>
  <c r="J52" i="43" s="1"/>
  <c r="D52" i="43"/>
  <c r="M52" i="43"/>
  <c r="N52" i="43" s="1"/>
  <c r="K56" i="43"/>
  <c r="J56" i="43" s="1"/>
  <c r="D56" i="43"/>
  <c r="M56" i="43"/>
  <c r="N56" i="43" s="1"/>
  <c r="F43" i="15"/>
  <c r="F72" i="15" s="1"/>
  <c r="D93" i="9"/>
  <c r="D37" i="11"/>
  <c r="C37" i="11" s="1"/>
  <c r="M29" i="15"/>
  <c r="P51" i="15"/>
  <c r="D10" i="11"/>
  <c r="C2" i="31"/>
  <c r="I23" i="31" s="1"/>
  <c r="P60" i="15"/>
  <c r="D3" i="35"/>
  <c r="D3" i="34"/>
  <c r="D95" i="57"/>
  <c r="A16" i="55"/>
  <c r="B46" i="60" s="1"/>
  <c r="D3" i="33"/>
  <c r="D3" i="37"/>
  <c r="D3" i="36"/>
  <c r="C14" i="12"/>
  <c r="AB36" i="40"/>
  <c r="AA32" i="40"/>
  <c r="W32" i="40"/>
  <c r="W31" i="40"/>
  <c r="AC9" i="40"/>
  <c r="S9" i="40"/>
  <c r="AA27" i="40"/>
  <c r="AC38" i="40"/>
  <c r="S40" i="40"/>
  <c r="W35" i="40"/>
  <c r="W33" i="40"/>
  <c r="W34" i="40"/>
  <c r="J37" i="40"/>
  <c r="H35" i="40"/>
  <c r="H37" i="40"/>
  <c r="H28" i="40"/>
  <c r="F28" i="40"/>
  <c r="J28" i="40"/>
  <c r="F98" i="40"/>
  <c r="G98" i="40" s="1"/>
  <c r="H98" i="40" s="1"/>
  <c r="I98" i="40" s="1"/>
  <c r="J98" i="40" s="1"/>
  <c r="K98" i="40" s="1"/>
  <c r="L98" i="40" s="1"/>
  <c r="M98" i="40" s="1"/>
  <c r="F21" i="40"/>
  <c r="H21" i="40"/>
  <c r="F90" i="40"/>
  <c r="G90" i="40" s="1"/>
  <c r="J21" i="40"/>
  <c r="W21" i="40" s="1"/>
  <c r="W19" i="40"/>
  <c r="F86" i="40"/>
  <c r="G86" i="40"/>
  <c r="H17" i="40"/>
  <c r="U17" i="40" s="1"/>
  <c r="J17" i="40"/>
  <c r="F17" i="40"/>
  <c r="S17" i="40" s="1"/>
  <c r="F84" i="40"/>
  <c r="G84" i="40" s="1"/>
  <c r="F15" i="40"/>
  <c r="J15" i="40"/>
  <c r="H15" i="40"/>
  <c r="AB15" i="40" s="1"/>
  <c r="AC25" i="40"/>
  <c r="W25" i="40"/>
  <c r="U19" i="40"/>
  <c r="U14" i="40"/>
  <c r="U8" i="40"/>
  <c r="AA19" i="40"/>
  <c r="S36" i="40"/>
  <c r="AA35" i="40"/>
  <c r="AC38" i="39"/>
  <c r="AC17" i="39"/>
  <c r="AA37" i="39"/>
  <c r="AB29" i="39"/>
  <c r="AC25" i="39"/>
  <c r="S23" i="39"/>
  <c r="S21" i="39"/>
  <c r="AC23" i="39"/>
  <c r="W27" i="39"/>
  <c r="AC27" i="39"/>
  <c r="W35" i="39"/>
  <c r="AC15" i="39"/>
  <c r="U41" i="39"/>
  <c r="AB15" i="39"/>
  <c r="U42" i="39"/>
  <c r="AB13" i="39"/>
  <c r="U19" i="39"/>
  <c r="AB27" i="39"/>
  <c r="U27" i="39"/>
  <c r="AA27" i="39"/>
  <c r="S27" i="39"/>
  <c r="S40" i="39"/>
  <c r="S31" i="39"/>
  <c r="AC11" i="39"/>
  <c r="AA12" i="39"/>
  <c r="S13" i="39"/>
  <c r="S34" i="36"/>
  <c r="AC24" i="36"/>
  <c r="S11" i="36"/>
  <c r="S12" i="36"/>
  <c r="S22" i="36"/>
  <c r="AC16" i="36"/>
  <c r="W14" i="36"/>
  <c r="S26" i="36"/>
  <c r="U27" i="36"/>
  <c r="AC26" i="36"/>
  <c r="AA25" i="36"/>
  <c r="S14" i="36"/>
  <c r="U14" i="36"/>
  <c r="S10" i="36"/>
  <c r="W18" i="36"/>
  <c r="AC18" i="36"/>
  <c r="AC12" i="36"/>
  <c r="W25" i="36"/>
  <c r="AC32" i="36"/>
  <c r="AC20" i="36"/>
  <c r="W29" i="36"/>
  <c r="W28" i="36"/>
  <c r="W8" i="36"/>
  <c r="AB16" i="36"/>
  <c r="U13" i="36"/>
  <c r="AB18" i="36"/>
  <c r="U18" i="36"/>
  <c r="S28" i="36"/>
  <c r="S29" i="36"/>
  <c r="W35" i="35"/>
  <c r="W24" i="35"/>
  <c r="AC25" i="35"/>
  <c r="S23" i="35"/>
  <c r="W11" i="35"/>
  <c r="AA12" i="35"/>
  <c r="W10" i="35"/>
  <c r="AB16" i="35"/>
  <c r="W14" i="35"/>
  <c r="W34" i="35"/>
  <c r="AC26" i="35"/>
  <c r="W28" i="35"/>
  <c r="AC27" i="35"/>
  <c r="U14" i="35"/>
  <c r="U35" i="35"/>
  <c r="AB10" i="35"/>
  <c r="U8" i="35"/>
  <c r="AB12" i="35"/>
  <c r="AA13" i="35"/>
  <c r="S20" i="35"/>
  <c r="AB13" i="35"/>
  <c r="S10" i="35"/>
  <c r="S34" i="37"/>
  <c r="W32" i="37"/>
  <c r="W26" i="37"/>
  <c r="AB28" i="37"/>
  <c r="AC12" i="37"/>
  <c r="J33" i="37"/>
  <c r="AC33" i="37" s="1"/>
  <c r="F33" i="37"/>
  <c r="AA33" i="37" s="1"/>
  <c r="H99" i="37"/>
  <c r="I99" i="37" s="1"/>
  <c r="J99" i="37" s="1"/>
  <c r="K99" i="37" s="1"/>
  <c r="L99" i="37" s="1"/>
  <c r="M99" i="37" s="1"/>
  <c r="H33" i="37"/>
  <c r="AC35" i="37"/>
  <c r="W35" i="37"/>
  <c r="S31" i="37"/>
  <c r="H35" i="37"/>
  <c r="AB35" i="37" s="1"/>
  <c r="F35" i="37"/>
  <c r="E103" i="37"/>
  <c r="F103" i="37" s="1"/>
  <c r="G103" i="37" s="1"/>
  <c r="H103" i="37" s="1"/>
  <c r="I103" i="37" s="1"/>
  <c r="J103" i="37" s="1"/>
  <c r="K103" i="37" s="1"/>
  <c r="L103" i="37" s="1"/>
  <c r="M103" i="37" s="1"/>
  <c r="AC23" i="37"/>
  <c r="J19" i="37"/>
  <c r="W19" i="37" s="1"/>
  <c r="F19" i="37"/>
  <c r="G75" i="37"/>
  <c r="H19" i="37"/>
  <c r="U19" i="37" s="1"/>
  <c r="W17" i="37"/>
  <c r="AC17" i="37"/>
  <c r="AB17" i="37"/>
  <c r="S15" i="37"/>
  <c r="J15" i="37"/>
  <c r="W10" i="37"/>
  <c r="S10" i="37"/>
  <c r="AA11" i="37"/>
  <c r="U9" i="37"/>
  <c r="AB10" i="37"/>
  <c r="AC21" i="37"/>
  <c r="W21" i="37"/>
  <c r="W11" i="37"/>
  <c r="W14" i="37"/>
  <c r="AC19" i="37"/>
  <c r="W39" i="37"/>
  <c r="AB11" i="37"/>
  <c r="S37" i="37"/>
  <c r="AA14" i="37"/>
  <c r="AA38" i="37"/>
  <c r="AC39" i="34"/>
  <c r="W35" i="34"/>
  <c r="AB11" i="34"/>
  <c r="AC28" i="34"/>
  <c r="S40" i="34"/>
  <c r="AB41" i="34"/>
  <c r="S38" i="34"/>
  <c r="S36" i="34"/>
  <c r="U43" i="34"/>
  <c r="S43" i="34"/>
  <c r="AB19" i="34"/>
  <c r="S17" i="34"/>
  <c r="AB17" i="34"/>
  <c r="AA9" i="34"/>
  <c r="W15" i="34"/>
  <c r="W31" i="34"/>
  <c r="U23" i="34"/>
  <c r="U36" i="34"/>
  <c r="U21" i="34"/>
  <c r="AB21" i="34"/>
  <c r="AA25" i="34"/>
  <c r="AA41" i="34"/>
  <c r="AA46" i="34"/>
  <c r="W42" i="33"/>
  <c r="U25" i="33"/>
  <c r="W11" i="33"/>
  <c r="U17" i="33"/>
  <c r="W25" i="33"/>
  <c r="U27" i="33"/>
  <c r="U34" i="33"/>
  <c r="U38" i="33"/>
  <c r="W37" i="33"/>
  <c r="W43" i="33"/>
  <c r="AC41" i="33"/>
  <c r="AC27" i="33"/>
  <c r="AA45" i="33"/>
  <c r="U46" i="33"/>
  <c r="S23" i="33"/>
  <c r="S17" i="33"/>
  <c r="W17" i="33"/>
  <c r="U15" i="33"/>
  <c r="AB9" i="33"/>
  <c r="U9" i="33"/>
  <c r="S10" i="33"/>
  <c r="AC12" i="33"/>
  <c r="W39" i="33"/>
  <c r="W9" i="33"/>
  <c r="W13" i="33"/>
  <c r="AC46" i="33"/>
  <c r="AC19" i="33"/>
  <c r="W21" i="33"/>
  <c r="AC21" i="33"/>
  <c r="AB41" i="33"/>
  <c r="AB42" i="33"/>
  <c r="U13" i="33"/>
  <c r="U39" i="33"/>
  <c r="S42" i="33"/>
  <c r="S9" i="33"/>
  <c r="W42" i="21"/>
  <c r="AA39" i="21"/>
  <c r="W39" i="21"/>
  <c r="AA34" i="21"/>
  <c r="AA15" i="21"/>
  <c r="AC26" i="21"/>
  <c r="AC32" i="21"/>
  <c r="AB39" i="21"/>
  <c r="W40" i="21"/>
  <c r="AC37" i="21"/>
  <c r="W34" i="21"/>
  <c r="AC28" i="21"/>
  <c r="U27" i="21"/>
  <c r="AB23" i="21"/>
  <c r="U19" i="21"/>
  <c r="U43" i="21"/>
  <c r="U26" i="21"/>
  <c r="AB44" i="21"/>
  <c r="U30" i="21"/>
  <c r="AB36" i="21"/>
  <c r="S17" i="21"/>
  <c r="AA36" i="21"/>
  <c r="AA43" i="21"/>
  <c r="AB32" i="21"/>
  <c r="S28" i="21"/>
  <c r="AB21" i="21"/>
  <c r="U21" i="21"/>
  <c r="AC19" i="21"/>
  <c r="U17" i="21"/>
  <c r="S13" i="21"/>
  <c r="AB11" i="21"/>
  <c r="U10" i="21"/>
  <c r="U9" i="21"/>
  <c r="AB8" i="21"/>
  <c r="AA11" i="21"/>
  <c r="AA14" i="21"/>
  <c r="S8" i="21"/>
  <c r="T507" i="31"/>
  <c r="S507" i="31"/>
  <c r="T497" i="31"/>
  <c r="S497" i="31"/>
  <c r="T493" i="31"/>
  <c r="S493" i="31"/>
  <c r="T489" i="31"/>
  <c r="S489" i="31"/>
  <c r="T485" i="31"/>
  <c r="S485" i="31"/>
  <c r="T481" i="31"/>
  <c r="S481" i="31"/>
  <c r="T477" i="31"/>
  <c r="S477" i="31"/>
  <c r="T473" i="31"/>
  <c r="S473" i="31"/>
  <c r="T451" i="31"/>
  <c r="S451" i="31"/>
  <c r="T449" i="31"/>
  <c r="S449" i="31"/>
  <c r="T79" i="31"/>
  <c r="S79" i="31"/>
  <c r="T75" i="31"/>
  <c r="S75" i="31"/>
  <c r="T73" i="31"/>
  <c r="S73" i="31"/>
  <c r="T71" i="31"/>
  <c r="S71" i="31"/>
  <c r="T69" i="31"/>
  <c r="S69" i="31"/>
  <c r="T67" i="31"/>
  <c r="S67" i="31"/>
  <c r="T65" i="31"/>
  <c r="S65" i="31"/>
  <c r="T63" i="31"/>
  <c r="S63" i="31"/>
  <c r="T61" i="31"/>
  <c r="S61" i="31"/>
  <c r="T59" i="31"/>
  <c r="S59" i="31"/>
  <c r="T57" i="31"/>
  <c r="S57" i="31"/>
  <c r="T53" i="31"/>
  <c r="S53" i="31"/>
  <c r="T49" i="31"/>
  <c r="S49" i="31"/>
  <c r="T45" i="31"/>
  <c r="S45" i="31"/>
  <c r="T41" i="31"/>
  <c r="S41" i="31"/>
  <c r="T37" i="31"/>
  <c r="S37" i="31"/>
  <c r="S431" i="31"/>
  <c r="S225" i="31"/>
  <c r="S221" i="31"/>
  <c r="S217" i="31"/>
  <c r="S213" i="31"/>
  <c r="S209" i="31"/>
  <c r="S205" i="31"/>
  <c r="S201" i="31"/>
  <c r="S197" i="31"/>
  <c r="S193" i="31"/>
  <c r="S189" i="31"/>
  <c r="S185" i="31"/>
  <c r="S181" i="31"/>
  <c r="S177" i="31"/>
  <c r="S173" i="31"/>
  <c r="S169" i="31"/>
  <c r="S165" i="31"/>
  <c r="S161" i="31"/>
  <c r="S157" i="31"/>
  <c r="S153" i="31"/>
  <c r="S149" i="31"/>
  <c r="S145" i="31"/>
  <c r="S141" i="31"/>
  <c r="S137" i="31"/>
  <c r="S133" i="31"/>
  <c r="S129" i="31"/>
  <c r="S447" i="31"/>
  <c r="S443" i="31"/>
  <c r="S439" i="31"/>
  <c r="S435" i="31"/>
  <c r="S509" i="31"/>
  <c r="S501" i="31"/>
  <c r="S467" i="31"/>
  <c r="S463" i="31"/>
  <c r="S459" i="31"/>
  <c r="S455" i="31"/>
  <c r="S99" i="31"/>
  <c r="S95" i="31"/>
  <c r="S91" i="31"/>
  <c r="S87" i="31"/>
  <c r="S83" i="31"/>
  <c r="S33" i="31"/>
  <c r="S103" i="31"/>
  <c r="S107" i="31"/>
  <c r="S111" i="31"/>
  <c r="S511" i="31"/>
  <c r="S515" i="31"/>
  <c r="S325" i="31"/>
  <c r="S329" i="31"/>
  <c r="S333" i="31"/>
  <c r="S337" i="31"/>
  <c r="S341" i="31"/>
  <c r="S345" i="31"/>
  <c r="S349" i="31"/>
  <c r="S353" i="31"/>
  <c r="S357" i="31"/>
  <c r="S361" i="31"/>
  <c r="S365" i="31"/>
  <c r="S369" i="31"/>
  <c r="S373" i="31"/>
  <c r="S377" i="31"/>
  <c r="S381" i="31"/>
  <c r="S385" i="31"/>
  <c r="S389" i="31"/>
  <c r="S393" i="31"/>
  <c r="S397" i="31"/>
  <c r="S401" i="31"/>
  <c r="S405" i="31"/>
  <c r="S409" i="31"/>
  <c r="S413" i="31"/>
  <c r="S417" i="31"/>
  <c r="S421" i="31"/>
  <c r="S425" i="31"/>
  <c r="S31" i="31"/>
  <c r="S77" i="31"/>
  <c r="S39" i="31"/>
  <c r="S47" i="31"/>
  <c r="S55" i="31"/>
  <c r="S115" i="31"/>
  <c r="S117" i="31"/>
  <c r="S119" i="31"/>
  <c r="S121" i="31"/>
  <c r="S123" i="31"/>
  <c r="S125" i="31"/>
  <c r="S471" i="31"/>
  <c r="S479" i="31"/>
  <c r="S487" i="31"/>
  <c r="S495" i="31"/>
  <c r="D33" i="50"/>
  <c r="D12" i="50"/>
  <c r="B26" i="60" s="1"/>
  <c r="D34" i="50"/>
  <c r="D13" i="50"/>
  <c r="B27" i="60" s="1"/>
  <c r="D31" i="50"/>
  <c r="D32" i="50" s="1"/>
  <c r="D10" i="50"/>
  <c r="D11" i="50" s="1"/>
  <c r="B25" i="60" s="1"/>
  <c r="D112" i="57"/>
  <c r="D35" i="50"/>
  <c r="D14" i="50"/>
  <c r="B28" i="60" s="1"/>
  <c r="C18" i="9"/>
  <c r="D18" i="9"/>
  <c r="D22" i="15"/>
  <c r="A14" i="52"/>
  <c r="B61" i="60" s="1"/>
  <c r="Y25" i="31"/>
  <c r="C37" i="57" s="1"/>
  <c r="F125" i="57" s="1"/>
  <c r="H102" i="43"/>
  <c r="D3" i="21"/>
  <c r="M6" i="43"/>
  <c r="M5" i="43"/>
  <c r="F81" i="43"/>
  <c r="H85" i="43" s="1"/>
  <c r="H13" i="44"/>
  <c r="G59" i="40"/>
  <c r="C59" i="40" s="1"/>
  <c r="H11" i="44"/>
  <c r="C51" i="10"/>
  <c r="A8" i="54"/>
  <c r="B8" i="60" s="1"/>
  <c r="F2" i="21"/>
  <c r="F2" i="34"/>
  <c r="F2" i="35"/>
  <c r="F2" i="33"/>
  <c r="D36" i="57"/>
  <c r="C114" i="9"/>
  <c r="H112" i="9" s="1"/>
  <c r="C120" i="57"/>
  <c r="H116" i="57" s="1"/>
  <c r="A18" i="54"/>
  <c r="B15" i="60" s="1"/>
  <c r="T498" i="31"/>
  <c r="T490" i="31"/>
  <c r="T482" i="31"/>
  <c r="T474" i="31"/>
  <c r="T462" i="31"/>
  <c r="T442" i="31"/>
  <c r="T412" i="31"/>
  <c r="T348" i="31"/>
  <c r="T286" i="31"/>
  <c r="C116" i="9"/>
  <c r="H114" i="9" s="1"/>
  <c r="S404" i="31"/>
  <c r="S340" i="31"/>
  <c r="S278" i="31"/>
  <c r="S76" i="31"/>
  <c r="S50" i="31"/>
  <c r="S42" i="31"/>
  <c r="D32" i="9"/>
  <c r="F117" i="9"/>
  <c r="A132" i="9"/>
  <c r="D24" i="15"/>
  <c r="C27" i="15"/>
  <c r="M20" i="15"/>
  <c r="D9" i="11"/>
  <c r="C9" i="11" s="1"/>
  <c r="D19" i="11"/>
  <c r="C20" i="12"/>
  <c r="C19" i="12"/>
  <c r="G22" i="11"/>
  <c r="G41" i="11"/>
  <c r="E48" i="43"/>
  <c r="H113" i="43"/>
  <c r="X7" i="43"/>
  <c r="E70" i="43"/>
  <c r="B68" i="43" s="1"/>
  <c r="AI11" i="43"/>
  <c r="AI13" i="43" s="1"/>
  <c r="AG11" i="43"/>
  <c r="AG13" i="43" s="1"/>
  <c r="AE11" i="43"/>
  <c r="AE13" i="43" s="1"/>
  <c r="AC11" i="43"/>
  <c r="AC13" i="43" s="1"/>
  <c r="AA11" i="43"/>
  <c r="AA13" i="43" s="1"/>
  <c r="Y11" i="43"/>
  <c r="Y13" i="43" s="1"/>
  <c r="AJ11" i="43"/>
  <c r="AJ13" i="43" s="1"/>
  <c r="AH11" i="43"/>
  <c r="AH13" i="43" s="1"/>
  <c r="AF11" i="43"/>
  <c r="AF13" i="43" s="1"/>
  <c r="AD11" i="43"/>
  <c r="AD13" i="43" s="1"/>
  <c r="AB11" i="43"/>
  <c r="AB13" i="43" s="1"/>
  <c r="Z11" i="43"/>
  <c r="Z13" i="43" s="1"/>
  <c r="Z7" i="43"/>
  <c r="B46" i="43"/>
  <c r="E9" i="43"/>
  <c r="E8" i="43"/>
  <c r="E10" i="43"/>
  <c r="E11" i="43"/>
  <c r="C7" i="39"/>
  <c r="C68" i="39" s="1"/>
  <c r="C70" i="39" s="1"/>
  <c r="C53" i="10"/>
  <c r="D123" i="9"/>
  <c r="D6" i="52" s="1"/>
  <c r="D124" i="9"/>
  <c r="D7" i="52"/>
  <c r="N49" i="57"/>
  <c r="B58" i="60"/>
  <c r="K106" i="43"/>
  <c r="A125" i="57"/>
  <c r="N47" i="9"/>
  <c r="N104" i="46"/>
  <c r="J17" i="43"/>
  <c r="C7" i="21"/>
  <c r="C58" i="21" s="1"/>
  <c r="D58" i="21" s="1"/>
  <c r="C7" i="33"/>
  <c r="C58" i="33" s="1"/>
  <c r="D58" i="33" s="1"/>
  <c r="E58" i="33" s="1"/>
  <c r="F58" i="33" s="1"/>
  <c r="G58" i="33" s="1"/>
  <c r="H58" i="33" s="1"/>
  <c r="I58" i="33" s="1"/>
  <c r="J58" i="33" s="1"/>
  <c r="K58" i="33" s="1"/>
  <c r="L58" i="33" s="1"/>
  <c r="M58" i="33" s="1"/>
  <c r="N58" i="33" s="1"/>
  <c r="O58" i="33" s="1"/>
  <c r="C7" i="37"/>
  <c r="C52" i="37" s="1"/>
  <c r="D52" i="37" s="1"/>
  <c r="E52" i="37" s="1"/>
  <c r="F52" i="37" s="1"/>
  <c r="H104" i="43"/>
  <c r="D102" i="43"/>
  <c r="G104" i="43"/>
  <c r="D115" i="43"/>
  <c r="E115" i="43" s="1"/>
  <c r="F115" i="43" s="1"/>
  <c r="N106" i="43"/>
  <c r="G37" i="47"/>
  <c r="G19" i="43"/>
  <c r="O19" i="43" s="1"/>
  <c r="F36" i="43"/>
  <c r="C17" i="43"/>
  <c r="F35" i="43"/>
  <c r="F37" i="43"/>
  <c r="F39" i="43"/>
  <c r="K17" i="43"/>
  <c r="C7" i="34"/>
  <c r="C59" i="34" s="1"/>
  <c r="C7" i="36"/>
  <c r="C46" i="36" s="1"/>
  <c r="F38" i="43"/>
  <c r="K86" i="43"/>
  <c r="J86" i="43" s="1"/>
  <c r="D86" i="43"/>
  <c r="M87" i="43"/>
  <c r="N87" i="43" s="1"/>
  <c r="K82" i="43"/>
  <c r="J82" i="43" s="1"/>
  <c r="D82" i="43"/>
  <c r="M83" i="43"/>
  <c r="N83" i="43" s="1"/>
  <c r="D117" i="43"/>
  <c r="E117" i="43" s="1"/>
  <c r="F117" i="43" s="1"/>
  <c r="G117" i="43" s="1"/>
  <c r="H117" i="43" s="1"/>
  <c r="E105" i="43"/>
  <c r="F106" i="43"/>
  <c r="M12" i="43"/>
  <c r="M8" i="43"/>
  <c r="N7" i="43"/>
  <c r="M3" i="43"/>
  <c r="M11" i="43"/>
  <c r="N8" i="43"/>
  <c r="H8" i="44"/>
  <c r="H12" i="44"/>
  <c r="C63" i="39"/>
  <c r="G64" i="39"/>
  <c r="C64" i="39" s="1"/>
  <c r="M85" i="43"/>
  <c r="N85" i="43"/>
  <c r="K85" i="43"/>
  <c r="J85" i="43"/>
  <c r="D85" i="43"/>
  <c r="M82" i="43"/>
  <c r="N82" i="43" s="1"/>
  <c r="K83" i="43"/>
  <c r="J83" i="43" s="1"/>
  <c r="D83" i="43"/>
  <c r="F103" i="43"/>
  <c r="J107" i="43"/>
  <c r="J104" i="43"/>
  <c r="N109" i="43"/>
  <c r="N105" i="43"/>
  <c r="E102" i="43"/>
  <c r="E106" i="43"/>
  <c r="I103" i="43"/>
  <c r="M107" i="43"/>
  <c r="M104" i="43"/>
  <c r="B115" i="43"/>
  <c r="C115" i="43" s="1"/>
  <c r="D118" i="43"/>
  <c r="E118" i="43" s="1"/>
  <c r="F118" i="43" s="1"/>
  <c r="M7" i="15"/>
  <c r="J6" i="15" s="1"/>
  <c r="F35" i="15"/>
  <c r="F64" i="15" s="1"/>
  <c r="E18" i="1"/>
  <c r="C17" i="15"/>
  <c r="A2" i="9"/>
  <c r="W23" i="40"/>
  <c r="S23" i="40"/>
  <c r="U23" i="40"/>
  <c r="S38" i="40"/>
  <c r="U40" i="40"/>
  <c r="S33" i="40"/>
  <c r="AB31" i="40"/>
  <c r="AC14" i="40"/>
  <c r="AC13" i="40"/>
  <c r="S14" i="40"/>
  <c r="S31" i="40"/>
  <c r="U15" i="40"/>
  <c r="S11" i="40"/>
  <c r="AB32" i="39"/>
  <c r="AB37" i="39"/>
  <c r="W42" i="39"/>
  <c r="W34" i="39"/>
  <c r="W32" i="39"/>
  <c r="S43" i="39"/>
  <c r="AA32" i="39"/>
  <c r="S11" i="39"/>
  <c r="AA25" i="39"/>
  <c r="S29" i="39"/>
  <c r="U40" i="39"/>
  <c r="AB43" i="39"/>
  <c r="AC41" i="39"/>
  <c r="U11" i="39"/>
  <c r="W36" i="39"/>
  <c r="S34" i="39"/>
  <c r="S39" i="39"/>
  <c r="U9" i="39"/>
  <c r="S20" i="36"/>
  <c r="AA13" i="36"/>
  <c r="AA33" i="36"/>
  <c r="S8" i="36"/>
  <c r="AB34" i="35"/>
  <c r="W29" i="35"/>
  <c r="U33" i="35"/>
  <c r="W33" i="35"/>
  <c r="S36" i="35"/>
  <c r="U22" i="35"/>
  <c r="AA33" i="35"/>
  <c r="AA29" i="35"/>
  <c r="S22" i="35"/>
  <c r="U28" i="35"/>
  <c r="AB27" i="35"/>
  <c r="U36" i="35"/>
  <c r="W36" i="35"/>
  <c r="S35" i="35"/>
  <c r="S26" i="35"/>
  <c r="AB26" i="35"/>
  <c r="AC16" i="35"/>
  <c r="AA25" i="35"/>
  <c r="S28" i="35"/>
  <c r="AC34" i="37"/>
  <c r="U29" i="37"/>
  <c r="U30" i="37"/>
  <c r="S40" i="37"/>
  <c r="AC29" i="37"/>
  <c r="U26" i="37"/>
  <c r="AC13" i="37"/>
  <c r="U38" i="37"/>
  <c r="AA13" i="37"/>
  <c r="W25" i="37"/>
  <c r="S9" i="37"/>
  <c r="G84" i="34"/>
  <c r="J21" i="34"/>
  <c r="AC21" i="34" s="1"/>
  <c r="AB40" i="34"/>
  <c r="AC19" i="34"/>
  <c r="AC23" i="34"/>
  <c r="AB28" i="34"/>
  <c r="AB37" i="34"/>
  <c r="W41" i="34"/>
  <c r="AA27" i="34"/>
  <c r="AA45" i="34"/>
  <c r="AB45" i="34"/>
  <c r="AB35" i="34"/>
  <c r="AB27" i="34"/>
  <c r="W29" i="34"/>
  <c r="W43" i="34"/>
  <c r="U34" i="34"/>
  <c r="S34" i="34"/>
  <c r="AC25" i="34"/>
  <c r="W44" i="34"/>
  <c r="AB44" i="34"/>
  <c r="AC33" i="34"/>
  <c r="AA33" i="34"/>
  <c r="S35" i="34"/>
  <c r="AB47" i="34"/>
  <c r="U31" i="34"/>
  <c r="AB14" i="34"/>
  <c r="AC45" i="34"/>
  <c r="AA29" i="34"/>
  <c r="AC13" i="34"/>
  <c r="AB13" i="34"/>
  <c r="U10" i="34"/>
  <c r="S13" i="34"/>
  <c r="AA31" i="34"/>
  <c r="AB29" i="34"/>
  <c r="U37" i="33"/>
  <c r="U19" i="33"/>
  <c r="AC32" i="33"/>
  <c r="AA43" i="33"/>
  <c r="S32" i="33"/>
  <c r="U33" i="33"/>
  <c r="AA28" i="33"/>
  <c r="U30" i="33"/>
  <c r="S39" i="33"/>
  <c r="AB26" i="33"/>
  <c r="AA36" i="33"/>
  <c r="W35" i="33"/>
  <c r="W40" i="33"/>
  <c r="W26" i="33"/>
  <c r="S33" i="33"/>
  <c r="U35" i="33"/>
  <c r="U32" i="33"/>
  <c r="AC45" i="33"/>
  <c r="AB29" i="33"/>
  <c r="AB36" i="33"/>
  <c r="W15" i="33"/>
  <c r="AA19" i="33"/>
  <c r="W8" i="33"/>
  <c r="G83" i="21"/>
  <c r="J21" i="21"/>
  <c r="S27" i="21"/>
  <c r="AC31" i="21"/>
  <c r="AA32" i="21"/>
  <c r="W23" i="21"/>
  <c r="AB25" i="21"/>
  <c r="AA25" i="21"/>
  <c r="U40" i="21"/>
  <c r="S46" i="21"/>
  <c r="AC46" i="21"/>
  <c r="AA26" i="21"/>
  <c r="W10" i="21"/>
  <c r="S35" i="21"/>
  <c r="C15" i="39"/>
  <c r="C17" i="39"/>
  <c r="C19" i="39"/>
  <c r="C15" i="40"/>
  <c r="C17" i="40"/>
  <c r="B54" i="43"/>
  <c r="B65" i="43"/>
  <c r="U30" i="40"/>
  <c r="B49" i="43"/>
  <c r="B52" i="43"/>
  <c r="B56" i="43"/>
  <c r="B60" i="43"/>
  <c r="B63" i="43"/>
  <c r="B67" i="43"/>
  <c r="B23" i="60"/>
  <c r="AC21" i="40"/>
  <c r="U35" i="40"/>
  <c r="AB35" i="40"/>
  <c r="U37" i="40"/>
  <c r="AB37" i="40"/>
  <c r="W37" i="40"/>
  <c r="AC37" i="40"/>
  <c r="AA28" i="40"/>
  <c r="S28" i="40"/>
  <c r="AC28" i="40"/>
  <c r="W28" i="40"/>
  <c r="U28" i="40"/>
  <c r="AB28" i="40"/>
  <c r="AB21" i="40"/>
  <c r="U21" i="40"/>
  <c r="S21" i="40"/>
  <c r="AA21" i="40"/>
  <c r="AB17" i="40"/>
  <c r="AA17" i="40"/>
  <c r="W17" i="40"/>
  <c r="AC17" i="40"/>
  <c r="AA15" i="40"/>
  <c r="S15" i="40"/>
  <c r="AC15" i="40"/>
  <c r="W15" i="40"/>
  <c r="AB33" i="37"/>
  <c r="U33" i="37"/>
  <c r="U35" i="37"/>
  <c r="S33" i="37"/>
  <c r="AA35" i="37"/>
  <c r="S35" i="37"/>
  <c r="W33" i="37"/>
  <c r="AA19" i="37"/>
  <c r="S19" i="37"/>
  <c r="AB19" i="37"/>
  <c r="AC15" i="37"/>
  <c r="W15" i="37"/>
  <c r="W21" i="34"/>
  <c r="AC21" i="21"/>
  <c r="W21" i="21"/>
  <c r="M86" i="43"/>
  <c r="N86" i="43"/>
  <c r="F34" i="11"/>
  <c r="E19" i="1"/>
  <c r="D20" i="1"/>
  <c r="D18" i="1"/>
  <c r="F50" i="11"/>
  <c r="F19" i="1"/>
  <c r="F18" i="1"/>
  <c r="D19" i="1"/>
  <c r="K87" i="43"/>
  <c r="J87" i="43"/>
  <c r="D87" i="43"/>
  <c r="C7" i="43"/>
  <c r="L106" i="9"/>
  <c r="A18" i="55" s="1"/>
  <c r="B48" i="60" s="1"/>
  <c r="J22" i="43"/>
  <c r="M84" i="43"/>
  <c r="N84" i="43" s="1"/>
  <c r="K84" i="43"/>
  <c r="J84" i="43" s="1"/>
  <c r="D84" i="43"/>
  <c r="M81" i="43"/>
  <c r="N81" i="43" s="1"/>
  <c r="K81" i="43"/>
  <c r="J81" i="43" s="1"/>
  <c r="D81" i="43"/>
  <c r="E81" i="43" s="1"/>
  <c r="B79" i="43" s="1"/>
  <c r="M88" i="43"/>
  <c r="N88" i="43" s="1"/>
  <c r="K88" i="43"/>
  <c r="J88" i="43" s="1"/>
  <c r="D88" i="43"/>
  <c r="I114" i="57"/>
  <c r="D131" i="57" s="1"/>
  <c r="B41" i="1"/>
  <c r="M27" i="15" s="1"/>
  <c r="C11" i="12"/>
  <c r="C15" i="12" s="1"/>
  <c r="C13" i="12"/>
  <c r="C36" i="11"/>
  <c r="D118" i="57"/>
  <c r="D119" i="57"/>
  <c r="I115" i="57" s="1"/>
  <c r="D132" i="57" s="1"/>
  <c r="D134" i="57"/>
  <c r="D130" i="9"/>
  <c r="D13" i="52"/>
  <c r="N46" i="9"/>
  <c r="H9" i="44"/>
  <c r="H7" i="44"/>
  <c r="H10" i="44"/>
  <c r="N12" i="43"/>
  <c r="N4" i="43"/>
  <c r="M7" i="43"/>
  <c r="N1" i="43"/>
  <c r="M10" i="43"/>
  <c r="M2" i="43"/>
  <c r="H15" i="44"/>
  <c r="H87" i="43"/>
  <c r="H5" i="44"/>
  <c r="N10" i="43"/>
  <c r="N2" i="43"/>
  <c r="N11" i="43"/>
  <c r="N9" i="43"/>
  <c r="M4" i="43"/>
  <c r="C6" i="43" s="1"/>
  <c r="N5" i="43"/>
  <c r="N3" i="43"/>
  <c r="F59" i="43" s="1"/>
  <c r="M9" i="43"/>
  <c r="E17" i="43"/>
  <c r="N17" i="43"/>
  <c r="L17" i="43"/>
  <c r="O17" i="43"/>
  <c r="M17" i="43"/>
  <c r="J1" i="61"/>
  <c r="J52" i="15"/>
  <c r="M60" i="15" s="1"/>
  <c r="C16" i="59"/>
  <c r="D16" i="59" s="1"/>
  <c r="D17" i="59"/>
  <c r="B18" i="59"/>
  <c r="AB18" i="59"/>
  <c r="U18" i="59"/>
  <c r="AA17" i="59"/>
  <c r="X17" i="59"/>
  <c r="AB17" i="59"/>
  <c r="AA16" i="59"/>
  <c r="Y16" i="59"/>
  <c r="Z16" i="59" s="1"/>
  <c r="Y14" i="59"/>
  <c r="Z14" i="59" s="1"/>
  <c r="AB14" i="59"/>
  <c r="AB12" i="59"/>
  <c r="X14" i="59"/>
  <c r="X12" i="59"/>
  <c r="AA14" i="59"/>
  <c r="AA12" i="59"/>
  <c r="AB13" i="59"/>
  <c r="X13" i="59"/>
  <c r="U14" i="59"/>
  <c r="J30" i="35"/>
  <c r="W30" i="35"/>
  <c r="H30" i="35"/>
  <c r="AA30" i="35"/>
  <c r="N56" i="9"/>
  <c r="O56" i="9"/>
  <c r="O58" i="57"/>
  <c r="K58" i="57"/>
  <c r="K59" i="57" s="1"/>
  <c r="K61" i="57" s="1"/>
  <c r="K63" i="57" s="1"/>
  <c r="N58" i="57"/>
  <c r="K56" i="9"/>
  <c r="K57" i="9" s="1"/>
  <c r="K59" i="9" s="1"/>
  <c r="K61" i="9" s="1"/>
  <c r="L58" i="57"/>
  <c r="F15" i="59"/>
  <c r="F14" i="59" s="1"/>
  <c r="C15" i="59"/>
  <c r="C14" i="59" s="1"/>
  <c r="X3" i="59"/>
  <c r="Y3" i="59"/>
  <c r="Z3" i="59" s="1"/>
  <c r="F48" i="43"/>
  <c r="H50" i="43" s="1"/>
  <c r="G4" i="47"/>
  <c r="S18" i="59"/>
  <c r="B17" i="59"/>
  <c r="B16" i="59"/>
  <c r="B15" i="59" s="1"/>
  <c r="B14" i="59" s="1"/>
  <c r="AC30" i="35"/>
  <c r="AB30" i="35"/>
  <c r="U30" i="35"/>
  <c r="I116" i="57"/>
  <c r="D133" i="57" s="1"/>
  <c r="I14" i="62" s="1"/>
  <c r="B8" i="62" s="1"/>
  <c r="D120" i="57"/>
  <c r="I114" i="9"/>
  <c r="D129" i="9" s="1"/>
  <c r="I112" i="9"/>
  <c r="D39" i="50" s="1"/>
  <c r="D40" i="50" s="1"/>
  <c r="D116" i="9"/>
  <c r="D114" i="9"/>
  <c r="D115" i="9"/>
  <c r="I113" i="9" s="1"/>
  <c r="E2" i="34"/>
  <c r="E2" i="36"/>
  <c r="D7" i="61"/>
  <c r="E2" i="37"/>
  <c r="D5" i="61"/>
  <c r="F7" i="61"/>
  <c r="H23" i="31"/>
  <c r="E2" i="11"/>
  <c r="E2" i="35"/>
  <c r="F6" i="61"/>
  <c r="E2" i="33"/>
  <c r="F3" i="61"/>
  <c r="F5" i="61"/>
  <c r="D4" i="61"/>
  <c r="C19" i="9"/>
  <c r="E2" i="21"/>
  <c r="D19" i="9"/>
  <c r="D3" i="61"/>
  <c r="C20" i="9"/>
  <c r="F4" i="61"/>
  <c r="D20" i="9"/>
  <c r="AC11" i="34" l="1"/>
  <c r="AA47" i="34"/>
  <c r="S47" i="34"/>
  <c r="U37" i="37"/>
  <c r="AB37" i="37"/>
  <c r="AC27" i="40"/>
  <c r="C34" i="11"/>
  <c r="U15" i="37"/>
  <c r="AC15" i="21"/>
  <c r="AA15" i="39"/>
  <c r="AB25" i="39"/>
  <c r="S44" i="33"/>
  <c r="AA44" i="33"/>
  <c r="F39" i="40"/>
  <c r="H39" i="40"/>
  <c r="N59" i="59"/>
  <c r="N60" i="59"/>
  <c r="B75" i="43"/>
  <c r="O59" i="59"/>
  <c r="D25" i="59"/>
  <c r="D33" i="59"/>
  <c r="C72" i="59"/>
  <c r="D72" i="59" s="1"/>
  <c r="D69" i="59"/>
  <c r="D22" i="59"/>
  <c r="AA19" i="59"/>
  <c r="AB22" i="59"/>
  <c r="AB3" i="59"/>
  <c r="E73" i="59"/>
  <c r="E72" i="59" s="1"/>
  <c r="D70" i="59"/>
  <c r="Q62" i="59"/>
  <c r="D62" i="59"/>
  <c r="Q59" i="59"/>
  <c r="X19" i="59"/>
  <c r="Y23" i="59"/>
  <c r="Z23" i="59" s="1"/>
  <c r="AB23" i="59"/>
  <c r="Y24" i="59"/>
  <c r="Z24" i="59" s="1"/>
  <c r="AB24" i="59"/>
  <c r="Y25" i="59"/>
  <c r="Z25" i="59" s="1"/>
  <c r="AB25" i="59"/>
  <c r="Y26" i="59"/>
  <c r="Z26" i="59" s="1"/>
  <c r="AB26" i="59"/>
  <c r="C28" i="59"/>
  <c r="AA27" i="59"/>
  <c r="X28" i="59"/>
  <c r="AA28" i="59"/>
  <c r="X29" i="59"/>
  <c r="AA29" i="59"/>
  <c r="X30" i="59"/>
  <c r="AA30" i="59"/>
  <c r="E32" i="59"/>
  <c r="E33" i="59" s="1"/>
  <c r="E34" i="59" s="1"/>
  <c r="E53" i="59"/>
  <c r="E54" i="59" s="1"/>
  <c r="U54" i="59" s="1"/>
  <c r="E61" i="59"/>
  <c r="F65" i="59"/>
  <c r="F64" i="59" s="1"/>
  <c r="C29" i="31"/>
  <c r="C28" i="31"/>
  <c r="V27" i="31"/>
  <c r="V25" i="31" s="1"/>
  <c r="C36" i="57" s="1"/>
  <c r="D125" i="57" s="1"/>
  <c r="X27" i="31"/>
  <c r="X25" i="31" s="1"/>
  <c r="B25" i="31"/>
  <c r="N100" i="43"/>
  <c r="J100" i="43"/>
  <c r="F100" i="43"/>
  <c r="M100" i="43"/>
  <c r="I100" i="43"/>
  <c r="E100" i="43"/>
  <c r="I20" i="58"/>
  <c r="D1" i="58" s="1"/>
  <c r="E10" i="58" s="1"/>
  <c r="S21" i="34"/>
  <c r="U21" i="37"/>
  <c r="C29" i="39"/>
  <c r="B55" i="43"/>
  <c r="P72" i="15"/>
  <c r="D18" i="59"/>
  <c r="T18" i="59"/>
  <c r="S38" i="31"/>
  <c r="S46" i="31"/>
  <c r="S54" i="31"/>
  <c r="S80" i="31"/>
  <c r="S310" i="31"/>
  <c r="S372" i="31"/>
  <c r="T318" i="31"/>
  <c r="T380" i="31"/>
  <c r="T434" i="31"/>
  <c r="T454" i="31"/>
  <c r="T470" i="31"/>
  <c r="T478" i="31"/>
  <c r="T486" i="31"/>
  <c r="T494" i="31"/>
  <c r="S510" i="31"/>
  <c r="S88" i="31"/>
  <c r="S124" i="31"/>
  <c r="S150" i="31"/>
  <c r="S182" i="31"/>
  <c r="S214" i="31"/>
  <c r="S280" i="31"/>
  <c r="S322" i="31"/>
  <c r="S362" i="31"/>
  <c r="S406" i="31"/>
  <c r="S36" i="31"/>
  <c r="S40" i="31"/>
  <c r="S44" i="31"/>
  <c r="S48" i="31"/>
  <c r="S52" i="31"/>
  <c r="S56" i="31"/>
  <c r="S78" i="31"/>
  <c r="S262" i="31"/>
  <c r="S294" i="31"/>
  <c r="S324" i="31"/>
  <c r="S356" i="31"/>
  <c r="S388" i="31"/>
  <c r="S420" i="31"/>
  <c r="T270" i="31"/>
  <c r="T302" i="31"/>
  <c r="T332" i="31"/>
  <c r="T364" i="31"/>
  <c r="T396" i="31"/>
  <c r="T430" i="31"/>
  <c r="T438" i="31"/>
  <c r="T446" i="31"/>
  <c r="T458" i="31"/>
  <c r="T466" i="31"/>
  <c r="T472" i="31"/>
  <c r="T476" i="31"/>
  <c r="T480" i="31"/>
  <c r="T484" i="31"/>
  <c r="T488" i="31"/>
  <c r="T492" i="31"/>
  <c r="T496" i="31"/>
  <c r="T500" i="31"/>
  <c r="S30" i="31"/>
  <c r="S508" i="31"/>
  <c r="S526" i="31"/>
  <c r="S524" i="31"/>
  <c r="S114" i="31"/>
  <c r="S34" i="31"/>
  <c r="S96" i="31"/>
  <c r="S68" i="31"/>
  <c r="S468" i="31"/>
  <c r="S116" i="31"/>
  <c r="S126" i="31"/>
  <c r="S142" i="31"/>
  <c r="S158" i="31"/>
  <c r="S174" i="31"/>
  <c r="S190" i="31"/>
  <c r="S206" i="31"/>
  <c r="S222" i="31"/>
  <c r="S268" i="31"/>
  <c r="S290" i="31"/>
  <c r="S312" i="31"/>
  <c r="S330" i="31"/>
  <c r="S352" i="31"/>
  <c r="S374" i="31"/>
  <c r="S394" i="31"/>
  <c r="S416" i="31"/>
  <c r="T522" i="31"/>
  <c r="S522" i="31"/>
  <c r="T520" i="31"/>
  <c r="S520" i="31"/>
  <c r="T518" i="31"/>
  <c r="S518" i="31"/>
  <c r="T516" i="31"/>
  <c r="S516" i="31"/>
  <c r="T512" i="31"/>
  <c r="S512" i="31"/>
  <c r="T464" i="31"/>
  <c r="S464" i="31"/>
  <c r="T456" i="31"/>
  <c r="S456" i="31"/>
  <c r="T452" i="31"/>
  <c r="S452" i="31"/>
  <c r="T448" i="31"/>
  <c r="S448" i="31"/>
  <c r="T444" i="31"/>
  <c r="S444" i="31"/>
  <c r="T436" i="31"/>
  <c r="S436" i="31"/>
  <c r="T432" i="31"/>
  <c r="S432" i="31"/>
  <c r="T426" i="31"/>
  <c r="S426" i="31"/>
  <c r="T424" i="31"/>
  <c r="S424" i="31"/>
  <c r="T418" i="31"/>
  <c r="S418" i="31"/>
  <c r="T414" i="31"/>
  <c r="S414" i="31"/>
  <c r="T408" i="31"/>
  <c r="S408" i="31"/>
  <c r="T402" i="31"/>
  <c r="S402" i="31"/>
  <c r="T398" i="31"/>
  <c r="S398" i="31"/>
  <c r="T392" i="31"/>
  <c r="S392" i="31"/>
  <c r="T386" i="31"/>
  <c r="S386" i="31"/>
  <c r="T382" i="31"/>
  <c r="S382" i="31"/>
  <c r="T376" i="31"/>
  <c r="S376" i="31"/>
  <c r="T370" i="31"/>
  <c r="S370" i="31"/>
  <c r="T366" i="31"/>
  <c r="S366" i="31"/>
  <c r="T360" i="31"/>
  <c r="S360" i="31"/>
  <c r="T354" i="31"/>
  <c r="S354" i="31"/>
  <c r="T350" i="31"/>
  <c r="S350" i="31"/>
  <c r="T344" i="31"/>
  <c r="S344" i="31"/>
  <c r="T338" i="31"/>
  <c r="S338" i="31"/>
  <c r="T334" i="31"/>
  <c r="S334" i="31"/>
  <c r="T328" i="31"/>
  <c r="S328" i="31"/>
  <c r="T320" i="31"/>
  <c r="S320" i="31"/>
  <c r="T314" i="31"/>
  <c r="S314" i="31"/>
  <c r="T308" i="31"/>
  <c r="S308" i="31"/>
  <c r="T304" i="31"/>
  <c r="S304" i="31"/>
  <c r="T298" i="31"/>
  <c r="S298" i="31"/>
  <c r="T292" i="31"/>
  <c r="S292" i="31"/>
  <c r="T288" i="31"/>
  <c r="S288" i="31"/>
  <c r="T282" i="31"/>
  <c r="S282" i="31"/>
  <c r="T276" i="31"/>
  <c r="S276" i="31"/>
  <c r="T272" i="31"/>
  <c r="S272" i="31"/>
  <c r="T266" i="31"/>
  <c r="S266" i="31"/>
  <c r="T260" i="31"/>
  <c r="S260" i="31"/>
  <c r="T224" i="31"/>
  <c r="S224" i="31"/>
  <c r="T220" i="31"/>
  <c r="S220" i="31"/>
  <c r="T216" i="31"/>
  <c r="S216" i="31"/>
  <c r="T212" i="31"/>
  <c r="S212" i="31"/>
  <c r="T208" i="31"/>
  <c r="S208" i="31"/>
  <c r="T204" i="31"/>
  <c r="S204" i="31"/>
  <c r="T200" i="31"/>
  <c r="S200" i="31"/>
  <c r="T196" i="31"/>
  <c r="S196" i="31"/>
  <c r="T192" i="31"/>
  <c r="S192" i="31"/>
  <c r="T188" i="31"/>
  <c r="S188" i="31"/>
  <c r="T184" i="31"/>
  <c r="S184" i="31"/>
  <c r="T180" i="31"/>
  <c r="S180" i="31"/>
  <c r="T176" i="31"/>
  <c r="S176" i="31"/>
  <c r="T172" i="31"/>
  <c r="S172" i="31"/>
  <c r="T168" i="31"/>
  <c r="S168" i="31"/>
  <c r="T164" i="31"/>
  <c r="S164" i="31"/>
  <c r="T160" i="31"/>
  <c r="S160" i="31"/>
  <c r="T156" i="31"/>
  <c r="S156" i="31"/>
  <c r="T152" i="31"/>
  <c r="S152" i="31"/>
  <c r="T148" i="31"/>
  <c r="S148" i="31"/>
  <c r="T144" i="31"/>
  <c r="S144" i="31"/>
  <c r="T140" i="31"/>
  <c r="S140" i="31"/>
  <c r="T136" i="31"/>
  <c r="S136" i="31"/>
  <c r="T132" i="31"/>
  <c r="S132" i="31"/>
  <c r="T128" i="31"/>
  <c r="S128" i="31"/>
  <c r="T122" i="31"/>
  <c r="S122" i="31"/>
  <c r="T118" i="31"/>
  <c r="S118" i="31"/>
  <c r="T112" i="31"/>
  <c r="S112" i="31"/>
  <c r="T108" i="31"/>
  <c r="S108" i="31"/>
  <c r="T104" i="31"/>
  <c r="S104" i="31"/>
  <c r="T98" i="31"/>
  <c r="S98" i="31"/>
  <c r="T94" i="31"/>
  <c r="S94" i="31"/>
  <c r="T90" i="31"/>
  <c r="S90" i="31"/>
  <c r="T86" i="31"/>
  <c r="S86" i="31"/>
  <c r="T82" i="31"/>
  <c r="S82" i="31"/>
  <c r="T74" i="31"/>
  <c r="S74" i="31"/>
  <c r="T70" i="31"/>
  <c r="S70" i="31"/>
  <c r="T66" i="31"/>
  <c r="S66" i="31"/>
  <c r="T62" i="31"/>
  <c r="S62" i="31"/>
  <c r="T58" i="31"/>
  <c r="S58" i="31"/>
  <c r="T32" i="31"/>
  <c r="S32" i="31"/>
  <c r="S502" i="31"/>
  <c r="S506" i="31"/>
  <c r="S514" i="31"/>
  <c r="S450" i="31"/>
  <c r="S110" i="31"/>
  <c r="S102" i="31"/>
  <c r="S84" i="31"/>
  <c r="S92" i="31"/>
  <c r="S100" i="31"/>
  <c r="S64" i="31"/>
  <c r="S72" i="31"/>
  <c r="S460" i="31"/>
  <c r="S120" i="31"/>
  <c r="S440" i="31"/>
  <c r="S130" i="31"/>
  <c r="S138" i="31"/>
  <c r="S146" i="31"/>
  <c r="S154" i="31"/>
  <c r="S162" i="31"/>
  <c r="S170" i="31"/>
  <c r="S178" i="31"/>
  <c r="S186" i="31"/>
  <c r="S194" i="31"/>
  <c r="S202" i="31"/>
  <c r="S210" i="31"/>
  <c r="S218" i="31"/>
  <c r="S428" i="31"/>
  <c r="S264" i="31"/>
  <c r="S274" i="31"/>
  <c r="S284" i="31"/>
  <c r="S296" i="31"/>
  <c r="S306" i="31"/>
  <c r="S316" i="31"/>
  <c r="S326" i="31"/>
  <c r="S336" i="31"/>
  <c r="S346" i="31"/>
  <c r="S358" i="31"/>
  <c r="S368" i="31"/>
  <c r="S378" i="31"/>
  <c r="S390" i="31"/>
  <c r="S400" i="31"/>
  <c r="S410" i="31"/>
  <c r="S422" i="31"/>
  <c r="D116" i="43"/>
  <c r="E116" i="43" s="1"/>
  <c r="F116" i="43" s="1"/>
  <c r="G116" i="43" s="1"/>
  <c r="H116" i="43" s="1"/>
  <c r="B116" i="43"/>
  <c r="C116" i="43" s="1"/>
  <c r="B117" i="43"/>
  <c r="C117" i="43" s="1"/>
  <c r="C105" i="43"/>
  <c r="K103" i="43"/>
  <c r="D105" i="43"/>
  <c r="L104" i="43"/>
  <c r="H63" i="43"/>
  <c r="G63" i="43" s="1"/>
  <c r="H59" i="43"/>
  <c r="G59" i="43" s="1"/>
  <c r="H67" i="43"/>
  <c r="G67" i="43" s="1"/>
  <c r="H64" i="43"/>
  <c r="G64" i="43" s="1"/>
  <c r="H61" i="43"/>
  <c r="G61" i="43" s="1"/>
  <c r="H65" i="43"/>
  <c r="G65" i="43" s="1"/>
  <c r="H60" i="43"/>
  <c r="G60" i="43" s="1"/>
  <c r="H66" i="43"/>
  <c r="G66" i="43" s="1"/>
  <c r="G15" i="47"/>
  <c r="H84" i="43"/>
  <c r="F70" i="43"/>
  <c r="H70" i="43" s="1"/>
  <c r="H86" i="43"/>
  <c r="H81" i="43"/>
  <c r="D80" i="57"/>
  <c r="D78" i="9"/>
  <c r="A8" i="52"/>
  <c r="B65" i="60" s="1"/>
  <c r="D42" i="50"/>
  <c r="D43" i="50" s="1"/>
  <c r="F13" i="59"/>
  <c r="F12" i="59" s="1"/>
  <c r="F11" i="59" s="1"/>
  <c r="F10" i="59" s="1"/>
  <c r="V14" i="59"/>
  <c r="C13" i="59"/>
  <c r="D14" i="59"/>
  <c r="T14" i="59"/>
  <c r="B13" i="59"/>
  <c r="B12" i="59" s="1"/>
  <c r="B11" i="59" s="1"/>
  <c r="B10" i="59" s="1"/>
  <c r="S14" i="59"/>
  <c r="D15" i="59"/>
  <c r="AB23" i="37"/>
  <c r="U23" i="37"/>
  <c r="S23" i="37"/>
  <c r="AA23" i="37"/>
  <c r="W40" i="40"/>
  <c r="F15" i="47"/>
  <c r="B13" i="47" s="1"/>
  <c r="W9" i="37"/>
  <c r="AC9" i="37"/>
  <c r="W13" i="39"/>
  <c r="AC13" i="39"/>
  <c r="W30" i="34"/>
  <c r="AC30" i="34"/>
  <c r="U30" i="34"/>
  <c r="AB30" i="34"/>
  <c r="AA12" i="21"/>
  <c r="S12" i="21"/>
  <c r="AB10" i="33"/>
  <c r="U14" i="21"/>
  <c r="S26" i="33"/>
  <c r="AB12" i="33"/>
  <c r="S38" i="39"/>
  <c r="H39" i="37"/>
  <c r="J45" i="39"/>
  <c r="H12" i="21"/>
  <c r="J12" i="21"/>
  <c r="H23" i="35"/>
  <c r="J23" i="35"/>
  <c r="H9" i="36"/>
  <c r="J9" i="36"/>
  <c r="F9" i="36"/>
  <c r="F21" i="59"/>
  <c r="F20" i="59" s="1"/>
  <c r="V22" i="59"/>
  <c r="B21" i="59"/>
  <c r="B20" i="59" s="1"/>
  <c r="S22" i="59"/>
  <c r="C58" i="59"/>
  <c r="D57" i="59"/>
  <c r="D4" i="47"/>
  <c r="F4" i="47" s="1"/>
  <c r="B2" i="47" s="1"/>
  <c r="T38" i="59"/>
  <c r="D38" i="59"/>
  <c r="T34" i="59"/>
  <c r="D34" i="59"/>
  <c r="T26" i="59"/>
  <c r="D26" i="59"/>
  <c r="C50" i="59"/>
  <c r="D49" i="59"/>
  <c r="C53" i="59"/>
  <c r="D52" i="59"/>
  <c r="C30" i="58"/>
  <c r="E26" i="58" s="1"/>
  <c r="C31" i="58"/>
  <c r="C25" i="40"/>
  <c r="X31" i="59"/>
  <c r="B32" i="59"/>
  <c r="B33" i="59" s="1"/>
  <c r="B34" i="59" s="1"/>
  <c r="S34" i="59" s="1"/>
  <c r="M19" i="43"/>
  <c r="U34" i="59"/>
  <c r="S70" i="59"/>
  <c r="B69" i="59"/>
  <c r="B68" i="59" s="1"/>
  <c r="C32" i="58"/>
  <c r="U21" i="33"/>
  <c r="S25" i="40"/>
  <c r="D65" i="59"/>
  <c r="AA3" i="59"/>
  <c r="AA21" i="59"/>
  <c r="AB21" i="59"/>
  <c r="AB19" i="59"/>
  <c r="D74" i="59"/>
  <c r="E69" i="59"/>
  <c r="E68" i="59" s="1"/>
  <c r="X20" i="59"/>
  <c r="X21" i="59"/>
  <c r="X23" i="59"/>
  <c r="E24" i="59"/>
  <c r="E25" i="59" s="1"/>
  <c r="E26" i="59" s="1"/>
  <c r="U26" i="59" s="1"/>
  <c r="F24" i="59"/>
  <c r="F25" i="59" s="1"/>
  <c r="F26" i="59" s="1"/>
  <c r="V26" i="59" s="1"/>
  <c r="X27" i="59"/>
  <c r="E28" i="59"/>
  <c r="E29" i="59" s="1"/>
  <c r="E30" i="59" s="1"/>
  <c r="U30" i="59" s="1"/>
  <c r="F28" i="59"/>
  <c r="F29" i="59" s="1"/>
  <c r="F30" i="59" s="1"/>
  <c r="V30" i="59" s="1"/>
  <c r="F32" i="59"/>
  <c r="F33" i="59" s="1"/>
  <c r="F34" i="59" s="1"/>
  <c r="V34" i="59" s="1"/>
  <c r="B53" i="59"/>
  <c r="B54" i="59" s="1"/>
  <c r="S54" i="59" s="1"/>
  <c r="V70" i="59"/>
  <c r="F69" i="59"/>
  <c r="F68" i="59" s="1"/>
  <c r="Y31" i="59"/>
  <c r="Z31" i="59" s="1"/>
  <c r="X16" i="59"/>
  <c r="AA13" i="59"/>
  <c r="X15" i="59"/>
  <c r="X11" i="59"/>
  <c r="AB10" i="59"/>
  <c r="Y12" i="59"/>
  <c r="Z12" i="59" s="1"/>
  <c r="Y7" i="59"/>
  <c r="Z7" i="59" s="1"/>
  <c r="AB5" i="59"/>
  <c r="AA32" i="59"/>
  <c r="P62" i="59"/>
  <c r="AA15" i="59"/>
  <c r="AA18" i="59"/>
  <c r="E9" i="59"/>
  <c r="E8" i="59" s="1"/>
  <c r="E7" i="59" s="1"/>
  <c r="E6" i="59" s="1"/>
  <c r="U10" i="59"/>
  <c r="Y18" i="59"/>
  <c r="Z18" i="59" s="1"/>
  <c r="AB16" i="59"/>
  <c r="AB15" i="59"/>
  <c r="Y15" i="59"/>
  <c r="Z15" i="59" s="1"/>
  <c r="Y13" i="59"/>
  <c r="Z13" i="59" s="1"/>
  <c r="AB11" i="59"/>
  <c r="AA11" i="59"/>
  <c r="AA10" i="59"/>
  <c r="Y17" i="59"/>
  <c r="Z17" i="59" s="1"/>
  <c r="X9" i="59"/>
  <c r="AA9" i="59"/>
  <c r="AB6" i="59"/>
  <c r="Y6" i="59"/>
  <c r="Z6" i="59" s="1"/>
  <c r="AA5" i="59"/>
  <c r="AA6" i="59"/>
  <c r="X6" i="59"/>
  <c r="X7" i="59"/>
  <c r="B15" i="50"/>
  <c r="V18" i="59"/>
  <c r="X18" i="59"/>
  <c r="Y11" i="59"/>
  <c r="Z11" i="59" s="1"/>
  <c r="Y9" i="59"/>
  <c r="Z9" i="59" s="1"/>
  <c r="AB9" i="59"/>
  <c r="AB7" i="59"/>
  <c r="AB8" i="59"/>
  <c r="Y5" i="59"/>
  <c r="Z5" i="59" s="1"/>
  <c r="Y8" i="59"/>
  <c r="Z8" i="59" s="1"/>
  <c r="AA7" i="59"/>
  <c r="AA8" i="59"/>
  <c r="X5" i="59"/>
  <c r="X8" i="59"/>
  <c r="E5" i="59"/>
  <c r="U6" i="59"/>
  <c r="D18" i="50"/>
  <c r="B31" i="60" s="1"/>
  <c r="A10" i="52"/>
  <c r="B66" i="60" s="1"/>
  <c r="C14" i="15"/>
  <c r="D12" i="52"/>
  <c r="H76" i="43"/>
  <c r="H75" i="43"/>
  <c r="G26" i="47"/>
  <c r="H62" i="43"/>
  <c r="G62" i="43" s="1"/>
  <c r="H88" i="43"/>
  <c r="H83" i="43"/>
  <c r="H82" i="43"/>
  <c r="H54" i="43"/>
  <c r="H51" i="43"/>
  <c r="B20" i="60"/>
  <c r="C18" i="50"/>
  <c r="L108" i="57"/>
  <c r="AA8" i="37"/>
  <c r="AC8" i="37"/>
  <c r="AC36" i="37"/>
  <c r="S36" i="37"/>
  <c r="S30" i="37"/>
  <c r="W31" i="37"/>
  <c r="AA29" i="37"/>
  <c r="D68" i="39"/>
  <c r="E68" i="39" s="1"/>
  <c r="F68" i="39" s="1"/>
  <c r="C21" i="50"/>
  <c r="M17" i="15"/>
  <c r="F15" i="48"/>
  <c r="H15" i="48" s="1"/>
  <c r="B14" i="48"/>
  <c r="D14" i="48" s="1"/>
  <c r="F13" i="48"/>
  <c r="H13" i="48" s="1"/>
  <c r="F14" i="48"/>
  <c r="H14" i="48" s="1"/>
  <c r="H14" i="62"/>
  <c r="B7" i="62" s="1"/>
  <c r="L60" i="15"/>
  <c r="Q72" i="15" s="1"/>
  <c r="F126" i="57"/>
  <c r="C10" i="11"/>
  <c r="E13" i="1" s="1"/>
  <c r="C8" i="11" s="1"/>
  <c r="B103" i="9"/>
  <c r="C40" i="11"/>
  <c r="C47" i="11" s="1"/>
  <c r="D45" i="11" s="1"/>
  <c r="M18" i="15"/>
  <c r="J18" i="15" s="1"/>
  <c r="F55" i="57"/>
  <c r="F52" i="9"/>
  <c r="F32" i="15"/>
  <c r="F61" i="15" s="1"/>
  <c r="F50" i="57"/>
  <c r="P54" i="57" s="1"/>
  <c r="F56" i="57"/>
  <c r="F54" i="9"/>
  <c r="F53" i="9"/>
  <c r="D70" i="57"/>
  <c r="F31" i="12"/>
  <c r="F48" i="9"/>
  <c r="P52" i="9" s="1"/>
  <c r="F30" i="11"/>
  <c r="F48" i="11" s="1"/>
  <c r="F28" i="15"/>
  <c r="C28" i="15" s="1"/>
  <c r="F54" i="57"/>
  <c r="D68" i="9"/>
  <c r="C19" i="11"/>
  <c r="B105" i="57"/>
  <c r="C118" i="57"/>
  <c r="H114" i="57" s="1"/>
  <c r="C116" i="57"/>
  <c r="H112" i="57" s="1"/>
  <c r="C17" i="12"/>
  <c r="B36" i="50"/>
  <c r="B56" i="60"/>
  <c r="H53" i="43"/>
  <c r="N60" i="15"/>
  <c r="C12" i="12"/>
  <c r="C16" i="12" s="1"/>
  <c r="G17" i="43"/>
  <c r="C16" i="43" s="1"/>
  <c r="C5" i="43" s="1"/>
  <c r="J20" i="15"/>
  <c r="C6" i="15"/>
  <c r="F51" i="15"/>
  <c r="D63" i="40"/>
  <c r="C65" i="40"/>
  <c r="D127" i="9"/>
  <c r="H52" i="43"/>
  <c r="H56" i="43"/>
  <c r="C63" i="15"/>
  <c r="G118" i="43"/>
  <c r="H118" i="43" s="1"/>
  <c r="I117" i="43"/>
  <c r="J117" i="43" s="1"/>
  <c r="K117" i="43" s="1"/>
  <c r="L117" i="43" s="1"/>
  <c r="M117" i="43" s="1"/>
  <c r="M106" i="43"/>
  <c r="M102" i="43"/>
  <c r="I105" i="43"/>
  <c r="I109" i="43"/>
  <c r="E104" i="43"/>
  <c r="E107" i="43"/>
  <c r="N103" i="43"/>
  <c r="J106" i="43"/>
  <c r="F105" i="43"/>
  <c r="F109" i="43"/>
  <c r="N104" i="43"/>
  <c r="I106" i="43"/>
  <c r="B118" i="43"/>
  <c r="C118" i="43" s="1"/>
  <c r="I116" i="43"/>
  <c r="J116" i="43" s="1"/>
  <c r="K116" i="43" s="1"/>
  <c r="L116" i="43" s="1"/>
  <c r="M116" i="43" s="1"/>
  <c r="I115" i="43"/>
  <c r="J115" i="43" s="1"/>
  <c r="K115" i="43" s="1"/>
  <c r="L115" i="43" s="1"/>
  <c r="M115" i="43" s="1"/>
  <c r="E70" i="39"/>
  <c r="C35" i="11"/>
  <c r="C38" i="11"/>
  <c r="C79" i="57"/>
  <c r="C76" i="57" s="1"/>
  <c r="C24" i="12"/>
  <c r="C29" i="12" s="1"/>
  <c r="D28" i="12" s="1"/>
  <c r="C77" i="9"/>
  <c r="C74" i="9" s="1"/>
  <c r="G52" i="37"/>
  <c r="H52" i="37" s="1"/>
  <c r="I52" i="37" s="1"/>
  <c r="J52" i="37" s="1"/>
  <c r="K52" i="37" s="1"/>
  <c r="L52" i="37" s="1"/>
  <c r="M52" i="37" s="1"/>
  <c r="N52" i="37" s="1"/>
  <c r="O52" i="37" s="1"/>
  <c r="H7" i="37"/>
  <c r="AB7" i="37" s="1"/>
  <c r="T42" i="37" s="1"/>
  <c r="G42" i="37" s="1"/>
  <c r="G46" i="37" s="1"/>
  <c r="H46" i="37" s="1"/>
  <c r="F31" i="15"/>
  <c r="H48" i="43"/>
  <c r="H49" i="43"/>
  <c r="H55" i="43"/>
  <c r="J7" i="33"/>
  <c r="W7" i="33" s="1"/>
  <c r="F7" i="37"/>
  <c r="S7" i="37" s="1"/>
  <c r="B13" i="1"/>
  <c r="I48" i="35"/>
  <c r="J48" i="35" s="1"/>
  <c r="K48" i="35" s="1"/>
  <c r="L48" i="35" s="1"/>
  <c r="M48" i="35" s="1"/>
  <c r="N48" i="35" s="1"/>
  <c r="O48" i="35" s="1"/>
  <c r="D59" i="34"/>
  <c r="D46" i="36"/>
  <c r="G115" i="43"/>
  <c r="H115" i="43" s="1"/>
  <c r="E58" i="21"/>
  <c r="H72" i="43"/>
  <c r="H74" i="43"/>
  <c r="H77" i="43"/>
  <c r="F102" i="43"/>
  <c r="F107" i="43"/>
  <c r="J103" i="43"/>
  <c r="J109" i="43"/>
  <c r="M103" i="43"/>
  <c r="M105" i="43"/>
  <c r="E22" i="43"/>
  <c r="D22" i="43" s="1"/>
  <c r="C21" i="43" s="1"/>
  <c r="H22" i="43"/>
  <c r="B39" i="50"/>
  <c r="B57" i="60"/>
  <c r="H7" i="33"/>
  <c r="J7" i="37"/>
  <c r="H7" i="35"/>
  <c r="F7" i="33"/>
  <c r="C15" i="15"/>
  <c r="J105" i="43"/>
  <c r="I107" i="43"/>
  <c r="H71" i="43"/>
  <c r="I104" i="43"/>
  <c r="E103" i="43"/>
  <c r="D107" i="43"/>
  <c r="D109" i="43"/>
  <c r="D104" i="43"/>
  <c r="D106" i="43"/>
  <c r="H109" i="43"/>
  <c r="H106" i="43"/>
  <c r="H105" i="43"/>
  <c r="H103" i="43"/>
  <c r="L107" i="43"/>
  <c r="L103" i="43"/>
  <c r="L105" i="43"/>
  <c r="L106" i="43"/>
  <c r="L102" i="43"/>
  <c r="C109" i="43"/>
  <c r="C102" i="43"/>
  <c r="S7" i="43" s="1"/>
  <c r="C106" i="43"/>
  <c r="C107" i="43"/>
  <c r="C103" i="43"/>
  <c r="G107" i="43"/>
  <c r="G109" i="43"/>
  <c r="G106" i="43"/>
  <c r="G102" i="43"/>
  <c r="K109" i="43"/>
  <c r="K104" i="43"/>
  <c r="K102" i="43"/>
  <c r="K105" i="43"/>
  <c r="A4" i="52"/>
  <c r="A6" i="54"/>
  <c r="B7" i="60" s="1"/>
  <c r="A4" i="54"/>
  <c r="B6" i="60" s="1"/>
  <c r="A121" i="9"/>
  <c r="C13" i="50"/>
  <c r="C92" i="9"/>
  <c r="C94" i="9"/>
  <c r="C109" i="9"/>
  <c r="H106" i="9" s="1"/>
  <c r="C111" i="9"/>
  <c r="H108" i="9" s="1"/>
  <c r="H105" i="9"/>
  <c r="C110" i="9"/>
  <c r="H107" i="9" s="1"/>
  <c r="D21" i="50"/>
  <c r="D41" i="50"/>
  <c r="B63" i="60" s="1"/>
  <c r="C12" i="50"/>
  <c r="D126" i="57"/>
  <c r="C94" i="57"/>
  <c r="C96" i="57"/>
  <c r="C113" i="57"/>
  <c r="H108" i="57" s="1"/>
  <c r="C115" i="57"/>
  <c r="H110" i="57" s="1"/>
  <c r="C31" i="12"/>
  <c r="C23" i="12"/>
  <c r="D128" i="9"/>
  <c r="D11" i="52" s="1"/>
  <c r="D20" i="50"/>
  <c r="C34" i="15"/>
  <c r="D8" i="62"/>
  <c r="C8" i="62"/>
  <c r="C14" i="50"/>
  <c r="B5" i="48"/>
  <c r="D5" i="48" s="1"/>
  <c r="F7" i="48"/>
  <c r="H7" i="48" s="1"/>
  <c r="F11" i="48"/>
  <c r="H11" i="48" s="1"/>
  <c r="B12" i="48"/>
  <c r="D12" i="48" s="1"/>
  <c r="X10" i="59"/>
  <c r="Y10" i="59"/>
  <c r="Z10" i="59" s="1"/>
  <c r="AF3" i="59"/>
  <c r="P25" i="43" s="1"/>
  <c r="B10" i="48"/>
  <c r="D10" i="48" s="1"/>
  <c r="B7" i="48"/>
  <c r="D7" i="48" s="1"/>
  <c r="B4" i="48"/>
  <c r="D4" i="48" s="1"/>
  <c r="F4" i="48"/>
  <c r="H4" i="48" s="1"/>
  <c r="F5" i="48"/>
  <c r="H5" i="48" s="1"/>
  <c r="F6" i="48"/>
  <c r="H6" i="48" s="1"/>
  <c r="B6" i="48"/>
  <c r="D6" i="48" s="1"/>
  <c r="F8" i="48"/>
  <c r="H8" i="48" s="1"/>
  <c r="B11" i="48"/>
  <c r="D11" i="48" s="1"/>
  <c r="B13" i="48"/>
  <c r="D13" i="48" s="1"/>
  <c r="B9" i="48"/>
  <c r="F9" i="48"/>
  <c r="H9" i="48" s="1"/>
  <c r="F12" i="48"/>
  <c r="H12" i="48" s="1"/>
  <c r="B8" i="48"/>
  <c r="F10" i="48"/>
  <c r="H10" i="48" s="1"/>
  <c r="D22" i="9"/>
  <c r="C101" i="9"/>
  <c r="G19" i="9"/>
  <c r="D102" i="9"/>
  <c r="I1" i="61"/>
  <c r="B31" i="1" s="1"/>
  <c r="C102" i="9"/>
  <c r="G20" i="9"/>
  <c r="K1" i="61"/>
  <c r="D101" i="9"/>
  <c r="D6" i="61"/>
  <c r="G1" i="61"/>
  <c r="G68" i="39" l="1"/>
  <c r="F70" i="39"/>
  <c r="D70" i="39"/>
  <c r="M66" i="43"/>
  <c r="N66" i="43" s="1"/>
  <c r="K66" i="43"/>
  <c r="J66" i="43" s="1"/>
  <c r="D66" i="43" s="1"/>
  <c r="M65" i="43"/>
  <c r="N65" i="43" s="1"/>
  <c r="K65" i="43"/>
  <c r="K64" i="43"/>
  <c r="M64" i="43"/>
  <c r="N64" i="43" s="1"/>
  <c r="K59" i="43"/>
  <c r="M59" i="43"/>
  <c r="N59" i="43" s="1"/>
  <c r="U39" i="40"/>
  <c r="AB39" i="40"/>
  <c r="M62" i="43"/>
  <c r="N62" i="43" s="1"/>
  <c r="K62" i="43"/>
  <c r="K60" i="43"/>
  <c r="M60" i="43"/>
  <c r="N60" i="43" s="1"/>
  <c r="M61" i="43"/>
  <c r="N61" i="43" s="1"/>
  <c r="K61" i="43"/>
  <c r="M67" i="43"/>
  <c r="N67" i="43" s="1"/>
  <c r="K67" i="43"/>
  <c r="K63" i="43"/>
  <c r="J63" i="43" s="1"/>
  <c r="M63" i="43"/>
  <c r="N63" i="43" s="1"/>
  <c r="B125" i="57"/>
  <c r="H103" i="57"/>
  <c r="P61" i="59"/>
  <c r="E60" i="59"/>
  <c r="D28" i="59"/>
  <c r="C29" i="59"/>
  <c r="S39" i="40"/>
  <c r="AA39" i="40"/>
  <c r="D8" i="48"/>
  <c r="C3" i="4"/>
  <c r="B4" i="55" s="1"/>
  <c r="B53" i="60" s="1"/>
  <c r="C32" i="9"/>
  <c r="C18" i="12"/>
  <c r="H73" i="43"/>
  <c r="H78" i="43"/>
  <c r="D19" i="50"/>
  <c r="B32" i="60" s="1"/>
  <c r="T58" i="59"/>
  <c r="D58" i="59"/>
  <c r="AC9" i="36"/>
  <c r="W9" i="36"/>
  <c r="AC23" i="35"/>
  <c r="W23" i="35"/>
  <c r="AC12" i="21"/>
  <c r="W12" i="21"/>
  <c r="W45" i="39"/>
  <c r="AC45" i="39"/>
  <c r="B9" i="59"/>
  <c r="B8" i="59" s="1"/>
  <c r="B7" i="59" s="1"/>
  <c r="B6" i="59" s="1"/>
  <c r="S10" i="59"/>
  <c r="F7" i="35"/>
  <c r="C54" i="59"/>
  <c r="D53" i="59"/>
  <c r="T50" i="59"/>
  <c r="D50" i="59"/>
  <c r="AA9" i="36"/>
  <c r="S9" i="36"/>
  <c r="AB9" i="36"/>
  <c r="U9" i="36"/>
  <c r="U23" i="35"/>
  <c r="AB23" i="35"/>
  <c r="AB12" i="21"/>
  <c r="U12" i="21"/>
  <c r="AB39" i="37"/>
  <c r="U39" i="37"/>
  <c r="C12" i="59"/>
  <c r="D13" i="59"/>
  <c r="F9" i="59"/>
  <c r="F8" i="59" s="1"/>
  <c r="F7" i="59" s="1"/>
  <c r="F6" i="59" s="1"/>
  <c r="V10" i="59"/>
  <c r="C18" i="15"/>
  <c r="C16" i="15"/>
  <c r="J7" i="35"/>
  <c r="C30" i="11"/>
  <c r="C48" i="11"/>
  <c r="C32" i="15"/>
  <c r="E27" i="1"/>
  <c r="D5" i="43"/>
  <c r="Q59" i="15"/>
  <c r="C21" i="12"/>
  <c r="C22" i="12" s="1"/>
  <c r="C30" i="12" s="1"/>
  <c r="C28" i="12" s="1"/>
  <c r="C33" i="11"/>
  <c r="C39" i="11" s="1"/>
  <c r="C46" i="11" s="1"/>
  <c r="C45" i="11" s="1"/>
  <c r="D9" i="48"/>
  <c r="E3" i="4"/>
  <c r="D7" i="62"/>
  <c r="C7" i="62"/>
  <c r="U7" i="37"/>
  <c r="C50" i="15"/>
  <c r="F60" i="15"/>
  <c r="AC7" i="33"/>
  <c r="V48" i="33" s="1"/>
  <c r="I48" i="33" s="1"/>
  <c r="I52" i="33" s="1"/>
  <c r="J52" i="33" s="1"/>
  <c r="D113" i="43"/>
  <c r="D65" i="40"/>
  <c r="E63" i="40"/>
  <c r="AA7" i="37"/>
  <c r="R42" i="37" s="1"/>
  <c r="R43" i="37" s="1"/>
  <c r="L49" i="15"/>
  <c r="I20" i="43"/>
  <c r="B14" i="1"/>
  <c r="AC7" i="37"/>
  <c r="V42" i="37" s="1"/>
  <c r="I42" i="37" s="1"/>
  <c r="W7" i="37"/>
  <c r="AB7" i="33"/>
  <c r="T48" i="33" s="1"/>
  <c r="G48" i="33" s="1"/>
  <c r="U7" i="33"/>
  <c r="F58" i="21"/>
  <c r="E59" i="34"/>
  <c r="S7" i="35"/>
  <c r="AA7" i="35"/>
  <c r="R38" i="35" s="1"/>
  <c r="AA7" i="33"/>
  <c r="R48" i="33" s="1"/>
  <c r="S7" i="33"/>
  <c r="S4" i="43"/>
  <c r="S6" i="43"/>
  <c r="S5" i="43"/>
  <c r="C23" i="43"/>
  <c r="AB7" i="35"/>
  <c r="T38" i="35" s="1"/>
  <c r="G38" i="35" s="1"/>
  <c r="U7" i="35"/>
  <c r="S3" i="43"/>
  <c r="S2" i="43"/>
  <c r="E46" i="36"/>
  <c r="F46" i="36" s="1"/>
  <c r="G46" i="36" s="1"/>
  <c r="H46" i="36" s="1"/>
  <c r="I46" i="36" s="1"/>
  <c r="J46" i="36" s="1"/>
  <c r="K46" i="36" s="1"/>
  <c r="L46" i="36" s="1"/>
  <c r="M46" i="36" s="1"/>
  <c r="N46" i="36" s="1"/>
  <c r="O46" i="36" s="1"/>
  <c r="E42" i="37"/>
  <c r="AC7" i="35"/>
  <c r="V38" i="35" s="1"/>
  <c r="I38" i="35" s="1"/>
  <c r="W7" i="35"/>
  <c r="D22" i="50"/>
  <c r="B35" i="60" s="1"/>
  <c r="B33" i="60"/>
  <c r="C19" i="43"/>
  <c r="P24" i="43"/>
  <c r="B66" i="40" s="1"/>
  <c r="P21" i="43"/>
  <c r="B71" i="39" s="1"/>
  <c r="P23" i="43"/>
  <c r="P22" i="43"/>
  <c r="P28" i="43"/>
  <c r="N28" i="43"/>
  <c r="M28" i="43"/>
  <c r="O28" i="43"/>
  <c r="G20" i="43" s="1"/>
  <c r="E41" i="43" s="1"/>
  <c r="C41" i="43" s="1"/>
  <c r="F11" i="15"/>
  <c r="M11" i="15"/>
  <c r="J10" i="15" s="1"/>
  <c r="J5" i="15" s="1"/>
  <c r="G70" i="39" l="1"/>
  <c r="H68" i="39"/>
  <c r="C30" i="59"/>
  <c r="D29" i="59"/>
  <c r="P59" i="59"/>
  <c r="P60" i="59"/>
  <c r="J67" i="43"/>
  <c r="D67" i="43"/>
  <c r="J61" i="43"/>
  <c r="D61" i="43"/>
  <c r="J62" i="43"/>
  <c r="D62" i="43"/>
  <c r="J65" i="43"/>
  <c r="D65" i="43"/>
  <c r="G125" i="57"/>
  <c r="E125" i="57"/>
  <c r="J60" i="43"/>
  <c r="D60" i="43"/>
  <c r="J59" i="43"/>
  <c r="D59" i="43"/>
  <c r="J64" i="43"/>
  <c r="D64" i="43"/>
  <c r="C19" i="15"/>
  <c r="C20" i="15" s="1"/>
  <c r="C26" i="15" s="1"/>
  <c r="J7" i="36"/>
  <c r="AC7" i="36" s="1"/>
  <c r="V36" i="36" s="1"/>
  <c r="I36" i="36" s="1"/>
  <c r="F5" i="59"/>
  <c r="V6" i="59"/>
  <c r="C11" i="59"/>
  <c r="D12" i="59"/>
  <c r="T54" i="59"/>
  <c r="D54" i="59"/>
  <c r="B5" i="59"/>
  <c r="S6" i="59"/>
  <c r="H7" i="36"/>
  <c r="C20" i="43"/>
  <c r="B5" i="55"/>
  <c r="B55" i="60" s="1"/>
  <c r="B18" i="49"/>
  <c r="B4" i="60" s="1"/>
  <c r="E65" i="40"/>
  <c r="F63" i="40"/>
  <c r="H10" i="39"/>
  <c r="H10" i="40"/>
  <c r="J10" i="39"/>
  <c r="F10" i="40"/>
  <c r="J10" i="40"/>
  <c r="F10" i="39"/>
  <c r="I55" i="15"/>
  <c r="J58" i="15"/>
  <c r="J56" i="15" s="1"/>
  <c r="J59" i="15" s="1"/>
  <c r="Q48" i="15" s="1"/>
  <c r="L59" i="15"/>
  <c r="L57" i="15"/>
  <c r="J54" i="15"/>
  <c r="E46" i="37"/>
  <c r="F46" i="37" s="1"/>
  <c r="E47" i="37"/>
  <c r="F47" i="37" s="1"/>
  <c r="W7" i="36"/>
  <c r="G42" i="35"/>
  <c r="H42" i="35" s="1"/>
  <c r="G43" i="35"/>
  <c r="H43" i="35" s="1"/>
  <c r="R49" i="33"/>
  <c r="E48" i="33"/>
  <c r="F7" i="36"/>
  <c r="I42" i="35"/>
  <c r="J42" i="35" s="1"/>
  <c r="C43" i="37"/>
  <c r="B2" i="37" s="1"/>
  <c r="B3" i="37" s="1"/>
  <c r="C42" i="37"/>
  <c r="AB7" i="36"/>
  <c r="T36" i="36" s="1"/>
  <c r="G36" i="36" s="1"/>
  <c r="U7" i="36"/>
  <c r="R39" i="35"/>
  <c r="E38" i="35"/>
  <c r="I43" i="35" s="1"/>
  <c r="J43" i="35" s="1"/>
  <c r="F59" i="34"/>
  <c r="G58" i="21"/>
  <c r="G52" i="33"/>
  <c r="H52" i="33" s="1"/>
  <c r="G53" i="33"/>
  <c r="H53" i="33" s="1"/>
  <c r="I46" i="37"/>
  <c r="J46" i="37" s="1"/>
  <c r="I47" i="37"/>
  <c r="J47" i="37" s="1"/>
  <c r="G47" i="37"/>
  <c r="H47" i="37" s="1"/>
  <c r="C10" i="15"/>
  <c r="C5" i="15" s="1"/>
  <c r="C54" i="15"/>
  <c r="C49" i="15" s="1"/>
  <c r="J24" i="15"/>
  <c r="J26" i="15"/>
  <c r="F22" i="11"/>
  <c r="F41" i="11" s="1"/>
  <c r="F24" i="15"/>
  <c r="F25" i="12"/>
  <c r="H70" i="39" l="1"/>
  <c r="I68" i="39"/>
  <c r="E59" i="43"/>
  <c r="B57" i="43" s="1"/>
  <c r="C24" i="43" s="1"/>
  <c r="C29" i="43" s="1"/>
  <c r="D30" i="59"/>
  <c r="T30" i="59"/>
  <c r="D11" i="59"/>
  <c r="C10" i="59"/>
  <c r="C36" i="43"/>
  <c r="E36" i="43" s="1"/>
  <c r="T5" i="43"/>
  <c r="V5" i="43" s="1"/>
  <c r="C35" i="43"/>
  <c r="G35" i="43" s="1"/>
  <c r="I35" i="43" s="1"/>
  <c r="T12" i="43"/>
  <c r="V12" i="43" s="1"/>
  <c r="C37" i="43"/>
  <c r="E37" i="43" s="1"/>
  <c r="T16" i="43"/>
  <c r="V16" i="43" s="1"/>
  <c r="T4" i="43"/>
  <c r="V4" i="43" s="1"/>
  <c r="T14" i="43"/>
  <c r="V14" i="43" s="1"/>
  <c r="C34" i="43"/>
  <c r="G34" i="43" s="1"/>
  <c r="I34" i="43" s="1"/>
  <c r="T15" i="43"/>
  <c r="V15" i="43" s="1"/>
  <c r="F65" i="40"/>
  <c r="G63" i="40"/>
  <c r="AA10" i="39"/>
  <c r="S10" i="39"/>
  <c r="S10" i="40"/>
  <c r="AA10" i="40"/>
  <c r="AB10" i="40"/>
  <c r="U10" i="40"/>
  <c r="Q50" i="15"/>
  <c r="B34" i="1"/>
  <c r="F41" i="15" s="1"/>
  <c r="F70" i="15" s="1"/>
  <c r="Q58" i="15"/>
  <c r="Q71" i="15"/>
  <c r="W10" i="40"/>
  <c r="AC10" i="40"/>
  <c r="W10" i="39"/>
  <c r="AC10" i="39"/>
  <c r="U10" i="39"/>
  <c r="AB10" i="39"/>
  <c r="E42" i="35"/>
  <c r="F42" i="35" s="1"/>
  <c r="E43" i="35"/>
  <c r="F43" i="35" s="1"/>
  <c r="AA7" i="36"/>
  <c r="R36" i="36" s="1"/>
  <c r="S7" i="36"/>
  <c r="E53" i="33"/>
  <c r="F53" i="33" s="1"/>
  <c r="E52" i="33"/>
  <c r="F52" i="33" s="1"/>
  <c r="I53" i="33"/>
  <c r="J53" i="33" s="1"/>
  <c r="I40" i="36"/>
  <c r="J40" i="36" s="1"/>
  <c r="H58" i="21"/>
  <c r="G59" i="34"/>
  <c r="C38" i="35"/>
  <c r="C39" i="35"/>
  <c r="G41" i="36"/>
  <c r="H41" i="36" s="1"/>
  <c r="G40" i="36"/>
  <c r="H40" i="36" s="1"/>
  <c r="C48" i="33"/>
  <c r="C49" i="33"/>
  <c r="B2" i="33" s="1"/>
  <c r="B3" i="33" s="1"/>
  <c r="C27" i="12"/>
  <c r="C25" i="12" s="1"/>
  <c r="C26" i="12"/>
  <c r="D25" i="12" s="1"/>
  <c r="C23" i="15"/>
  <c r="C24" i="15"/>
  <c r="C43" i="11"/>
  <c r="C44" i="11"/>
  <c r="D41" i="11" s="1"/>
  <c r="C42" i="11"/>
  <c r="C26" i="11"/>
  <c r="D22" i="11" s="1"/>
  <c r="C24" i="11"/>
  <c r="C61" i="15"/>
  <c r="C67" i="15"/>
  <c r="C38" i="15"/>
  <c r="J68" i="39" l="1"/>
  <c r="I70" i="39"/>
  <c r="C30" i="43"/>
  <c r="E30" i="43" s="1"/>
  <c r="E29" i="43"/>
  <c r="T2" i="43"/>
  <c r="V2" i="43" s="1"/>
  <c r="T10" i="43"/>
  <c r="V10" i="43" s="1"/>
  <c r="T7" i="43"/>
  <c r="V7" i="43" s="1"/>
  <c r="T3" i="43"/>
  <c r="V3" i="43" s="1"/>
  <c r="T13" i="43"/>
  <c r="V13" i="43" s="1"/>
  <c r="T11" i="43"/>
  <c r="V11" i="43" s="1"/>
  <c r="T8" i="43"/>
  <c r="V8" i="43" s="1"/>
  <c r="C33" i="43"/>
  <c r="G33" i="43" s="1"/>
  <c r="I33" i="43" s="1"/>
  <c r="T9" i="43"/>
  <c r="V9" i="43" s="1"/>
  <c r="T6" i="43"/>
  <c r="V6" i="43" s="1"/>
  <c r="C38" i="43"/>
  <c r="C39" i="43"/>
  <c r="C9" i="59"/>
  <c r="T10" i="59"/>
  <c r="D10" i="59"/>
  <c r="E33" i="43"/>
  <c r="G36" i="43"/>
  <c r="I36" i="43" s="1"/>
  <c r="E35" i="43"/>
  <c r="E34" i="43"/>
  <c r="G37" i="43"/>
  <c r="I37" i="43" s="1"/>
  <c r="G65" i="40"/>
  <c r="H63" i="40"/>
  <c r="J29" i="15"/>
  <c r="B3" i="35"/>
  <c r="B2" i="35"/>
  <c r="H59" i="34"/>
  <c r="R37" i="36"/>
  <c r="E36" i="36"/>
  <c r="I58" i="21"/>
  <c r="C41" i="11"/>
  <c r="C49" i="11" s="1"/>
  <c r="C51" i="11" s="1"/>
  <c r="C29" i="15"/>
  <c r="J14" i="15" s="1"/>
  <c r="C32" i="12"/>
  <c r="J70" i="39" l="1"/>
  <c r="K68" i="39"/>
  <c r="G39" i="43"/>
  <c r="I39" i="43" s="1"/>
  <c r="E39" i="43"/>
  <c r="G38" i="43"/>
  <c r="I38" i="43" s="1"/>
  <c r="E38" i="43"/>
  <c r="C8" i="59"/>
  <c r="D9" i="59"/>
  <c r="C27" i="43"/>
  <c r="C26" i="43"/>
  <c r="B2" i="43" s="1"/>
  <c r="N51" i="57"/>
  <c r="I63" i="40"/>
  <c r="H65" i="40"/>
  <c r="J58" i="21"/>
  <c r="K58" i="21" s="1"/>
  <c r="L58" i="21" s="1"/>
  <c r="M58" i="21" s="1"/>
  <c r="N58" i="21" s="1"/>
  <c r="O58" i="21" s="1"/>
  <c r="J7" i="21"/>
  <c r="F7" i="21"/>
  <c r="E40" i="36"/>
  <c r="F40" i="36" s="1"/>
  <c r="E41" i="36"/>
  <c r="F41" i="36" s="1"/>
  <c r="I41" i="36"/>
  <c r="J41" i="36" s="1"/>
  <c r="I59" i="34"/>
  <c r="H7" i="21"/>
  <c r="C36" i="36"/>
  <c r="C37" i="36"/>
  <c r="B2" i="36" s="1"/>
  <c r="B3" i="36" s="1"/>
  <c r="J60" i="15"/>
  <c r="J61" i="15" s="1"/>
  <c r="J19" i="15"/>
  <c r="J17" i="15" s="1"/>
  <c r="C33" i="15"/>
  <c r="C31" i="15" s="1"/>
  <c r="C58" i="15"/>
  <c r="C62" i="15" s="1"/>
  <c r="C13" i="15"/>
  <c r="J34" i="15" s="1"/>
  <c r="Q47" i="15"/>
  <c r="C36" i="15"/>
  <c r="J13" i="15"/>
  <c r="J23" i="15" s="1"/>
  <c r="J22" i="15"/>
  <c r="B2" i="12"/>
  <c r="B3" i="12"/>
  <c r="K70" i="39" l="1"/>
  <c r="L68" i="39"/>
  <c r="B3" i="43"/>
  <c r="C6" i="11"/>
  <c r="C7" i="59"/>
  <c r="D8" i="59"/>
  <c r="C65" i="15"/>
  <c r="M70" i="57"/>
  <c r="N70" i="57" s="1"/>
  <c r="M69" i="57"/>
  <c r="N69" i="57" s="1"/>
  <c r="M68" i="57"/>
  <c r="N68" i="57" s="1"/>
  <c r="M67" i="57"/>
  <c r="N67" i="57" s="1"/>
  <c r="M65" i="57"/>
  <c r="N65" i="57" s="1"/>
  <c r="M66" i="57"/>
  <c r="N66" i="57" s="1"/>
  <c r="J63" i="40"/>
  <c r="I65" i="40"/>
  <c r="AB7" i="21"/>
  <c r="T48" i="21" s="1"/>
  <c r="G48" i="21" s="1"/>
  <c r="U7" i="21"/>
  <c r="AC7" i="21"/>
  <c r="V48" i="21" s="1"/>
  <c r="I48" i="21" s="1"/>
  <c r="W7" i="21"/>
  <c r="J59" i="34"/>
  <c r="S7" i="21"/>
  <c r="AA7" i="21"/>
  <c r="R48" i="21" s="1"/>
  <c r="Q46" i="15"/>
  <c r="C60" i="15"/>
  <c r="C57" i="15"/>
  <c r="C66" i="15" s="1"/>
  <c r="C37" i="15"/>
  <c r="C30" i="15" s="1"/>
  <c r="C39" i="15" s="1"/>
  <c r="Q68" i="15"/>
  <c r="J16" i="15"/>
  <c r="J25" i="15" s="1"/>
  <c r="L70" i="39" l="1"/>
  <c r="M68" i="39"/>
  <c r="C7" i="11"/>
  <c r="C5" i="11" s="1"/>
  <c r="D7" i="59"/>
  <c r="C6" i="59"/>
  <c r="N71" i="57"/>
  <c r="O71" i="57" s="1"/>
  <c r="J65" i="40"/>
  <c r="K63" i="40"/>
  <c r="G53" i="21"/>
  <c r="H53" i="21" s="1"/>
  <c r="G52" i="21"/>
  <c r="H52" i="21" s="1"/>
  <c r="K59" i="34"/>
  <c r="R49" i="21"/>
  <c r="E48" i="21"/>
  <c r="I52" i="21"/>
  <c r="J52" i="21" s="1"/>
  <c r="I53" i="21"/>
  <c r="J53" i="21" s="1"/>
  <c r="C59" i="15"/>
  <c r="C68" i="15" s="1"/>
  <c r="C69" i="15" s="1"/>
  <c r="C72" i="15" s="1"/>
  <c r="C40" i="15"/>
  <c r="L52" i="15" s="1"/>
  <c r="J38" i="15"/>
  <c r="J39" i="15" s="1"/>
  <c r="Q67" i="15"/>
  <c r="Q66" i="15" s="1"/>
  <c r="M70" i="39" l="1"/>
  <c r="N68" i="39"/>
  <c r="C20" i="11"/>
  <c r="C23" i="11"/>
  <c r="T6" i="59"/>
  <c r="D6" i="59"/>
  <c r="C5" i="59"/>
  <c r="D5" i="59" s="1"/>
  <c r="M20" i="43" s="1"/>
  <c r="L63" i="40"/>
  <c r="K65" i="40"/>
  <c r="E52" i="21"/>
  <c r="F52" i="21" s="1"/>
  <c r="E53" i="21"/>
  <c r="F53" i="21" s="1"/>
  <c r="C48" i="21"/>
  <c r="C49" i="21"/>
  <c r="B2" i="21" s="1"/>
  <c r="B3" i="21" s="1"/>
  <c r="L59" i="34"/>
  <c r="C47" i="15"/>
  <c r="J41" i="15"/>
  <c r="J42" i="15" s="1"/>
  <c r="Q54" i="15"/>
  <c r="C43" i="15"/>
  <c r="Q65" i="15"/>
  <c r="Q45" i="15"/>
  <c r="Q51" i="15" s="1"/>
  <c r="Q63" i="15"/>
  <c r="N70" i="39" l="1"/>
  <c r="O68" i="39"/>
  <c r="O70" i="39" s="1"/>
  <c r="C28" i="11"/>
  <c r="C27" i="11" s="1"/>
  <c r="C25" i="11"/>
  <c r="C22" i="11" s="1"/>
  <c r="D35" i="9"/>
  <c r="D34" i="9" s="1"/>
  <c r="L65" i="40"/>
  <c r="M63" i="40"/>
  <c r="M59" i="34"/>
  <c r="N59" i="34" s="1"/>
  <c r="O59" i="34" s="1"/>
  <c r="H7" i="34" s="1"/>
  <c r="L58" i="15"/>
  <c r="L61" i="15" s="1"/>
  <c r="H7" i="39" l="1"/>
  <c r="J7" i="39"/>
  <c r="F7" i="39"/>
  <c r="C31" i="11"/>
  <c r="C52" i="11" s="1"/>
  <c r="B3" i="11" s="1"/>
  <c r="Q64" i="15"/>
  <c r="Q73" i="15" s="1"/>
  <c r="L47" i="15"/>
  <c r="C35" i="9"/>
  <c r="C34" i="9" s="1"/>
  <c r="F7" i="34"/>
  <c r="S7" i="34" s="1"/>
  <c r="J7" i="34"/>
  <c r="W7" i="34" s="1"/>
  <c r="M65" i="40"/>
  <c r="N63" i="40"/>
  <c r="AB7" i="34"/>
  <c r="T49" i="34" s="1"/>
  <c r="G49" i="34" s="1"/>
  <c r="U7" i="34"/>
  <c r="Q55" i="15"/>
  <c r="Q60" i="15" s="1"/>
  <c r="D55" i="9"/>
  <c r="N53" i="9" s="1"/>
  <c r="D56" i="9"/>
  <c r="N54" i="9" s="1"/>
  <c r="D59" i="9"/>
  <c r="N55" i="9" s="1"/>
  <c r="C20" i="57"/>
  <c r="AC7" i="39" l="1"/>
  <c r="V47" i="39" s="1"/>
  <c r="I47" i="39" s="1"/>
  <c r="I51" i="39" s="1"/>
  <c r="J51" i="39" s="1"/>
  <c r="W7" i="39"/>
  <c r="S7" i="39"/>
  <c r="AA7" i="39"/>
  <c r="R47" i="39" s="1"/>
  <c r="AB7" i="39"/>
  <c r="T47" i="39" s="1"/>
  <c r="G47" i="39" s="1"/>
  <c r="U7" i="39"/>
  <c r="B2" i="11"/>
  <c r="C56" i="11"/>
  <c r="C57" i="11" s="1"/>
  <c r="C104" i="57"/>
  <c r="AA7" i="34"/>
  <c r="R49" i="34" s="1"/>
  <c r="B2" i="15"/>
  <c r="B3" i="15"/>
  <c r="AC7" i="34"/>
  <c r="V49" i="34" s="1"/>
  <c r="I49" i="34" s="1"/>
  <c r="G54" i="34" s="1"/>
  <c r="H54" i="34" s="1"/>
  <c r="E49" i="34"/>
  <c r="E53" i="34" s="1"/>
  <c r="F53" i="34" s="1"/>
  <c r="R50" i="34"/>
  <c r="O63" i="40"/>
  <c r="O65" i="40" s="1"/>
  <c r="N65" i="40"/>
  <c r="G51" i="39"/>
  <c r="H51" i="39" s="1"/>
  <c r="G52" i="39"/>
  <c r="H52" i="39" s="1"/>
  <c r="G53" i="34"/>
  <c r="H53" i="34" s="1"/>
  <c r="E54" i="34"/>
  <c r="F54" i="34" s="1"/>
  <c r="D19" i="57"/>
  <c r="C19" i="57"/>
  <c r="D20" i="57"/>
  <c r="R48" i="39" l="1"/>
  <c r="E47" i="39"/>
  <c r="C103" i="57"/>
  <c r="D104" i="57"/>
  <c r="G20" i="57"/>
  <c r="R27" i="31" s="1"/>
  <c r="D103" i="57"/>
  <c r="G19" i="57"/>
  <c r="C106" i="57" s="1"/>
  <c r="D22" i="57"/>
  <c r="I53" i="34"/>
  <c r="J53" i="34" s="1"/>
  <c r="I54" i="34"/>
  <c r="J54" i="34" s="1"/>
  <c r="C50" i="34"/>
  <c r="B2" i="34" s="1"/>
  <c r="B3" i="34" s="1"/>
  <c r="C49" i="34"/>
  <c r="H7" i="40"/>
  <c r="J7" i="40"/>
  <c r="F7" i="40"/>
  <c r="I52" i="39" l="1"/>
  <c r="J52" i="39" s="1"/>
  <c r="E52" i="39"/>
  <c r="F52" i="39" s="1"/>
  <c r="E51" i="39"/>
  <c r="F51" i="39" s="1"/>
  <c r="C48" i="39"/>
  <c r="C47" i="39"/>
  <c r="C33" i="57"/>
  <c r="T27" i="31"/>
  <c r="S27" i="31"/>
  <c r="R28" i="31"/>
  <c r="R29" i="31"/>
  <c r="C105" i="57"/>
  <c r="AC7" i="40"/>
  <c r="V42" i="40" s="1"/>
  <c r="I42" i="40" s="1"/>
  <c r="I46" i="40" s="1"/>
  <c r="J46" i="40" s="1"/>
  <c r="W7" i="40"/>
  <c r="S7" i="40"/>
  <c r="AA7" i="40"/>
  <c r="R42" i="40" s="1"/>
  <c r="R43" i="40" s="1"/>
  <c r="AB7" i="40"/>
  <c r="T42" i="40" s="1"/>
  <c r="G42" i="40" s="1"/>
  <c r="G46" i="40" s="1"/>
  <c r="H46" i="40" s="1"/>
  <c r="U7" i="40"/>
  <c r="B57" i="39" l="1"/>
  <c r="F57" i="39" s="1"/>
  <c r="B64" i="39"/>
  <c r="F64" i="39" s="1"/>
  <c r="B58" i="39"/>
  <c r="F58" i="39" s="1"/>
  <c r="B60" i="39"/>
  <c r="F60" i="39" s="1"/>
  <c r="B56" i="39"/>
  <c r="F56" i="39" s="1"/>
  <c r="F66" i="39" s="1"/>
  <c r="B2" i="39" s="1"/>
  <c r="B3" i="39" s="1"/>
  <c r="B62" i="39"/>
  <c r="F62" i="39" s="1"/>
  <c r="B63" i="39"/>
  <c r="F63" i="39" s="1"/>
  <c r="B61" i="39"/>
  <c r="F61" i="39" s="1"/>
  <c r="B65" i="39"/>
  <c r="F65" i="39" s="1"/>
  <c r="B59" i="39"/>
  <c r="F59" i="39" s="1"/>
  <c r="S28" i="31"/>
  <c r="T28" i="31"/>
  <c r="T29" i="31"/>
  <c r="S29" i="31"/>
  <c r="G47" i="40"/>
  <c r="H47" i="40" s="1"/>
  <c r="E42" i="40"/>
  <c r="S25" i="31" l="1"/>
  <c r="T25" i="31"/>
  <c r="R25" i="31" s="1"/>
  <c r="I47" i="40"/>
  <c r="J47" i="40" s="1"/>
  <c r="E47" i="40"/>
  <c r="F47" i="40" s="1"/>
  <c r="E46" i="40"/>
  <c r="F46" i="40" s="1"/>
  <c r="C43" i="40"/>
  <c r="C42" i="40"/>
  <c r="B23" i="31" l="1"/>
  <c r="B24" i="31" s="1"/>
  <c r="B3" i="31" s="1"/>
  <c r="C35" i="57" s="1"/>
  <c r="I125" i="57" s="1"/>
  <c r="I4" i="52" s="1"/>
  <c r="B58" i="40"/>
  <c r="F58" i="40" s="1"/>
  <c r="B54" i="40"/>
  <c r="F54" i="40" s="1"/>
  <c r="B57" i="40"/>
  <c r="F57" i="40" s="1"/>
  <c r="B53" i="40"/>
  <c r="F53" i="40" s="1"/>
  <c r="B59" i="40"/>
  <c r="F59" i="40" s="1"/>
  <c r="B52" i="40"/>
  <c r="F52" i="40" s="1"/>
  <c r="B56" i="40"/>
  <c r="F56" i="40" s="1"/>
  <c r="B55" i="40"/>
  <c r="F55" i="40" s="1"/>
  <c r="B51" i="40"/>
  <c r="F51" i="40" s="1"/>
  <c r="F61" i="40" s="1"/>
  <c r="B2" i="40" s="1"/>
  <c r="B3" i="40" s="1"/>
  <c r="B60" i="40"/>
  <c r="F60" i="40" s="1"/>
  <c r="D4" i="52"/>
  <c r="B37" i="60" s="1"/>
  <c r="F4" i="52"/>
  <c r="B40" i="60" s="1"/>
  <c r="G4" i="52"/>
  <c r="B41" i="60" s="1"/>
  <c r="D5" i="52"/>
  <c r="B39" i="60" s="1"/>
  <c r="E4" i="52"/>
  <c r="B38" i="60" s="1"/>
  <c r="F5" i="52"/>
  <c r="B42" i="60" s="1"/>
  <c r="N49" i="9"/>
  <c r="M65" i="9" s="1"/>
  <c r="N65" i="9" s="1"/>
  <c r="B2" i="31" l="1"/>
  <c r="C34" i="57" s="1"/>
  <c r="H125" i="57" s="1"/>
  <c r="H4" i="52" s="1"/>
  <c r="C108" i="57"/>
  <c r="D111" i="57"/>
  <c r="I105" i="57"/>
  <c r="M63" i="9"/>
  <c r="N63" i="9" s="1"/>
  <c r="N69" i="9" s="1"/>
  <c r="O69" i="9" s="1"/>
  <c r="M64" i="9"/>
  <c r="N64" i="9" s="1"/>
  <c r="M66" i="9"/>
  <c r="N66" i="9" s="1"/>
  <c r="M68" i="9"/>
  <c r="N68" i="9" s="1"/>
  <c r="M67" i="9"/>
  <c r="N67" i="9" s="1"/>
  <c r="F121" i="9"/>
  <c r="F122" i="9" s="1"/>
  <c r="D121" i="9"/>
  <c r="D122" i="9" s="1"/>
  <c r="H121" i="9"/>
  <c r="H122" i="9" s="1"/>
  <c r="I104" i="57" l="1"/>
  <c r="I112" i="57" s="1"/>
  <c r="D14" i="62"/>
  <c r="F14" i="62" s="1"/>
  <c r="H126" i="57"/>
  <c r="H5" i="52" s="1"/>
  <c r="C107" i="57"/>
  <c r="D110" i="57"/>
  <c r="D116" i="57" s="1"/>
  <c r="D117" i="57" s="1"/>
  <c r="D9" i="50"/>
  <c r="B21" i="60" s="1"/>
  <c r="D30" i="50"/>
  <c r="D28" i="50"/>
  <c r="D29" i="50" s="1"/>
  <c r="I102" i="9"/>
  <c r="N48" i="9" s="1"/>
  <c r="I121" i="9"/>
  <c r="I103" i="9" s="1"/>
  <c r="I110" i="9"/>
  <c r="D125" i="9" s="1"/>
  <c r="C103" i="9"/>
  <c r="D45" i="9"/>
  <c r="D106" i="9"/>
  <c r="D112" i="9" s="1"/>
  <c r="E121" i="9"/>
  <c r="G121" i="9"/>
  <c r="N50" i="57" l="1"/>
  <c r="D7" i="50"/>
  <c r="D8" i="50" s="1"/>
  <c r="B22" i="60" s="1"/>
  <c r="D47" i="57"/>
  <c r="E14" i="62"/>
  <c r="B5" i="62"/>
  <c r="C5" i="62" s="1"/>
  <c r="D121" i="57"/>
  <c r="I117" i="57" s="1"/>
  <c r="D23" i="50" s="1"/>
  <c r="B34" i="60" s="1"/>
  <c r="D5" i="62"/>
  <c r="I113" i="57"/>
  <c r="D38" i="50"/>
  <c r="B62" i="60" s="1"/>
  <c r="B19" i="60"/>
  <c r="D61" i="57"/>
  <c r="N57" i="57" s="1"/>
  <c r="D57" i="57"/>
  <c r="N55" i="57" s="1"/>
  <c r="C95" i="57"/>
  <c r="C88" i="57" s="1"/>
  <c r="D54" i="57"/>
  <c r="C87" i="57"/>
  <c r="C97" i="57" s="1"/>
  <c r="D55" i="57"/>
  <c r="D50" i="57" s="1"/>
  <c r="N54" i="57" s="1"/>
  <c r="C80" i="57"/>
  <c r="C75" i="57" s="1"/>
  <c r="C66" i="57"/>
  <c r="C65" i="57" s="1"/>
  <c r="C69" i="57" s="1"/>
  <c r="C70" i="57" s="1"/>
  <c r="D56" i="57" s="1"/>
  <c r="C74" i="57"/>
  <c r="C81" i="57" s="1"/>
  <c r="D129" i="57"/>
  <c r="D36" i="50"/>
  <c r="D37" i="50" s="1"/>
  <c r="D15" i="50"/>
  <c r="D107" i="9"/>
  <c r="C104" i="9"/>
  <c r="C93" i="9"/>
  <c r="C86" i="9" s="1"/>
  <c r="D53" i="9"/>
  <c r="D48" i="9" s="1"/>
  <c r="N52" i="9" s="1"/>
  <c r="O57" i="9" s="1"/>
  <c r="C64" i="9"/>
  <c r="C63" i="9" s="1"/>
  <c r="C67" i="9" s="1"/>
  <c r="C68" i="9" s="1"/>
  <c r="D54" i="9" s="1"/>
  <c r="D52" i="9"/>
  <c r="C72" i="9"/>
  <c r="C85" i="9"/>
  <c r="C78" i="9"/>
  <c r="C73" i="9" s="1"/>
  <c r="D117" i="9"/>
  <c r="I115" i="9" s="1"/>
  <c r="D113" i="9"/>
  <c r="I111" i="9" s="1"/>
  <c r="D126" i="9" s="1"/>
  <c r="D44" i="50" l="1"/>
  <c r="B29" i="60"/>
  <c r="D16" i="50"/>
  <c r="B30" i="60" s="1"/>
  <c r="G14" i="62"/>
  <c r="B6" i="62" s="1"/>
  <c r="D8" i="52"/>
  <c r="C82" i="57"/>
  <c r="E82" i="57" s="1"/>
  <c r="E83" i="57" s="1"/>
  <c r="C98" i="57"/>
  <c r="E98" i="57" s="1"/>
  <c r="E99" i="57" s="1"/>
  <c r="D130" i="57"/>
  <c r="D17" i="50"/>
  <c r="C95" i="9"/>
  <c r="C97" i="9" s="1"/>
  <c r="D58" i="9" s="1"/>
  <c r="Q57" i="9"/>
  <c r="O58" i="9"/>
  <c r="O59" i="9"/>
  <c r="C79" i="9"/>
  <c r="C99" i="57" l="1"/>
  <c r="D60" i="57" s="1"/>
  <c r="D58" i="57" s="1"/>
  <c r="N56" i="57" s="1"/>
  <c r="O59" i="57" s="1"/>
  <c r="O61" i="57" s="1"/>
  <c r="C83" i="57"/>
  <c r="D10" i="52"/>
  <c r="D9" i="52"/>
  <c r="D6" i="62"/>
  <c r="C6" i="62"/>
  <c r="C96" i="9"/>
  <c r="E96" i="9" s="1"/>
  <c r="E97" i="9" s="1"/>
  <c r="C81" i="9"/>
  <c r="C80" i="9"/>
  <c r="E80" i="9" s="1"/>
  <c r="E81" i="9" s="1"/>
  <c r="O61" i="9"/>
  <c r="O60" i="9"/>
  <c r="O60" i="57" l="1"/>
  <c r="Q59" i="57"/>
  <c r="O62" i="57"/>
  <c r="O63" i="57"/>
</calcChain>
</file>

<file path=xl/comments1.xml><?xml version="1.0" encoding="utf-8"?>
<comments xmlns="http://schemas.openxmlformats.org/spreadsheetml/2006/main">
  <authors>
    <author>USER</author>
  </authors>
  <commentList>
    <comment ref="A13" authorId="0">
      <text>
        <r>
          <rPr>
            <sz val="16"/>
            <color indexed="81"/>
            <rFont val="宋体"/>
            <family val="3"/>
            <charset val="134"/>
          </rPr>
          <t>带批注的一定要看</t>
        </r>
        <r>
          <rPr>
            <sz val="9"/>
            <color indexed="81"/>
            <rFont val="宋体"/>
            <family val="3"/>
            <charset val="134"/>
          </rPr>
          <t xml:space="preserve">
</t>
        </r>
      </text>
    </comment>
  </commentList>
</comments>
</file>

<file path=xl/comments10.xml><?xml version="1.0" encoding="utf-8"?>
<comments xmlns="http://schemas.openxmlformats.org/spreadsheetml/2006/main">
  <authors>
    <author>崔锴</author>
    <author>USER</author>
  </authors>
  <commentList>
    <comment ref="K48" authorId="0">
      <text>
        <r>
          <rPr>
            <b/>
            <sz val="9"/>
            <color indexed="81"/>
            <rFont val="宋体"/>
            <family val="3"/>
            <charset val="134"/>
          </rPr>
          <t>权重验证</t>
        </r>
        <r>
          <rPr>
            <sz val="9"/>
            <color indexed="81"/>
            <rFont val="宋体"/>
            <family val="3"/>
            <charset val="134"/>
          </rPr>
          <t xml:space="preserve">
</t>
        </r>
      </text>
    </comment>
    <comment ref="C58" authorId="1">
      <text>
        <r>
          <rPr>
            <b/>
            <sz val="12"/>
            <color indexed="81"/>
            <rFont val="宋体"/>
            <family val="3"/>
            <charset val="134"/>
          </rPr>
          <t>价值时点所在月度</t>
        </r>
        <r>
          <rPr>
            <sz val="12"/>
            <color indexed="81"/>
            <rFont val="宋体"/>
            <family val="3"/>
            <charset val="134"/>
          </rPr>
          <t xml:space="preserve">
</t>
        </r>
      </text>
    </comment>
    <comment ref="B102"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1.xml><?xml version="1.0" encoding="utf-8"?>
<comments xmlns="http://schemas.openxmlformats.org/spreadsheetml/2006/main">
  <authors>
    <author>USER</author>
  </authors>
  <commentList>
    <comment ref="B5"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2.xml><?xml version="1.0" encoding="utf-8"?>
<comments xmlns="http://schemas.openxmlformats.org/spreadsheetml/2006/main">
  <authors>
    <author>崔锴</author>
    <author>USER</author>
  </authors>
  <commentList>
    <comment ref="K49" authorId="0">
      <text>
        <r>
          <rPr>
            <b/>
            <sz val="9"/>
            <color indexed="81"/>
            <rFont val="宋体"/>
            <family val="3"/>
            <charset val="134"/>
          </rPr>
          <t>权重验证</t>
        </r>
        <r>
          <rPr>
            <sz val="9"/>
            <color indexed="81"/>
            <rFont val="宋体"/>
            <family val="3"/>
            <charset val="134"/>
          </rPr>
          <t xml:space="preserve">
</t>
        </r>
      </text>
    </comment>
    <comment ref="C59" authorId="1">
      <text>
        <r>
          <rPr>
            <b/>
            <sz val="12"/>
            <color indexed="81"/>
            <rFont val="宋体"/>
            <family val="3"/>
            <charset val="134"/>
          </rPr>
          <t>价值时点所在月度</t>
        </r>
        <r>
          <rPr>
            <sz val="12"/>
            <color indexed="81"/>
            <rFont val="宋体"/>
            <family val="3"/>
            <charset val="134"/>
          </rPr>
          <t xml:space="preserve">
</t>
        </r>
      </text>
    </comment>
    <comment ref="B103"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3.xml><?xml version="1.0" encoding="utf-8"?>
<comments xmlns="http://schemas.openxmlformats.org/spreadsheetml/2006/main">
  <authors>
    <author>崔锴</author>
    <author>USER</author>
  </authors>
  <commentList>
    <comment ref="K42" authorId="0">
      <text>
        <r>
          <rPr>
            <b/>
            <sz val="9"/>
            <color indexed="81"/>
            <rFont val="宋体"/>
            <family val="3"/>
            <charset val="134"/>
          </rPr>
          <t>权重验证</t>
        </r>
        <r>
          <rPr>
            <sz val="9"/>
            <color indexed="81"/>
            <rFont val="宋体"/>
            <family val="3"/>
            <charset val="134"/>
          </rPr>
          <t xml:space="preserve">
</t>
        </r>
      </text>
    </comment>
    <comment ref="C52" authorId="1">
      <text>
        <r>
          <rPr>
            <b/>
            <sz val="12"/>
            <color indexed="81"/>
            <rFont val="宋体"/>
            <family val="3"/>
            <charset val="134"/>
          </rPr>
          <t>价值时点所在月度</t>
        </r>
        <r>
          <rPr>
            <sz val="12"/>
            <color indexed="81"/>
            <rFont val="宋体"/>
            <family val="3"/>
            <charset val="134"/>
          </rPr>
          <t xml:space="preserve">
</t>
        </r>
      </text>
    </comment>
    <comment ref="B90"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4.xml><?xml version="1.0" encoding="utf-8"?>
<comments xmlns="http://schemas.openxmlformats.org/spreadsheetml/2006/main">
  <authors>
    <author>USER</author>
    <author>崔锴</author>
  </authors>
  <commentList>
    <comment ref="B1" authorId="0">
      <text>
        <r>
          <rPr>
            <b/>
            <sz val="12"/>
            <color indexed="81"/>
            <rFont val="宋体"/>
            <family val="3"/>
            <charset val="134"/>
          </rPr>
          <t>主用途</t>
        </r>
        <r>
          <rPr>
            <sz val="12"/>
            <color indexed="81"/>
            <rFont val="宋体"/>
            <family val="3"/>
            <charset val="134"/>
          </rPr>
          <t xml:space="preserve">
</t>
        </r>
      </text>
    </comment>
    <comment ref="K38" authorId="1">
      <text>
        <r>
          <rPr>
            <b/>
            <sz val="9"/>
            <color indexed="81"/>
            <rFont val="宋体"/>
            <family val="3"/>
            <charset val="134"/>
          </rPr>
          <t>权重验证</t>
        </r>
        <r>
          <rPr>
            <sz val="9"/>
            <color indexed="81"/>
            <rFont val="宋体"/>
            <family val="3"/>
            <charset val="134"/>
          </rPr>
          <t xml:space="preserve">
</t>
        </r>
      </text>
    </comment>
    <comment ref="C48" authorId="0">
      <text>
        <r>
          <rPr>
            <b/>
            <sz val="12"/>
            <color indexed="81"/>
            <rFont val="宋体"/>
            <family val="3"/>
            <charset val="134"/>
          </rPr>
          <t>价值时点所在月度</t>
        </r>
        <r>
          <rPr>
            <sz val="12"/>
            <color indexed="81"/>
            <rFont val="宋体"/>
            <family val="3"/>
            <charset val="134"/>
          </rPr>
          <t xml:space="preserve">
</t>
        </r>
      </text>
    </comment>
    <comment ref="B88" authorId="0">
      <text>
        <r>
          <rPr>
            <b/>
            <sz val="12"/>
            <color indexed="81"/>
            <rFont val="宋体"/>
            <family val="3"/>
            <charset val="134"/>
          </rPr>
          <t>所属项目品质或
物业管理</t>
        </r>
      </text>
    </comment>
    <comment ref="B90" author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5.xml><?xml version="1.0" encoding="utf-8"?>
<comments xmlns="http://schemas.openxmlformats.org/spreadsheetml/2006/main">
  <authors>
    <author>USER</author>
    <author>崔锴</author>
  </authors>
  <commentList>
    <comment ref="B1" authorId="0">
      <text>
        <r>
          <rPr>
            <b/>
            <sz val="12"/>
            <color indexed="81"/>
            <rFont val="宋体"/>
            <family val="3"/>
            <charset val="134"/>
          </rPr>
          <t>主用途</t>
        </r>
        <r>
          <rPr>
            <b/>
            <sz val="9"/>
            <color indexed="81"/>
            <rFont val="宋体"/>
            <family val="3"/>
            <charset val="134"/>
          </rPr>
          <t xml:space="preserve">
</t>
        </r>
        <r>
          <rPr>
            <sz val="9"/>
            <color indexed="81"/>
            <rFont val="宋体"/>
            <family val="3"/>
            <charset val="134"/>
          </rPr>
          <t xml:space="preserve">
</t>
        </r>
      </text>
    </comment>
    <comment ref="K36" authorId="1">
      <text>
        <r>
          <rPr>
            <b/>
            <sz val="9"/>
            <color indexed="81"/>
            <rFont val="宋体"/>
            <family val="3"/>
            <charset val="134"/>
          </rPr>
          <t>权重验证</t>
        </r>
        <r>
          <rPr>
            <sz val="9"/>
            <color indexed="81"/>
            <rFont val="宋体"/>
            <family val="3"/>
            <charset val="134"/>
          </rPr>
          <t xml:space="preserve">
</t>
        </r>
      </text>
    </comment>
    <comment ref="C46" authorId="0">
      <text>
        <r>
          <rPr>
            <b/>
            <sz val="12"/>
            <color indexed="81"/>
            <rFont val="宋体"/>
            <family val="3"/>
            <charset val="134"/>
          </rPr>
          <t>价值时点所在月度</t>
        </r>
        <r>
          <rPr>
            <sz val="12"/>
            <color indexed="81"/>
            <rFont val="宋体"/>
            <family val="3"/>
            <charset val="134"/>
          </rPr>
          <t xml:space="preserve">
</t>
        </r>
      </text>
    </comment>
    <comment ref="B82" authorId="0">
      <text>
        <r>
          <rPr>
            <b/>
            <sz val="12"/>
            <color indexed="81"/>
            <rFont val="宋体"/>
            <family val="3"/>
            <charset val="134"/>
          </rPr>
          <t>所属项目品质或
物业管理</t>
        </r>
      </text>
    </comment>
    <comment ref="B86" authorId="0">
      <text>
        <r>
          <rPr>
            <b/>
            <sz val="12"/>
            <color indexed="81"/>
            <rFont val="宋体"/>
            <family val="3"/>
            <charset val="134"/>
          </rPr>
          <t>所属项目品质</t>
        </r>
      </text>
    </comment>
    <comment ref="B89" author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6.xml><?xml version="1.0" encoding="utf-8"?>
<comments xmlns="http://schemas.openxmlformats.org/spreadsheetml/2006/main">
  <authors>
    <author>崔锴</author>
    <author>USER</author>
  </authors>
  <commentList>
    <comment ref="K47" authorId="0">
      <text>
        <r>
          <rPr>
            <b/>
            <sz val="9"/>
            <color indexed="81"/>
            <rFont val="宋体"/>
            <family val="3"/>
            <charset val="134"/>
          </rPr>
          <t>权重验证</t>
        </r>
        <r>
          <rPr>
            <sz val="9"/>
            <color indexed="81"/>
            <rFont val="宋体"/>
            <family val="3"/>
            <charset val="134"/>
          </rPr>
          <t xml:space="preserve">
</t>
        </r>
      </text>
    </comment>
    <comment ref="C70" authorId="1">
      <text>
        <r>
          <rPr>
            <b/>
            <sz val="12"/>
            <color indexed="81"/>
            <rFont val="宋体"/>
            <family val="3"/>
            <charset val="134"/>
          </rPr>
          <t>价值时点所在季度</t>
        </r>
        <r>
          <rPr>
            <sz val="12"/>
            <color indexed="81"/>
            <rFont val="宋体"/>
            <family val="3"/>
            <charset val="134"/>
          </rPr>
          <t xml:space="preserve">
</t>
        </r>
      </text>
    </comment>
  </commentList>
</comments>
</file>

<file path=xl/comments17.xml><?xml version="1.0" encoding="utf-8"?>
<comments xmlns="http://schemas.openxmlformats.org/spreadsheetml/2006/main">
  <authors>
    <author>崔锴</author>
    <author>USER</author>
  </authors>
  <commentList>
    <comment ref="K42" authorId="0">
      <text>
        <r>
          <rPr>
            <b/>
            <sz val="9"/>
            <color indexed="81"/>
            <rFont val="宋体"/>
            <family val="3"/>
            <charset val="134"/>
          </rPr>
          <t>权重验证</t>
        </r>
        <r>
          <rPr>
            <sz val="9"/>
            <color indexed="81"/>
            <rFont val="宋体"/>
            <family val="3"/>
            <charset val="134"/>
          </rPr>
          <t xml:space="preserve">
</t>
        </r>
      </text>
    </comment>
    <comment ref="C65" authorId="1">
      <text>
        <r>
          <rPr>
            <b/>
            <sz val="12"/>
            <color indexed="81"/>
            <rFont val="宋体"/>
            <family val="3"/>
            <charset val="134"/>
          </rPr>
          <t>价值时点所在季度</t>
        </r>
        <r>
          <rPr>
            <sz val="12"/>
            <color indexed="81"/>
            <rFont val="宋体"/>
            <family val="3"/>
            <charset val="134"/>
          </rPr>
          <t xml:space="preserve">
</t>
        </r>
      </text>
    </comment>
  </commentList>
</comments>
</file>

<file path=xl/comments2.xml><?xml version="1.0" encoding="utf-8"?>
<comments xmlns="http://schemas.openxmlformats.org/spreadsheetml/2006/main">
  <authors>
    <author>USER</author>
    <author>崔锴</author>
  </authors>
  <commentList>
    <comment ref="B6" authorId="0">
      <text>
        <r>
          <rPr>
            <sz val="11"/>
            <color indexed="81"/>
            <rFont val="楷体_GB2312"/>
            <family val="3"/>
            <charset val="134"/>
          </rPr>
          <t>其它城市请在右侧录入</t>
        </r>
        <r>
          <rPr>
            <sz val="14"/>
            <color indexed="81"/>
            <rFont val="楷体_GB2312"/>
            <family val="3"/>
            <charset val="134"/>
          </rPr>
          <t xml:space="preserve">
</t>
        </r>
      </text>
    </comment>
    <comment ref="C8" authorId="0">
      <text>
        <r>
          <rPr>
            <sz val="11"/>
            <color indexed="81"/>
            <rFont val="宋体"/>
            <family val="3"/>
            <charset val="134"/>
          </rPr>
          <t>是否有门牌号，是否对应</t>
        </r>
        <r>
          <rPr>
            <sz val="9"/>
            <color indexed="81"/>
            <rFont val="宋体"/>
            <family val="3"/>
            <charset val="134"/>
          </rPr>
          <t xml:space="preserve">
</t>
        </r>
      </text>
    </comment>
    <comment ref="E9" authorId="1">
      <text>
        <r>
          <rPr>
            <sz val="11"/>
            <color indexed="81"/>
            <rFont val="宋体"/>
            <family val="3"/>
            <charset val="134"/>
            <scheme val="minor"/>
          </rPr>
          <t>如为车库或仓储，需录入地上主用途的土地级别</t>
        </r>
        <r>
          <rPr>
            <sz val="10"/>
            <color indexed="81"/>
            <rFont val="楷体_GB2312"/>
            <family val="3"/>
            <charset val="134"/>
          </rPr>
          <t xml:space="preserve">
</t>
        </r>
      </text>
    </comment>
    <comment ref="C10" authorId="0">
      <text>
        <r>
          <rPr>
            <sz val="10"/>
            <color indexed="81"/>
            <rFont val="宋体"/>
            <family val="3"/>
            <charset val="134"/>
          </rPr>
          <t>是否为原户型，有何调整</t>
        </r>
        <r>
          <rPr>
            <sz val="9"/>
            <color indexed="81"/>
            <rFont val="宋体"/>
            <family val="3"/>
            <charset val="134"/>
          </rPr>
          <t xml:space="preserve">
</t>
        </r>
      </text>
    </comment>
  </commentList>
</comments>
</file>

<file path=xl/comments3.xml><?xml version="1.0" encoding="utf-8"?>
<comments xmlns="http://schemas.openxmlformats.org/spreadsheetml/2006/main">
  <authors>
    <author>崔锴</author>
    <author>USER</author>
    <author>moqikay</author>
  </authors>
  <commentList>
    <comment ref="A18" authorId="0">
      <text>
        <r>
          <rPr>
            <b/>
            <sz val="9"/>
            <color indexed="81"/>
            <rFont val="宋体"/>
            <family val="3"/>
            <charset val="134"/>
          </rPr>
          <t>一般低于建筑物报酬率0.5%</t>
        </r>
      </text>
    </comment>
    <comment ref="A30" authorId="1">
      <text>
        <r>
          <rPr>
            <b/>
            <sz val="10"/>
            <color indexed="81"/>
            <rFont val="宋体"/>
            <family val="3"/>
            <charset val="134"/>
          </rPr>
          <t>如租金为按套计取，请在对应第AF列录入套数</t>
        </r>
        <r>
          <rPr>
            <sz val="10"/>
            <color indexed="81"/>
            <rFont val="宋体"/>
            <family val="3"/>
            <charset val="134"/>
          </rPr>
          <t xml:space="preserve">
</t>
        </r>
      </text>
    </comment>
    <comment ref="E32" authorId="2">
      <text>
        <r>
          <rPr>
            <b/>
            <sz val="9"/>
            <color indexed="81"/>
            <rFont val="宋体"/>
            <family val="3"/>
            <charset val="134"/>
          </rPr>
          <t>moqikay:</t>
        </r>
        <r>
          <rPr>
            <b/>
            <sz val="8"/>
            <color indexed="81"/>
            <rFont val="宋体"/>
            <family val="3"/>
            <charset val="134"/>
          </rPr>
          <t xml:space="preserve">
北京：东城区、西城区、北京经济技术开发区范围内，以及在朝阳、海淀、丰台、石景山、门头沟、燕山六个区所属的街道办事处管辖范围内的，税率为7%</t>
        </r>
      </text>
    </comment>
    <comment ref="B37" authorId="0">
      <text>
        <r>
          <rPr>
            <sz val="8"/>
            <color indexed="81"/>
            <rFont val="宋体"/>
            <family val="3"/>
            <charset val="134"/>
          </rPr>
          <t xml:space="preserve">无租约或未采用租约，此处不可有值
</t>
        </r>
      </text>
    </comment>
    <comment ref="A42" authorId="1">
      <text>
        <r>
          <rPr>
            <b/>
            <sz val="12"/>
            <color indexed="81"/>
            <rFont val="宋体"/>
            <family val="3"/>
            <charset val="134"/>
          </rPr>
          <t>按套计取租金时，在此录入套数</t>
        </r>
        <r>
          <rPr>
            <sz val="9"/>
            <color indexed="81"/>
            <rFont val="宋体"/>
            <family val="3"/>
            <charset val="134"/>
          </rPr>
          <t xml:space="preserve">
</t>
        </r>
      </text>
    </comment>
  </commentList>
</comments>
</file>

<file path=xl/comments4.xml><?xml version="1.0" encoding="utf-8"?>
<comments xmlns="http://schemas.openxmlformats.org/spreadsheetml/2006/main">
  <authors>
    <author>Sky123.Org</author>
    <author>USER</author>
  </authors>
  <commentList>
    <comment ref="B3" authorId="0">
      <text>
        <r>
          <rPr>
            <sz val="12"/>
            <color indexed="81"/>
            <rFont val="宋体"/>
            <family val="3"/>
            <charset val="134"/>
          </rPr>
          <t xml:space="preserve">指区域居住用地比例、居住小区规模和社区发展完善程度
</t>
        </r>
      </text>
    </comment>
    <comment ref="F3" authorId="0">
      <text>
        <r>
          <rPr>
            <sz val="12"/>
            <color indexed="81"/>
            <rFont val="宋体"/>
            <family val="3"/>
            <charset val="134"/>
          </rPr>
          <t xml:space="preserve">也指工业区成熟度，工业区性质、相关产业的配套及集聚状况
</t>
        </r>
      </text>
    </comment>
    <comment ref="B4" authorId="0">
      <text>
        <r>
          <rPr>
            <sz val="12"/>
            <color indexed="81"/>
            <rFont val="宋体"/>
            <family val="3"/>
            <charset val="134"/>
          </rPr>
          <t>所在区域的性质（商服区、住宅区还是工业区）、距各类商服中心的距离、商务设施的种类规模与集聚程度、商服氛围、经营类别、客流的数量与质量</t>
        </r>
        <r>
          <rPr>
            <sz val="9"/>
            <color indexed="81"/>
            <rFont val="宋体"/>
            <family val="3"/>
            <charset val="134"/>
          </rPr>
          <t xml:space="preserve">
</t>
        </r>
      </text>
    </comment>
    <comment ref="F4" authorId="1">
      <text>
        <r>
          <rPr>
            <sz val="12"/>
            <color indexed="81"/>
            <rFont val="宋体"/>
            <family val="3"/>
            <charset val="134"/>
          </rPr>
          <t>侧重对外交通、货运交通状况</t>
        </r>
        <r>
          <rPr>
            <sz val="9"/>
            <color indexed="81"/>
            <rFont val="宋体"/>
            <family val="3"/>
            <charset val="134"/>
          </rPr>
          <t xml:space="preserve">
</t>
        </r>
      </text>
    </comment>
    <comment ref="B5" authorId="0">
      <text>
        <r>
          <rPr>
            <sz val="12"/>
            <color indexed="81"/>
            <rFont val="宋体"/>
            <family val="3"/>
            <charset val="134"/>
          </rPr>
          <t xml:space="preserve">所在区域的性质（商服区、住宅区还是工业区）、距各类商服中心的距离、商务设施的种类规模与集聚程度、商服氛围、经营类别、客流的数量与质量
</t>
        </r>
        <r>
          <rPr>
            <sz val="9"/>
            <color indexed="81"/>
            <rFont val="宋体"/>
            <family val="3"/>
            <charset val="134"/>
          </rPr>
          <t xml:space="preserve">
</t>
        </r>
      </text>
    </comment>
    <comment ref="B6" authorId="1">
      <text>
        <r>
          <rPr>
            <sz val="12"/>
            <color indexed="81"/>
            <rFont val="宋体"/>
            <family val="3"/>
            <charset val="134"/>
          </rPr>
          <t>侧重公共交通通达、停车便捷程度</t>
        </r>
        <r>
          <rPr>
            <sz val="9"/>
            <color indexed="81"/>
            <rFont val="宋体"/>
            <family val="3"/>
            <charset val="134"/>
          </rPr>
          <t xml:space="preserve">
</t>
        </r>
      </text>
    </comment>
    <comment ref="F7" authorId="0">
      <text>
        <r>
          <rPr>
            <sz val="12"/>
            <color indexed="81"/>
            <rFont val="宋体"/>
            <family val="3"/>
            <charset val="134"/>
          </rPr>
          <t>主要指污染排放状况及治理状况、距离危险设施或污染源的临近程度、自然条件等</t>
        </r>
      </text>
    </comment>
    <comment ref="B9" authorId="0">
      <text>
        <r>
          <rPr>
            <sz val="12"/>
            <color indexed="81"/>
            <rFont val="宋体"/>
            <family val="3"/>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5.xml><?xml version="1.0" encoding="utf-8"?>
<comments xmlns="http://schemas.openxmlformats.org/spreadsheetml/2006/main">
  <authors>
    <author>USER</author>
    <author>作者</author>
  </authors>
  <commentList>
    <comment ref="A24" authorId="0">
      <text>
        <r>
          <rPr>
            <sz val="11"/>
            <color indexed="81"/>
            <rFont val="宋体"/>
            <family val="3"/>
            <charset val="134"/>
          </rPr>
          <t>需在下方列示计算过程</t>
        </r>
        <r>
          <rPr>
            <sz val="9"/>
            <color indexed="81"/>
            <rFont val="宋体"/>
            <family val="3"/>
            <charset val="134"/>
          </rPr>
          <t xml:space="preserve">
</t>
        </r>
      </text>
    </comment>
    <comment ref="H75" authorId="1">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6.xml><?xml version="1.0" encoding="utf-8"?>
<comments xmlns="http://schemas.openxmlformats.org/spreadsheetml/2006/main">
  <authors>
    <author>USER</author>
    <author>作者</author>
  </authors>
  <commentList>
    <comment ref="A24" authorId="0">
      <text>
        <r>
          <rPr>
            <sz val="11"/>
            <color indexed="81"/>
            <rFont val="宋体"/>
            <family val="3"/>
            <charset val="134"/>
          </rPr>
          <t>需在下方列示计算过程</t>
        </r>
        <r>
          <rPr>
            <sz val="9"/>
            <color indexed="81"/>
            <rFont val="宋体"/>
            <family val="3"/>
            <charset val="134"/>
          </rPr>
          <t xml:space="preserve">
</t>
        </r>
      </text>
    </comment>
    <comment ref="H77" authorId="1">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7.xml><?xml version="1.0" encoding="utf-8"?>
<comments xmlns="http://schemas.openxmlformats.org/spreadsheetml/2006/main">
  <authors>
    <author>Sky123.Org</author>
    <author>崔锴</author>
    <author>USER</author>
    <author>1-cuikai</author>
  </authors>
  <commentList>
    <comment ref="C6" authorId="0">
      <text>
        <r>
          <rPr>
            <b/>
            <sz val="9"/>
            <color indexed="81"/>
            <rFont val="宋体"/>
            <family val="3"/>
            <charset val="134"/>
          </rPr>
          <t>对应区片地价表</t>
        </r>
        <r>
          <rPr>
            <sz val="9"/>
            <color indexed="81"/>
            <rFont val="宋体"/>
            <family val="3"/>
            <charset val="134"/>
          </rPr>
          <t xml:space="preserve">
</t>
        </r>
      </text>
    </comment>
    <comment ref="Y9" authorId="1">
      <text>
        <r>
          <rPr>
            <sz val="11"/>
            <color indexed="81"/>
            <rFont val="宋体"/>
            <family val="3"/>
            <charset val="134"/>
          </rPr>
          <t xml:space="preserve">录入层数，将对应的结果录入至左侧相应层的楼层修正系数单元格中
</t>
        </r>
      </text>
    </comment>
    <comment ref="D17" authorId="2">
      <text>
        <r>
          <rPr>
            <b/>
            <sz val="11"/>
            <color indexed="81"/>
            <rFont val="宋体"/>
            <family val="3"/>
            <charset val="134"/>
          </rPr>
          <t>七通：通路、通电、通讯、通上水、通下水、通燃气、通热。
五通：通路、通电、通讯、通上水、通下水</t>
        </r>
        <r>
          <rPr>
            <sz val="11"/>
            <color indexed="81"/>
            <rFont val="宋体"/>
            <family val="3"/>
            <charset val="134"/>
          </rPr>
          <t xml:space="preserve">
</t>
        </r>
      </text>
    </comment>
    <comment ref="B31" authorId="3">
      <text>
        <r>
          <rPr>
            <b/>
            <sz val="9"/>
            <color indexed="81"/>
            <rFont val="宋体"/>
            <family val="3"/>
            <charset val="134"/>
          </rPr>
          <t>地下商业：地上主用途需选商业
地下办公：地上主用途需选办公
地下仓储及车库：按地上主用途计算</t>
        </r>
        <r>
          <rPr>
            <sz val="9"/>
            <color indexed="81"/>
            <rFont val="宋体"/>
            <family val="3"/>
            <charset val="134"/>
          </rPr>
          <t xml:space="preserve">
</t>
        </r>
      </text>
    </comment>
    <comment ref="G41" authorId="3">
      <text>
        <r>
          <rPr>
            <b/>
            <sz val="9"/>
            <color indexed="81"/>
            <rFont val="宋体"/>
            <family val="3"/>
            <charset val="134"/>
          </rPr>
          <t xml:space="preserve">需在此处填写剩余土地年限
</t>
        </r>
        <r>
          <rPr>
            <sz val="9"/>
            <color indexed="81"/>
            <rFont val="宋体"/>
            <family val="3"/>
            <charset val="134"/>
          </rPr>
          <t xml:space="preserve">
</t>
        </r>
      </text>
    </comment>
    <comment ref="C99" authorId="0">
      <text>
        <r>
          <rPr>
            <b/>
            <sz val="9"/>
            <color indexed="81"/>
            <rFont val="宋体"/>
            <family val="3"/>
            <charset val="134"/>
          </rPr>
          <t xml:space="preserve">所在楼层
</t>
        </r>
        <r>
          <rPr>
            <sz val="9"/>
            <color indexed="81"/>
            <rFont val="宋体"/>
            <family val="3"/>
            <charset val="134"/>
          </rPr>
          <t xml:space="preserve">
</t>
        </r>
      </text>
    </comment>
    <comment ref="D99" authorId="0">
      <text>
        <r>
          <rPr>
            <b/>
            <sz val="9"/>
            <color indexed="81"/>
            <rFont val="宋体"/>
            <family val="3"/>
            <charset val="134"/>
          </rPr>
          <t xml:space="preserve">所在楼层
</t>
        </r>
        <r>
          <rPr>
            <sz val="9"/>
            <color indexed="81"/>
            <rFont val="宋体"/>
            <family val="3"/>
            <charset val="134"/>
          </rPr>
          <t xml:space="preserve">
</t>
        </r>
      </text>
    </comment>
    <comment ref="E99" authorId="0">
      <text>
        <r>
          <rPr>
            <b/>
            <sz val="9"/>
            <color indexed="81"/>
            <rFont val="宋体"/>
            <family val="3"/>
            <charset val="134"/>
          </rPr>
          <t xml:space="preserve">所在楼层
</t>
        </r>
        <r>
          <rPr>
            <sz val="9"/>
            <color indexed="81"/>
            <rFont val="宋体"/>
            <family val="3"/>
            <charset val="134"/>
          </rPr>
          <t xml:space="preserve">
</t>
        </r>
      </text>
    </comment>
    <comment ref="F99" authorId="0">
      <text>
        <r>
          <rPr>
            <b/>
            <sz val="9"/>
            <color indexed="81"/>
            <rFont val="宋体"/>
            <family val="3"/>
            <charset val="134"/>
          </rPr>
          <t xml:space="preserve">所在楼层
</t>
        </r>
        <r>
          <rPr>
            <sz val="9"/>
            <color indexed="81"/>
            <rFont val="宋体"/>
            <family val="3"/>
            <charset val="134"/>
          </rPr>
          <t xml:space="preserve">
</t>
        </r>
      </text>
    </comment>
    <comment ref="G99" authorId="0">
      <text>
        <r>
          <rPr>
            <b/>
            <sz val="9"/>
            <color indexed="81"/>
            <rFont val="宋体"/>
            <family val="3"/>
            <charset val="134"/>
          </rPr>
          <t xml:space="preserve">所在楼层
</t>
        </r>
        <r>
          <rPr>
            <sz val="9"/>
            <color indexed="81"/>
            <rFont val="宋体"/>
            <family val="3"/>
            <charset val="134"/>
          </rPr>
          <t xml:space="preserve">
</t>
        </r>
      </text>
    </comment>
    <comment ref="H99" authorId="0">
      <text>
        <r>
          <rPr>
            <b/>
            <sz val="9"/>
            <color indexed="81"/>
            <rFont val="宋体"/>
            <family val="3"/>
            <charset val="134"/>
          </rPr>
          <t xml:space="preserve">所在楼层
</t>
        </r>
        <r>
          <rPr>
            <sz val="9"/>
            <color indexed="81"/>
            <rFont val="宋体"/>
            <family val="3"/>
            <charset val="134"/>
          </rPr>
          <t xml:space="preserve">
</t>
        </r>
      </text>
    </comment>
    <comment ref="I99" authorId="0">
      <text>
        <r>
          <rPr>
            <b/>
            <sz val="9"/>
            <color indexed="81"/>
            <rFont val="宋体"/>
            <family val="3"/>
            <charset val="134"/>
          </rPr>
          <t xml:space="preserve">所在楼层
</t>
        </r>
        <r>
          <rPr>
            <sz val="9"/>
            <color indexed="81"/>
            <rFont val="宋体"/>
            <family val="3"/>
            <charset val="134"/>
          </rPr>
          <t xml:space="preserve">
</t>
        </r>
      </text>
    </comment>
    <comment ref="J99" authorId="0">
      <text>
        <r>
          <rPr>
            <b/>
            <sz val="9"/>
            <color indexed="81"/>
            <rFont val="宋体"/>
            <family val="3"/>
            <charset val="134"/>
          </rPr>
          <t xml:space="preserve">所在楼层
</t>
        </r>
        <r>
          <rPr>
            <sz val="9"/>
            <color indexed="81"/>
            <rFont val="宋体"/>
            <family val="3"/>
            <charset val="134"/>
          </rPr>
          <t xml:space="preserve">
</t>
        </r>
      </text>
    </comment>
    <comment ref="K99" authorId="0">
      <text>
        <r>
          <rPr>
            <b/>
            <sz val="9"/>
            <color indexed="81"/>
            <rFont val="宋体"/>
            <family val="3"/>
            <charset val="134"/>
          </rPr>
          <t xml:space="preserve">所在楼层
</t>
        </r>
        <r>
          <rPr>
            <sz val="9"/>
            <color indexed="81"/>
            <rFont val="宋体"/>
            <family val="3"/>
            <charset val="134"/>
          </rPr>
          <t xml:space="preserve">
</t>
        </r>
      </text>
    </comment>
    <comment ref="L99" authorId="0">
      <text>
        <r>
          <rPr>
            <b/>
            <sz val="9"/>
            <color indexed="81"/>
            <rFont val="宋体"/>
            <family val="3"/>
            <charset val="134"/>
          </rPr>
          <t xml:space="preserve">所在楼层
</t>
        </r>
        <r>
          <rPr>
            <sz val="9"/>
            <color indexed="81"/>
            <rFont val="宋体"/>
            <family val="3"/>
            <charset val="134"/>
          </rPr>
          <t xml:space="preserve">
</t>
        </r>
      </text>
    </comment>
    <comment ref="M99" authorId="0">
      <text>
        <r>
          <rPr>
            <b/>
            <sz val="9"/>
            <color indexed="81"/>
            <rFont val="宋体"/>
            <family val="3"/>
            <charset val="134"/>
          </rPr>
          <t xml:space="preserve">所在楼层
</t>
        </r>
        <r>
          <rPr>
            <sz val="9"/>
            <color indexed="81"/>
            <rFont val="宋体"/>
            <family val="3"/>
            <charset val="134"/>
          </rPr>
          <t xml:space="preserve">
</t>
        </r>
      </text>
    </comment>
    <comment ref="N99" authorId="0">
      <text>
        <r>
          <rPr>
            <b/>
            <sz val="9"/>
            <color indexed="81"/>
            <rFont val="宋体"/>
            <family val="3"/>
            <charset val="134"/>
          </rPr>
          <t xml:space="preserve">所在楼层
</t>
        </r>
        <r>
          <rPr>
            <sz val="9"/>
            <color indexed="81"/>
            <rFont val="宋体"/>
            <family val="3"/>
            <charset val="134"/>
          </rPr>
          <t xml:space="preserve">
</t>
        </r>
      </text>
    </comment>
    <comment ref="C101" authorId="0">
      <text>
        <r>
          <rPr>
            <b/>
            <sz val="9"/>
            <color indexed="81"/>
            <rFont val="宋体"/>
            <family val="3"/>
            <charset val="134"/>
          </rPr>
          <t xml:space="preserve">容积率
</t>
        </r>
      </text>
    </comment>
    <comment ref="D101" authorId="0">
      <text>
        <r>
          <rPr>
            <b/>
            <sz val="9"/>
            <color indexed="81"/>
            <rFont val="宋体"/>
            <family val="3"/>
            <charset val="134"/>
          </rPr>
          <t xml:space="preserve">容积率
</t>
        </r>
      </text>
    </comment>
    <comment ref="E101" authorId="0">
      <text>
        <r>
          <rPr>
            <b/>
            <sz val="9"/>
            <color indexed="81"/>
            <rFont val="宋体"/>
            <family val="3"/>
            <charset val="134"/>
          </rPr>
          <t xml:space="preserve">容积率
</t>
        </r>
      </text>
    </comment>
    <comment ref="F101" authorId="0">
      <text>
        <r>
          <rPr>
            <b/>
            <sz val="9"/>
            <color indexed="81"/>
            <rFont val="宋体"/>
            <family val="3"/>
            <charset val="134"/>
          </rPr>
          <t xml:space="preserve">容积率
</t>
        </r>
      </text>
    </comment>
    <comment ref="G101" authorId="0">
      <text>
        <r>
          <rPr>
            <b/>
            <sz val="9"/>
            <color indexed="81"/>
            <rFont val="宋体"/>
            <family val="3"/>
            <charset val="134"/>
          </rPr>
          <t xml:space="preserve">容积率
</t>
        </r>
      </text>
    </comment>
    <comment ref="H101" authorId="0">
      <text>
        <r>
          <rPr>
            <b/>
            <sz val="9"/>
            <color indexed="81"/>
            <rFont val="宋体"/>
            <family val="3"/>
            <charset val="134"/>
          </rPr>
          <t xml:space="preserve">容积率
</t>
        </r>
      </text>
    </comment>
    <comment ref="I101" authorId="0">
      <text>
        <r>
          <rPr>
            <b/>
            <sz val="9"/>
            <color indexed="81"/>
            <rFont val="宋体"/>
            <family val="3"/>
            <charset val="134"/>
          </rPr>
          <t xml:space="preserve">容积率
</t>
        </r>
      </text>
    </comment>
    <comment ref="J101" authorId="0">
      <text>
        <r>
          <rPr>
            <b/>
            <sz val="9"/>
            <color indexed="81"/>
            <rFont val="宋体"/>
            <family val="3"/>
            <charset val="134"/>
          </rPr>
          <t xml:space="preserve">容积率
</t>
        </r>
      </text>
    </comment>
    <comment ref="K101" authorId="0">
      <text>
        <r>
          <rPr>
            <b/>
            <sz val="9"/>
            <color indexed="81"/>
            <rFont val="宋体"/>
            <family val="3"/>
            <charset val="134"/>
          </rPr>
          <t xml:space="preserve">容积率
</t>
        </r>
      </text>
    </comment>
    <comment ref="L101" authorId="0">
      <text>
        <r>
          <rPr>
            <b/>
            <sz val="9"/>
            <color indexed="81"/>
            <rFont val="宋体"/>
            <family val="3"/>
            <charset val="134"/>
          </rPr>
          <t xml:space="preserve">容积率
</t>
        </r>
      </text>
    </comment>
    <comment ref="M101" authorId="0">
      <text>
        <r>
          <rPr>
            <b/>
            <sz val="9"/>
            <color indexed="81"/>
            <rFont val="宋体"/>
            <family val="3"/>
            <charset val="134"/>
          </rPr>
          <t xml:space="preserve">容积率
</t>
        </r>
      </text>
    </comment>
    <comment ref="N101" authorId="0">
      <text>
        <r>
          <rPr>
            <b/>
            <sz val="9"/>
            <color indexed="81"/>
            <rFont val="宋体"/>
            <family val="3"/>
            <charset val="134"/>
          </rPr>
          <t xml:space="preserve">容积率
</t>
        </r>
      </text>
    </comment>
    <comment ref="C108" authorId="0">
      <text>
        <r>
          <rPr>
            <b/>
            <sz val="9"/>
            <color indexed="81"/>
            <rFont val="宋体"/>
            <family val="3"/>
            <charset val="134"/>
          </rPr>
          <t xml:space="preserve">所在楼层
</t>
        </r>
        <r>
          <rPr>
            <sz val="9"/>
            <color indexed="81"/>
            <rFont val="宋体"/>
            <family val="3"/>
            <charset val="134"/>
          </rPr>
          <t xml:space="preserve">
</t>
        </r>
      </text>
    </comment>
    <comment ref="D108" authorId="0">
      <text>
        <r>
          <rPr>
            <b/>
            <sz val="9"/>
            <color indexed="81"/>
            <rFont val="宋体"/>
            <family val="3"/>
            <charset val="134"/>
          </rPr>
          <t xml:space="preserve">所在楼层
</t>
        </r>
        <r>
          <rPr>
            <sz val="9"/>
            <color indexed="81"/>
            <rFont val="宋体"/>
            <family val="3"/>
            <charset val="134"/>
          </rPr>
          <t xml:space="preserve">
</t>
        </r>
      </text>
    </comment>
    <comment ref="E108" authorId="0">
      <text>
        <r>
          <rPr>
            <b/>
            <sz val="9"/>
            <color indexed="81"/>
            <rFont val="宋体"/>
            <family val="3"/>
            <charset val="134"/>
          </rPr>
          <t xml:space="preserve">所在楼层
</t>
        </r>
        <r>
          <rPr>
            <sz val="9"/>
            <color indexed="81"/>
            <rFont val="宋体"/>
            <family val="3"/>
            <charset val="134"/>
          </rPr>
          <t xml:space="preserve">
</t>
        </r>
      </text>
    </comment>
    <comment ref="F108" authorId="0">
      <text>
        <r>
          <rPr>
            <b/>
            <sz val="9"/>
            <color indexed="81"/>
            <rFont val="宋体"/>
            <family val="3"/>
            <charset val="134"/>
          </rPr>
          <t xml:space="preserve">所在楼层
</t>
        </r>
        <r>
          <rPr>
            <sz val="9"/>
            <color indexed="81"/>
            <rFont val="宋体"/>
            <family val="3"/>
            <charset val="134"/>
          </rPr>
          <t xml:space="preserve">
</t>
        </r>
      </text>
    </comment>
    <comment ref="G108" authorId="0">
      <text>
        <r>
          <rPr>
            <b/>
            <sz val="9"/>
            <color indexed="81"/>
            <rFont val="宋体"/>
            <family val="3"/>
            <charset val="134"/>
          </rPr>
          <t xml:space="preserve">所在楼层
</t>
        </r>
        <r>
          <rPr>
            <sz val="9"/>
            <color indexed="81"/>
            <rFont val="宋体"/>
            <family val="3"/>
            <charset val="134"/>
          </rPr>
          <t xml:space="preserve">
</t>
        </r>
      </text>
    </comment>
    <comment ref="H108" authorId="0">
      <text>
        <r>
          <rPr>
            <b/>
            <sz val="9"/>
            <color indexed="81"/>
            <rFont val="宋体"/>
            <family val="3"/>
            <charset val="134"/>
          </rPr>
          <t xml:space="preserve">所在楼层
</t>
        </r>
        <r>
          <rPr>
            <sz val="9"/>
            <color indexed="81"/>
            <rFont val="宋体"/>
            <family val="3"/>
            <charset val="134"/>
          </rPr>
          <t xml:space="preserve">
</t>
        </r>
      </text>
    </comment>
    <comment ref="I108" authorId="0">
      <text>
        <r>
          <rPr>
            <b/>
            <sz val="9"/>
            <color indexed="81"/>
            <rFont val="宋体"/>
            <family val="3"/>
            <charset val="134"/>
          </rPr>
          <t xml:space="preserve">所在楼层
</t>
        </r>
        <r>
          <rPr>
            <sz val="9"/>
            <color indexed="81"/>
            <rFont val="宋体"/>
            <family val="3"/>
            <charset val="134"/>
          </rPr>
          <t xml:space="preserve">
</t>
        </r>
      </text>
    </comment>
    <comment ref="J108" authorId="0">
      <text>
        <r>
          <rPr>
            <b/>
            <sz val="9"/>
            <color indexed="81"/>
            <rFont val="宋体"/>
            <family val="3"/>
            <charset val="134"/>
          </rPr>
          <t xml:space="preserve">所在楼层
</t>
        </r>
        <r>
          <rPr>
            <sz val="9"/>
            <color indexed="81"/>
            <rFont val="宋体"/>
            <family val="3"/>
            <charset val="134"/>
          </rPr>
          <t xml:space="preserve">
</t>
        </r>
      </text>
    </comment>
    <comment ref="K108" authorId="0">
      <text>
        <r>
          <rPr>
            <b/>
            <sz val="9"/>
            <color indexed="81"/>
            <rFont val="宋体"/>
            <family val="3"/>
            <charset val="134"/>
          </rPr>
          <t xml:space="preserve">所在楼层
</t>
        </r>
        <r>
          <rPr>
            <sz val="9"/>
            <color indexed="81"/>
            <rFont val="宋体"/>
            <family val="3"/>
            <charset val="134"/>
          </rPr>
          <t xml:space="preserve">
</t>
        </r>
      </text>
    </comment>
    <comment ref="L108" authorId="0">
      <text>
        <r>
          <rPr>
            <b/>
            <sz val="9"/>
            <color indexed="81"/>
            <rFont val="宋体"/>
            <family val="3"/>
            <charset val="134"/>
          </rPr>
          <t xml:space="preserve">所在楼层
</t>
        </r>
        <r>
          <rPr>
            <sz val="9"/>
            <color indexed="81"/>
            <rFont val="宋体"/>
            <family val="3"/>
            <charset val="134"/>
          </rPr>
          <t xml:space="preserve">
</t>
        </r>
      </text>
    </comment>
    <comment ref="M108" authorId="0">
      <text>
        <r>
          <rPr>
            <b/>
            <sz val="9"/>
            <color indexed="81"/>
            <rFont val="宋体"/>
            <family val="3"/>
            <charset val="134"/>
          </rPr>
          <t xml:space="preserve">所在楼层
</t>
        </r>
        <r>
          <rPr>
            <sz val="9"/>
            <color indexed="81"/>
            <rFont val="宋体"/>
            <family val="3"/>
            <charset val="134"/>
          </rPr>
          <t xml:space="preserve">
</t>
        </r>
      </text>
    </comment>
    <comment ref="N108" authorId="0">
      <text>
        <r>
          <rPr>
            <b/>
            <sz val="9"/>
            <color indexed="81"/>
            <rFont val="宋体"/>
            <family val="3"/>
            <charset val="134"/>
          </rPr>
          <t xml:space="preserve">所在楼层
</t>
        </r>
        <r>
          <rPr>
            <sz val="9"/>
            <color indexed="81"/>
            <rFont val="宋体"/>
            <family val="3"/>
            <charset val="134"/>
          </rPr>
          <t xml:space="preserve">
</t>
        </r>
      </text>
    </comment>
    <comment ref="D113" authorId="0">
      <text>
        <r>
          <rPr>
            <b/>
            <sz val="9"/>
            <color indexed="81"/>
            <rFont val="宋体"/>
            <family val="3"/>
            <charset val="134"/>
          </rPr>
          <t>依用途、级别选择录入</t>
        </r>
        <r>
          <rPr>
            <sz val="9"/>
            <color indexed="81"/>
            <rFont val="宋体"/>
            <family val="3"/>
            <charset val="134"/>
          </rPr>
          <t xml:space="preserve">
</t>
        </r>
      </text>
    </comment>
  </commentList>
</comments>
</file>

<file path=xl/comments8.xml><?xml version="1.0" encoding="utf-8"?>
<comments xmlns="http://schemas.openxmlformats.org/spreadsheetml/2006/main">
  <authors>
    <author>USER</author>
    <author>崔锴</author>
  </authors>
  <commentList>
    <comment ref="F31" authorId="0">
      <text>
        <r>
          <rPr>
            <b/>
            <sz val="9"/>
            <color indexed="81"/>
            <rFont val="宋体"/>
            <family val="3"/>
            <charset val="134"/>
          </rPr>
          <t>北京，可执行综合税率：
个人住宅，月租10万（含）以内，2.5%，10万以上4%；
个人非宅：月租10万（含）以下的7%，10万以上的12%</t>
        </r>
        <r>
          <rPr>
            <sz val="9"/>
            <color indexed="81"/>
            <rFont val="宋体"/>
            <family val="3"/>
            <charset val="134"/>
          </rPr>
          <t xml:space="preserve">
</t>
        </r>
      </text>
    </comment>
    <comment ref="I53" authorId="1">
      <text>
        <r>
          <rPr>
            <sz val="11"/>
            <color indexed="81"/>
            <rFont val="宋体"/>
            <family val="3"/>
            <charset val="134"/>
          </rPr>
          <t>依据一般经验，应比建筑物资本化率高0.5%</t>
        </r>
        <r>
          <rPr>
            <sz val="9"/>
            <color indexed="81"/>
            <rFont val="宋体"/>
            <family val="3"/>
            <charset val="134"/>
          </rPr>
          <t xml:space="preserve">
</t>
        </r>
      </text>
    </comment>
    <comment ref="L53" authorId="1">
      <text>
        <r>
          <rPr>
            <sz val="11"/>
            <color indexed="81"/>
            <rFont val="宋体"/>
            <family val="3"/>
            <charset val="134"/>
          </rPr>
          <t xml:space="preserve">需注意，采用基准地价系数修正法中土地结果计算时，土地报酬率应采用该方法中报酬率（还原率）。
</t>
        </r>
      </text>
    </comment>
    <comment ref="L56" authorId="1">
      <text>
        <r>
          <rPr>
            <sz val="11"/>
            <color indexed="81"/>
            <rFont val="宋体"/>
            <family val="3"/>
            <charset val="134"/>
          </rPr>
          <t>采用租约时，尽量不选用收益还原法</t>
        </r>
        <r>
          <rPr>
            <sz val="9"/>
            <color indexed="81"/>
            <rFont val="宋体"/>
            <family val="3"/>
            <charset val="134"/>
          </rPr>
          <t xml:space="preserve">
</t>
        </r>
      </text>
    </comment>
    <comment ref="I57" authorId="1">
      <text>
        <r>
          <rPr>
            <sz val="11"/>
            <color indexed="81"/>
            <rFont val="宋体"/>
            <family val="3"/>
            <charset val="134"/>
          </rPr>
          <t>在建项目选择“是”</t>
        </r>
        <r>
          <rPr>
            <sz val="9"/>
            <color indexed="81"/>
            <rFont val="宋体"/>
            <family val="3"/>
            <charset val="134"/>
          </rPr>
          <t xml:space="preserve">
</t>
        </r>
      </text>
    </comment>
    <comment ref="F60" authorId="0">
      <text>
        <r>
          <rPr>
            <b/>
            <sz val="9"/>
            <color indexed="81"/>
            <rFont val="宋体"/>
            <family val="3"/>
            <charset val="134"/>
          </rPr>
          <t>个人房产计综合税率：个人住宅4.5%；个人非住宅，月租</t>
        </r>
        <r>
          <rPr>
            <b/>
            <sz val="9"/>
            <color indexed="81"/>
            <rFont val="宋体"/>
            <family val="3"/>
            <charset val="134"/>
          </rPr>
          <t>2万（含）以下的6%，2万以上的</t>
        </r>
        <r>
          <rPr>
            <b/>
            <sz val="9"/>
            <color indexed="81"/>
            <rFont val="宋体"/>
            <family val="3"/>
            <charset val="134"/>
          </rPr>
          <t>11%</t>
        </r>
        <r>
          <rPr>
            <sz val="9"/>
            <color indexed="81"/>
            <rFont val="宋体"/>
            <family val="3"/>
            <charset val="134"/>
          </rPr>
          <t xml:space="preserve">
</t>
        </r>
      </text>
    </comment>
  </commentList>
</comments>
</file>

<file path=xl/comments9.xml><?xml version="1.0" encoding="utf-8"?>
<comments xmlns="http://schemas.openxmlformats.org/spreadsheetml/2006/main">
  <authors>
    <author>崔锴</author>
    <author>USER</author>
  </authors>
  <commentList>
    <comment ref="B25" authorId="0">
      <text>
        <r>
          <rPr>
            <b/>
            <sz val="9"/>
            <color indexed="81"/>
            <rFont val="宋体"/>
            <family val="3"/>
            <charset val="134"/>
          </rPr>
          <t>适用总楼层相同时的修正（不考虑顶层减值）</t>
        </r>
        <r>
          <rPr>
            <sz val="9"/>
            <color indexed="81"/>
            <rFont val="宋体"/>
            <family val="3"/>
            <charset val="134"/>
          </rPr>
          <t xml:space="preserve">
</t>
        </r>
      </text>
    </comment>
    <comment ref="K48" authorId="0">
      <text>
        <r>
          <rPr>
            <b/>
            <sz val="9"/>
            <color indexed="81"/>
            <rFont val="宋体"/>
            <family val="3"/>
            <charset val="134"/>
          </rPr>
          <t>权重验证</t>
        </r>
        <r>
          <rPr>
            <sz val="9"/>
            <color indexed="81"/>
            <rFont val="宋体"/>
            <family val="3"/>
            <charset val="134"/>
          </rPr>
          <t xml:space="preserve">
</t>
        </r>
      </text>
    </comment>
    <comment ref="C58" authorId="1">
      <text>
        <r>
          <rPr>
            <b/>
            <sz val="12"/>
            <color indexed="81"/>
            <rFont val="宋体"/>
            <family val="3"/>
            <charset val="134"/>
          </rPr>
          <t>价值时点所在月度</t>
        </r>
        <r>
          <rPr>
            <sz val="12"/>
            <color indexed="81"/>
            <rFont val="宋体"/>
            <family val="3"/>
            <charset val="134"/>
          </rPr>
          <t xml:space="preserve">
</t>
        </r>
      </text>
    </comment>
    <comment ref="B102"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sharedStrings.xml><?xml version="1.0" encoding="utf-8"?>
<sst xmlns="http://schemas.openxmlformats.org/spreadsheetml/2006/main" count="6799" uniqueCount="2923">
  <si>
    <t>土地使用权证号</t>
    <phoneticPr fontId="6" type="noConversion"/>
  </si>
  <si>
    <t>——</t>
    <phoneticPr fontId="4" type="noConversion"/>
  </si>
  <si>
    <t>建筑面积依据</t>
    <phoneticPr fontId="6" type="noConversion"/>
  </si>
  <si>
    <t>建设内容/楼号</t>
    <phoneticPr fontId="6" type="noConversion"/>
  </si>
  <si>
    <t>1-2.1</t>
  </si>
  <si>
    <t>1-2.2</t>
  </si>
  <si>
    <t>1-2.3</t>
  </si>
  <si>
    <t>1-2.4</t>
  </si>
  <si>
    <t>1-3.1</t>
  </si>
  <si>
    <t>1-3.2</t>
  </si>
  <si>
    <t>1-3.3</t>
  </si>
  <si>
    <t>1-3.4</t>
    <phoneticPr fontId="14" type="noConversion"/>
  </si>
  <si>
    <t>v</t>
    <phoneticPr fontId="14" type="noConversion"/>
  </si>
  <si>
    <t>——</t>
    <phoneticPr fontId="14" type="noConversion"/>
  </si>
  <si>
    <t>3</t>
    <phoneticPr fontId="4" type="noConversion"/>
  </si>
  <si>
    <t>3-1</t>
    <phoneticPr fontId="4" type="noConversion"/>
  </si>
  <si>
    <t>3-1-1</t>
    <phoneticPr fontId="4" type="noConversion"/>
  </si>
  <si>
    <t>3-1-2</t>
    <phoneticPr fontId="4" type="noConversion"/>
  </si>
  <si>
    <t>3-1-3</t>
    <phoneticPr fontId="4" type="noConversion"/>
  </si>
  <si>
    <t>3-2</t>
    <phoneticPr fontId="4" type="noConversion"/>
  </si>
  <si>
    <t>3-3</t>
    <phoneticPr fontId="4" type="noConversion"/>
  </si>
  <si>
    <t>3-4</t>
    <phoneticPr fontId="4" type="noConversion"/>
  </si>
  <si>
    <t>4</t>
    <phoneticPr fontId="4" type="noConversion"/>
  </si>
  <si>
    <t>5</t>
    <phoneticPr fontId="4" type="noConversion"/>
  </si>
  <si>
    <t>6</t>
    <phoneticPr fontId="4" type="noConversion"/>
  </si>
  <si>
    <t>100/</t>
    <phoneticPr fontId="4" type="noConversion"/>
  </si>
  <si>
    <t>——</t>
    <phoneticPr fontId="4" type="noConversion"/>
  </si>
  <si>
    <t>100/</t>
    <phoneticPr fontId="4" type="noConversion"/>
  </si>
  <si>
    <t>100/</t>
    <phoneticPr fontId="4" type="noConversion"/>
  </si>
  <si>
    <t>好</t>
  </si>
  <si>
    <t>较好</t>
  </si>
  <si>
    <t>一般</t>
  </si>
  <si>
    <t>较差</t>
  </si>
  <si>
    <t>——</t>
    <phoneticPr fontId="14" type="noConversion"/>
  </si>
  <si>
    <t>100/</t>
    <phoneticPr fontId="4" type="noConversion"/>
  </si>
  <si>
    <t>差</t>
  </si>
  <si>
    <t>-</t>
    <phoneticPr fontId="25" type="noConversion"/>
  </si>
  <si>
    <t>-</t>
    <phoneticPr fontId="25" type="noConversion"/>
  </si>
  <si>
    <t>-</t>
    <phoneticPr fontId="25" type="noConversion"/>
  </si>
  <si>
    <t>-</t>
    <phoneticPr fontId="25" type="noConversion"/>
  </si>
  <si>
    <t>-</t>
    <phoneticPr fontId="25" type="noConversion"/>
  </si>
  <si>
    <t>——</t>
    <phoneticPr fontId="31" type="noConversion"/>
  </si>
  <si>
    <t>3</t>
    <phoneticPr fontId="31" type="noConversion"/>
  </si>
  <si>
    <t>4</t>
    <phoneticPr fontId="31" type="noConversion"/>
  </si>
  <si>
    <t>5</t>
    <phoneticPr fontId="31" type="noConversion"/>
  </si>
  <si>
    <t>——</t>
    <phoneticPr fontId="20" type="noConversion"/>
  </si>
  <si>
    <t>4</t>
    <phoneticPr fontId="28" type="noConversion"/>
  </si>
  <si>
    <t>2</t>
    <phoneticPr fontId="31" type="noConversion"/>
  </si>
  <si>
    <t>——</t>
    <phoneticPr fontId="8" type="noConversion"/>
  </si>
  <si>
    <t>限价商品房</t>
  </si>
  <si>
    <t>自住商品房</t>
  </si>
  <si>
    <t>合计</t>
  </si>
  <si>
    <t>经营性用途</t>
  </si>
  <si>
    <t>非经营性用途</t>
  </si>
  <si>
    <t>小计</t>
  </si>
  <si>
    <t>京顺国用（2015出）第00113号</t>
  </si>
  <si>
    <t>2015规（顺）建字0005号</t>
  </si>
  <si>
    <t>1#自住商品房</t>
  </si>
  <si>
    <t>2015规（顺）建字0004号</t>
  </si>
  <si>
    <t>3#限价商品房</t>
  </si>
  <si>
    <t>4#限价商品房</t>
  </si>
  <si>
    <t>2#变电室及物业</t>
  </si>
  <si>
    <t>地下车库</t>
  </si>
  <si>
    <t>地下车库</t>
    <phoneticPr fontId="36" type="noConversion"/>
  </si>
  <si>
    <t>地下公共配套设施</t>
    <phoneticPr fontId="36" type="noConversion"/>
  </si>
  <si>
    <t>地上物业管理用房</t>
    <phoneticPr fontId="36" type="noConversion"/>
  </si>
  <si>
    <t>地下设备及其他</t>
    <phoneticPr fontId="36" type="noConversion"/>
  </si>
  <si>
    <t>分摊土地面积</t>
    <phoneticPr fontId="36" type="noConversion"/>
  </si>
  <si>
    <t>建筑面积</t>
    <phoneticPr fontId="36" type="noConversion"/>
  </si>
  <si>
    <t>面积合计</t>
    <phoneticPr fontId="36" type="noConversion"/>
  </si>
  <si>
    <t>六级</t>
  </si>
  <si>
    <t>1.1</t>
    <phoneticPr fontId="31" type="noConversion"/>
  </si>
  <si>
    <t>1.2</t>
    <phoneticPr fontId="31" type="noConversion"/>
  </si>
  <si>
    <t>2.1</t>
    <phoneticPr fontId="31" type="noConversion"/>
  </si>
  <si>
    <t>2.1.1</t>
    <phoneticPr fontId="31" type="noConversion"/>
  </si>
  <si>
    <t>2.1.2</t>
    <phoneticPr fontId="31" type="noConversion"/>
  </si>
  <si>
    <t>2.1.3</t>
    <phoneticPr fontId="31" type="noConversion"/>
  </si>
  <si>
    <t>2.2</t>
    <phoneticPr fontId="31" type="noConversion"/>
  </si>
  <si>
    <t>2.3</t>
    <phoneticPr fontId="31" type="noConversion"/>
  </si>
  <si>
    <t>2.4</t>
    <phoneticPr fontId="31" type="noConversion"/>
  </si>
  <si>
    <t>2.5</t>
    <phoneticPr fontId="31" type="noConversion"/>
  </si>
  <si>
    <t>2.6</t>
    <phoneticPr fontId="31" type="noConversion"/>
  </si>
  <si>
    <r>
      <rPr>
        <sz val="11"/>
        <color indexed="8"/>
        <rFont val="楷体_GB2312"/>
        <family val="3"/>
        <charset val="134"/>
      </rPr>
      <t>好</t>
    </r>
    <phoneticPr fontId="4" type="noConversion"/>
  </si>
  <si>
    <r>
      <rPr>
        <sz val="11"/>
        <color indexed="8"/>
        <rFont val="楷体_GB2312"/>
        <family val="3"/>
        <charset val="134"/>
      </rPr>
      <t>较好</t>
    </r>
    <phoneticPr fontId="4" type="noConversion"/>
  </si>
  <si>
    <r>
      <rPr>
        <sz val="11"/>
        <color indexed="8"/>
        <rFont val="楷体_GB2312"/>
        <family val="3"/>
        <charset val="134"/>
      </rPr>
      <t>一般</t>
    </r>
    <phoneticPr fontId="4" type="noConversion"/>
  </si>
  <si>
    <r>
      <rPr>
        <sz val="11"/>
        <color indexed="8"/>
        <rFont val="楷体_GB2312"/>
        <family val="3"/>
        <charset val="134"/>
      </rPr>
      <t>较差</t>
    </r>
    <phoneticPr fontId="4" type="noConversion"/>
  </si>
  <si>
    <r>
      <rPr>
        <sz val="11"/>
        <color indexed="8"/>
        <rFont val="楷体_GB2312"/>
        <family val="3"/>
        <charset val="134"/>
      </rPr>
      <t>差</t>
    </r>
    <phoneticPr fontId="4" type="noConversion"/>
  </si>
  <si>
    <t>四级</t>
  </si>
  <si>
    <t>Ⅱ—03</t>
  </si>
  <si>
    <t>A1</t>
    <phoneticPr fontId="4" type="noConversion"/>
  </si>
  <si>
    <t>A2</t>
  </si>
  <si>
    <t>A3</t>
  </si>
  <si>
    <t>A4</t>
  </si>
  <si>
    <t>2016-2</t>
  </si>
  <si>
    <t>2014-1</t>
  </si>
  <si>
    <t>2014-2</t>
  </si>
  <si>
    <t>2014-3</t>
  </si>
  <si>
    <t>2014-4</t>
  </si>
  <si>
    <t>2015-1</t>
  </si>
  <si>
    <t>2015-2</t>
  </si>
  <si>
    <t>2015-3</t>
  </si>
  <si>
    <t>2015-4</t>
  </si>
  <si>
    <t>2016-1</t>
  </si>
  <si>
    <t>2016-3</t>
  </si>
  <si>
    <t>R&gt;10</t>
    <phoneticPr fontId="4" type="noConversion"/>
  </si>
  <si>
    <t>北京市区片基准地价表</t>
    <phoneticPr fontId="4" type="noConversion"/>
  </si>
  <si>
    <t>一级</t>
    <phoneticPr fontId="4" type="noConversion"/>
  </si>
  <si>
    <t>二级</t>
    <phoneticPr fontId="4" type="noConversion"/>
  </si>
  <si>
    <t>三级</t>
    <phoneticPr fontId="4" type="noConversion"/>
  </si>
  <si>
    <t>四级</t>
    <phoneticPr fontId="4" type="noConversion"/>
  </si>
  <si>
    <t>五级</t>
    <phoneticPr fontId="4" type="noConversion"/>
  </si>
  <si>
    <t>六级</t>
    <phoneticPr fontId="4" type="noConversion"/>
  </si>
  <si>
    <t>七级</t>
    <phoneticPr fontId="4" type="noConversion"/>
  </si>
  <si>
    <t>八级</t>
    <phoneticPr fontId="4" type="noConversion"/>
  </si>
  <si>
    <t>九级</t>
    <phoneticPr fontId="4" type="noConversion"/>
  </si>
  <si>
    <t>十级</t>
    <phoneticPr fontId="4" type="noConversion"/>
  </si>
  <si>
    <t>十一级</t>
    <phoneticPr fontId="4" type="noConversion"/>
  </si>
  <si>
    <t>十二级</t>
    <phoneticPr fontId="4" type="noConversion"/>
  </si>
  <si>
    <t>基准日期：2014年1月1日                                                    单位：元/建筑平方米</t>
    <phoneticPr fontId="4" type="noConversion"/>
  </si>
  <si>
    <t>Ⅰ—01</t>
    <phoneticPr fontId="4" type="noConversion"/>
  </si>
  <si>
    <t>Ⅱ—01</t>
    <phoneticPr fontId="4" type="noConversion"/>
  </si>
  <si>
    <t>Ⅲ—01</t>
    <phoneticPr fontId="4" type="noConversion"/>
  </si>
  <si>
    <t>Ⅳ-01</t>
    <phoneticPr fontId="4" type="noConversion"/>
  </si>
  <si>
    <t>Ⅴ-01</t>
    <phoneticPr fontId="4" type="noConversion"/>
  </si>
  <si>
    <t>Ⅵ-01</t>
    <phoneticPr fontId="4" type="noConversion"/>
  </si>
  <si>
    <t>Ⅶ-01</t>
    <phoneticPr fontId="4" type="noConversion"/>
  </si>
  <si>
    <t>Ⅷ-01</t>
    <phoneticPr fontId="4" type="noConversion"/>
  </si>
  <si>
    <t>Ⅸ-01</t>
    <phoneticPr fontId="4" type="noConversion"/>
  </si>
  <si>
    <t>Ⅹ-01</t>
    <phoneticPr fontId="4" type="noConversion"/>
  </si>
  <si>
    <t>Ⅺ-门1</t>
    <phoneticPr fontId="4" type="noConversion"/>
  </si>
  <si>
    <t>Ⅻ-门1</t>
    <phoneticPr fontId="4" type="noConversion"/>
  </si>
  <si>
    <t>级别</t>
    <phoneticPr fontId="4" type="noConversion"/>
  </si>
  <si>
    <t>商业</t>
    <phoneticPr fontId="4" type="noConversion"/>
  </si>
  <si>
    <t>办公</t>
    <phoneticPr fontId="4" type="noConversion"/>
  </si>
  <si>
    <t>居住</t>
    <phoneticPr fontId="4" type="noConversion"/>
  </si>
  <si>
    <t>工业</t>
    <phoneticPr fontId="4" type="noConversion"/>
  </si>
  <si>
    <t>Ⅰ—02</t>
    <phoneticPr fontId="4" type="noConversion"/>
  </si>
  <si>
    <t>Ⅱ—02</t>
  </si>
  <si>
    <t>Ⅲ—02</t>
  </si>
  <si>
    <t>Ⅳ-02</t>
  </si>
  <si>
    <t>Ⅴ-02</t>
  </si>
  <si>
    <t>Ⅵ-02</t>
  </si>
  <si>
    <t>Ⅶ-02</t>
  </si>
  <si>
    <t>Ⅷ-02</t>
  </si>
  <si>
    <t>Ⅸ-02</t>
  </si>
  <si>
    <t>Ⅹ-02</t>
  </si>
  <si>
    <t>Ⅺ-门斋</t>
    <phoneticPr fontId="4" type="noConversion"/>
  </si>
  <si>
    <t>Ⅻ-房1</t>
    <phoneticPr fontId="4" type="noConversion"/>
  </si>
  <si>
    <t>区片编号</t>
    <phoneticPr fontId="4" type="noConversion"/>
  </si>
  <si>
    <t>区片价格</t>
    <phoneticPr fontId="4" type="noConversion"/>
  </si>
  <si>
    <t>Ⅰ—03</t>
  </si>
  <si>
    <t>Ⅲ—03</t>
  </si>
  <si>
    <t>Ⅳ-03</t>
  </si>
  <si>
    <t>Ⅴ-03</t>
  </si>
  <si>
    <t>Ⅵ-03</t>
  </si>
  <si>
    <t>Ⅶ-03</t>
  </si>
  <si>
    <t>Ⅷ-03</t>
  </si>
  <si>
    <t>Ⅸ-门1</t>
    <phoneticPr fontId="4" type="noConversion"/>
  </si>
  <si>
    <t>Ⅹ-门1</t>
    <phoneticPr fontId="4" type="noConversion"/>
  </si>
  <si>
    <t>Ⅺ-房1</t>
    <phoneticPr fontId="4" type="noConversion"/>
  </si>
  <si>
    <t>Ⅻ-昌1</t>
    <phoneticPr fontId="4" type="noConversion"/>
  </si>
  <si>
    <t>一级</t>
  </si>
  <si>
    <t>Ⅰ—04</t>
  </si>
  <si>
    <t>Ⅱ—04</t>
  </si>
  <si>
    <t>Ⅲ—04</t>
  </si>
  <si>
    <t>Ⅳ-04</t>
  </si>
  <si>
    <t>Ⅴ-04</t>
  </si>
  <si>
    <t>Ⅵ-04</t>
  </si>
  <si>
    <t>Ⅶ-04</t>
  </si>
  <si>
    <t>Ⅷ-04</t>
  </si>
  <si>
    <t>Ⅸ-门2</t>
    <phoneticPr fontId="4" type="noConversion"/>
  </si>
  <si>
    <t>Ⅹ-房1</t>
    <phoneticPr fontId="4" type="noConversion"/>
  </si>
  <si>
    <t>Ⅺ-房2</t>
  </si>
  <si>
    <t>Ⅻ-平1</t>
    <phoneticPr fontId="4" type="noConversion"/>
  </si>
  <si>
    <t>Ⅰ—05</t>
  </si>
  <si>
    <t>Ⅱ—05</t>
  </si>
  <si>
    <t>Ⅲ—05</t>
  </si>
  <si>
    <t>Ⅳ-05</t>
  </si>
  <si>
    <t>Ⅴ-05</t>
  </si>
  <si>
    <t>Ⅵ-05</t>
  </si>
  <si>
    <t>Ⅶ-05</t>
  </si>
  <si>
    <t>Ⅷ-门1</t>
    <phoneticPr fontId="4" type="noConversion"/>
  </si>
  <si>
    <t>Ⅸ-门潭</t>
    <phoneticPr fontId="4" type="noConversion"/>
  </si>
  <si>
    <t>Ⅹ-房2</t>
  </si>
  <si>
    <t>Ⅺ-通1</t>
    <phoneticPr fontId="4" type="noConversion"/>
  </si>
  <si>
    <t>Ⅻ-怀1</t>
    <phoneticPr fontId="4" type="noConversion"/>
  </si>
  <si>
    <t>三级</t>
    <phoneticPr fontId="4" type="noConversion"/>
  </si>
  <si>
    <t>Ⅱ—06</t>
  </si>
  <si>
    <t>Ⅲ—06</t>
  </si>
  <si>
    <t>Ⅳ-06</t>
  </si>
  <si>
    <t>Ⅴ-06</t>
  </si>
  <si>
    <t>Ⅵ-06</t>
  </si>
  <si>
    <t>Ⅶ-06</t>
  </si>
  <si>
    <t>Ⅷ-门军</t>
    <phoneticPr fontId="4" type="noConversion"/>
  </si>
  <si>
    <t>Ⅸ-房1</t>
    <phoneticPr fontId="4" type="noConversion"/>
  </si>
  <si>
    <t>Ⅹ-通1</t>
    <phoneticPr fontId="4" type="noConversion"/>
  </si>
  <si>
    <t>Ⅺ-顺1</t>
    <phoneticPr fontId="4" type="noConversion"/>
  </si>
  <si>
    <t>Ⅻ-密1</t>
    <phoneticPr fontId="4" type="noConversion"/>
  </si>
  <si>
    <t>四级</t>
    <phoneticPr fontId="4" type="noConversion"/>
  </si>
  <si>
    <t>Ⅱ—07</t>
  </si>
  <si>
    <t>Ⅲ—07</t>
  </si>
  <si>
    <t>Ⅳ-07</t>
  </si>
  <si>
    <t>Ⅴ-07</t>
  </si>
  <si>
    <t>Ⅵ-07</t>
  </si>
  <si>
    <t>Ⅶ-07</t>
  </si>
  <si>
    <t>Ⅷ-房1</t>
    <phoneticPr fontId="4" type="noConversion"/>
  </si>
  <si>
    <t>Ⅸ-房2</t>
  </si>
  <si>
    <t>Ⅹ-顺1</t>
    <phoneticPr fontId="4" type="noConversion"/>
  </si>
  <si>
    <t>Ⅺ-兴1</t>
    <phoneticPr fontId="4" type="noConversion"/>
  </si>
  <si>
    <t>Ⅻ-延1</t>
    <phoneticPr fontId="4" type="noConversion"/>
  </si>
  <si>
    <t>五级</t>
    <phoneticPr fontId="4" type="noConversion"/>
  </si>
  <si>
    <t>Ⅱ—08</t>
  </si>
  <si>
    <t>Ⅲ—08</t>
  </si>
  <si>
    <t>Ⅳ-08</t>
  </si>
  <si>
    <t>Ⅴ-08</t>
  </si>
  <si>
    <t>Ⅵ-08</t>
  </si>
  <si>
    <t>Ⅶ-08</t>
  </si>
  <si>
    <t>Ⅷ-房2</t>
  </si>
  <si>
    <t>Ⅸ-房3</t>
  </si>
  <si>
    <t>Ⅹ-顺2</t>
  </si>
  <si>
    <t>Ⅺ-兴2</t>
    <phoneticPr fontId="4" type="noConversion"/>
  </si>
  <si>
    <t>二级</t>
  </si>
  <si>
    <t>Ⅱ—01</t>
    <phoneticPr fontId="4" type="noConversion"/>
  </si>
  <si>
    <t>六级</t>
    <phoneticPr fontId="4" type="noConversion"/>
  </si>
  <si>
    <t>Ⅱ—09</t>
  </si>
  <si>
    <t>Ⅲ—09</t>
  </si>
  <si>
    <t>Ⅳ-09</t>
  </si>
  <si>
    <t>Ⅴ-09</t>
  </si>
  <si>
    <t>Ⅵ-09</t>
  </si>
  <si>
    <t>Ⅶ-09</t>
  </si>
  <si>
    <t>Ⅷ-房3</t>
  </si>
  <si>
    <t>Ⅸ-房4</t>
  </si>
  <si>
    <t>Ⅹ-顺3</t>
  </si>
  <si>
    <t>Ⅺ-昌1</t>
    <phoneticPr fontId="4" type="noConversion"/>
  </si>
  <si>
    <t>七级</t>
    <phoneticPr fontId="4" type="noConversion"/>
  </si>
  <si>
    <t>Ⅱ—10</t>
  </si>
  <si>
    <t>Ⅲ—10</t>
  </si>
  <si>
    <t>Ⅳ-10</t>
  </si>
  <si>
    <t>Ⅴ-10</t>
  </si>
  <si>
    <t>Ⅵ-10</t>
  </si>
  <si>
    <t>Ⅶ-10</t>
  </si>
  <si>
    <t>Ⅷ-通1</t>
    <phoneticPr fontId="4" type="noConversion"/>
  </si>
  <si>
    <t>Ⅸ-房5</t>
  </si>
  <si>
    <t>Ⅹ-兴1</t>
    <phoneticPr fontId="4" type="noConversion"/>
  </si>
  <si>
    <t>Ⅺ-昌2</t>
  </si>
  <si>
    <t>八级</t>
    <phoneticPr fontId="4" type="noConversion"/>
  </si>
  <si>
    <t>Ⅱ—11</t>
  </si>
  <si>
    <t>Ⅲ—11</t>
  </si>
  <si>
    <t>Ⅳ-11</t>
  </si>
  <si>
    <t>Ⅴ-11</t>
  </si>
  <si>
    <t>Ⅵ-11</t>
  </si>
  <si>
    <t>Ⅶ-11</t>
  </si>
  <si>
    <t>Ⅷ-通2</t>
  </si>
  <si>
    <t>Ⅸ-房6</t>
  </si>
  <si>
    <t>Ⅹ-兴2</t>
  </si>
  <si>
    <t>Ⅺ-平1</t>
    <phoneticPr fontId="4" type="noConversion"/>
  </si>
  <si>
    <t>九级</t>
    <phoneticPr fontId="4" type="noConversion"/>
  </si>
  <si>
    <t>Ⅱ—12</t>
  </si>
  <si>
    <t>Ⅲ—12</t>
  </si>
  <si>
    <t>Ⅳ-12</t>
  </si>
  <si>
    <t>Ⅴ-12</t>
  </si>
  <si>
    <t>Ⅵ-12</t>
  </si>
  <si>
    <t>Ⅶ-12</t>
  </si>
  <si>
    <t>Ⅷ-通3</t>
  </si>
  <si>
    <t>Ⅸ-通1</t>
    <phoneticPr fontId="4" type="noConversion"/>
  </si>
  <si>
    <t>Ⅹ-昌1</t>
    <phoneticPr fontId="4" type="noConversion"/>
  </si>
  <si>
    <t>Ⅺ-平2</t>
  </si>
  <si>
    <t>十级</t>
    <phoneticPr fontId="4" type="noConversion"/>
  </si>
  <si>
    <t>Ⅱ—13</t>
  </si>
  <si>
    <t>Ⅲ—13</t>
  </si>
  <si>
    <t>Ⅳ-13</t>
  </si>
  <si>
    <t>Ⅴ-13</t>
  </si>
  <si>
    <t>Ⅵ-13</t>
  </si>
  <si>
    <t>Ⅶ-13</t>
  </si>
  <si>
    <t>Ⅷ-顺1</t>
    <phoneticPr fontId="4" type="noConversion"/>
  </si>
  <si>
    <t>Ⅸ-通2</t>
  </si>
  <si>
    <t>Ⅹ-昌2</t>
  </si>
  <si>
    <t>Ⅺ-平3</t>
  </si>
  <si>
    <t>十一级</t>
    <phoneticPr fontId="4" type="noConversion"/>
  </si>
  <si>
    <t>Ⅱ—14</t>
  </si>
  <si>
    <t>Ⅲ—14</t>
  </si>
  <si>
    <t>Ⅳ-14</t>
  </si>
  <si>
    <t>Ⅴ-14</t>
  </si>
  <si>
    <t>Ⅵ-14</t>
  </si>
  <si>
    <t>Ⅶ-门1</t>
    <phoneticPr fontId="4" type="noConversion"/>
  </si>
  <si>
    <t>Ⅷ-顺2</t>
  </si>
  <si>
    <t>Ⅸ-通3</t>
  </si>
  <si>
    <t>Ⅹ-昌3</t>
  </si>
  <si>
    <t>Ⅺ-平4</t>
  </si>
  <si>
    <t>十二级</t>
    <phoneticPr fontId="4" type="noConversion"/>
  </si>
  <si>
    <t>Ⅱ—15</t>
  </si>
  <si>
    <t>Ⅲ—15</t>
  </si>
  <si>
    <t>Ⅳ-15</t>
  </si>
  <si>
    <t>Ⅴ-15</t>
  </si>
  <si>
    <t>Ⅵ-15</t>
  </si>
  <si>
    <t>Ⅶ-房1</t>
    <phoneticPr fontId="4" type="noConversion"/>
  </si>
  <si>
    <t>Ⅷ-顺3</t>
    <phoneticPr fontId="4" type="noConversion"/>
  </si>
  <si>
    <t>Ⅸ-顺1</t>
    <phoneticPr fontId="4" type="noConversion"/>
  </si>
  <si>
    <t>Ⅹ-平1</t>
    <phoneticPr fontId="4" type="noConversion"/>
  </si>
  <si>
    <t>Ⅺ-怀1</t>
    <phoneticPr fontId="4" type="noConversion"/>
  </si>
  <si>
    <t>Ⅱ—16</t>
  </si>
  <si>
    <t>Ⅲ—16</t>
  </si>
  <si>
    <t>Ⅳ-16</t>
  </si>
  <si>
    <t>Ⅴ-16</t>
  </si>
  <si>
    <t>Ⅵ-16</t>
  </si>
  <si>
    <t>Ⅶ-房2</t>
  </si>
  <si>
    <t>Ⅷ-顺4</t>
  </si>
  <si>
    <t>Ⅸ-顺2</t>
  </si>
  <si>
    <t>Ⅹ-平2</t>
  </si>
  <si>
    <t>Ⅺ-怀2</t>
  </si>
  <si>
    <t>Ⅱ—17</t>
  </si>
  <si>
    <t>Ⅲ—17</t>
  </si>
  <si>
    <t>Ⅳ-17</t>
  </si>
  <si>
    <t>Ⅴ-17</t>
  </si>
  <si>
    <t>Ⅵ-17</t>
  </si>
  <si>
    <t>Ⅶ-通1</t>
    <phoneticPr fontId="4" type="noConversion"/>
  </si>
  <si>
    <t>Ⅷ-顺5</t>
  </si>
  <si>
    <t>Ⅸ-顺3</t>
  </si>
  <si>
    <t>Ⅹ-怀1</t>
    <phoneticPr fontId="4" type="noConversion"/>
  </si>
  <si>
    <t>Ⅺ-密1</t>
    <phoneticPr fontId="4" type="noConversion"/>
  </si>
  <si>
    <t>Ⅱ—18</t>
  </si>
  <si>
    <t>Ⅲ—18</t>
  </si>
  <si>
    <t>Ⅳ-18</t>
  </si>
  <si>
    <t>Ⅴ-18</t>
  </si>
  <si>
    <t>Ⅵ-18</t>
  </si>
  <si>
    <t>Ⅶ-顺1</t>
    <phoneticPr fontId="4" type="noConversion"/>
  </si>
  <si>
    <t>Ⅷ-顺6</t>
  </si>
  <si>
    <t>Ⅸ-顺4</t>
  </si>
  <si>
    <t>Ⅹ-怀2</t>
  </si>
  <si>
    <t>Ⅺ-密2</t>
  </si>
  <si>
    <t>Ⅱ—19</t>
  </si>
  <si>
    <t>Ⅲ—19</t>
  </si>
  <si>
    <t>Ⅳ-19</t>
  </si>
  <si>
    <t>Ⅴ-19</t>
  </si>
  <si>
    <t>Ⅵ-19</t>
  </si>
  <si>
    <t>Ⅶ-顺2</t>
  </si>
  <si>
    <t>Ⅷ-顺7</t>
  </si>
  <si>
    <t>Ⅸ-兴1</t>
    <phoneticPr fontId="4" type="noConversion"/>
  </si>
  <si>
    <t>Ⅹ-怀3</t>
  </si>
  <si>
    <t>Ⅺ-密3</t>
  </si>
  <si>
    <t>Ⅲ—20</t>
  </si>
  <si>
    <t>Ⅳ-20</t>
  </si>
  <si>
    <t>Ⅴ-20</t>
  </si>
  <si>
    <t>Ⅵ-20</t>
  </si>
  <si>
    <t>Ⅶ-兴1</t>
    <phoneticPr fontId="4" type="noConversion"/>
  </si>
  <si>
    <t>Ⅷ-兴1</t>
    <phoneticPr fontId="4" type="noConversion"/>
  </si>
  <si>
    <t>Ⅸ-兴2</t>
  </si>
  <si>
    <t>Ⅹ-密1</t>
    <phoneticPr fontId="4" type="noConversion"/>
  </si>
  <si>
    <t>Ⅺ-延1</t>
    <phoneticPr fontId="4" type="noConversion"/>
  </si>
  <si>
    <t>Ⅱ—13</t>
    <phoneticPr fontId="4" type="noConversion"/>
  </si>
  <si>
    <t>Ⅳ-21</t>
  </si>
  <si>
    <t>Ⅴ-21</t>
  </si>
  <si>
    <t>Ⅵ-21</t>
  </si>
  <si>
    <t>Ⅶ-兴2</t>
  </si>
  <si>
    <t>Ⅷ-兴2</t>
  </si>
  <si>
    <t>Ⅸ-兴3</t>
  </si>
  <si>
    <t>Ⅹ-延1</t>
    <phoneticPr fontId="4" type="noConversion"/>
  </si>
  <si>
    <t>Ⅺ-延2</t>
  </si>
  <si>
    <t>Ⅳ-22</t>
  </si>
  <si>
    <t>Ⅴ-22</t>
  </si>
  <si>
    <t>Ⅵ-22</t>
  </si>
  <si>
    <t>Ⅶ-兴3</t>
  </si>
  <si>
    <t>Ⅷ-昌1</t>
    <phoneticPr fontId="4" type="noConversion"/>
  </si>
  <si>
    <t>Ⅸ-兴4</t>
  </si>
  <si>
    <t>Ⅹ-延2</t>
  </si>
  <si>
    <t>Ⅳ-23</t>
  </si>
  <si>
    <t>Ⅴ-23</t>
  </si>
  <si>
    <t>Ⅵ-23</t>
  </si>
  <si>
    <t>Ⅶ-昌1</t>
    <phoneticPr fontId="4" type="noConversion"/>
  </si>
  <si>
    <t>Ⅷ-昌2</t>
  </si>
  <si>
    <t>Ⅸ-兴5</t>
  </si>
  <si>
    <t>Ⅹ-亦1</t>
    <phoneticPr fontId="4" type="noConversion"/>
  </si>
  <si>
    <t>Ⅳ-电子城东</t>
    <phoneticPr fontId="4" type="noConversion"/>
  </si>
  <si>
    <t>Ⅴ-24</t>
  </si>
  <si>
    <t>Ⅵ-24</t>
  </si>
  <si>
    <t>Ⅶ-昌2</t>
  </si>
  <si>
    <t>Ⅷ-昌3</t>
  </si>
  <si>
    <t>Ⅸ-昌1</t>
    <phoneticPr fontId="4" type="noConversion"/>
  </si>
  <si>
    <t>Ⅹ-马坊工业园</t>
    <phoneticPr fontId="4" type="noConversion"/>
  </si>
  <si>
    <t>Ⅳ-电子城西</t>
    <phoneticPr fontId="4" type="noConversion"/>
  </si>
  <si>
    <t>Ⅴ-25</t>
  </si>
  <si>
    <t>Ⅵ-通1</t>
    <phoneticPr fontId="4" type="noConversion"/>
  </si>
  <si>
    <t>Ⅶ-昌3</t>
  </si>
  <si>
    <t>Ⅷ-昌4</t>
  </si>
  <si>
    <t>Ⅸ-昌2</t>
  </si>
  <si>
    <t>Ⅹ-延庆开发区</t>
    <phoneticPr fontId="4" type="noConversion"/>
  </si>
  <si>
    <t>Ⅳ-上地核心</t>
    <phoneticPr fontId="4" type="noConversion"/>
  </si>
  <si>
    <t>Ⅴ-26</t>
  </si>
  <si>
    <t>Ⅵ-通2</t>
  </si>
  <si>
    <t>Ⅶ-昌4</t>
  </si>
  <si>
    <t>Ⅷ-平1</t>
    <phoneticPr fontId="4" type="noConversion"/>
  </si>
  <si>
    <t>Ⅸ-昌3</t>
  </si>
  <si>
    <t>Ⅹ-八达岭开发区</t>
    <phoneticPr fontId="4" type="noConversion"/>
  </si>
  <si>
    <t>Ⅳ-丰台园东</t>
    <phoneticPr fontId="4" type="noConversion"/>
  </si>
  <si>
    <t>Ⅴ-电子城北</t>
    <phoneticPr fontId="4" type="noConversion"/>
  </si>
  <si>
    <t>Ⅵ-通3</t>
  </si>
  <si>
    <t>Ⅶ-昌5</t>
  </si>
  <si>
    <t>Ⅷ-怀1</t>
    <phoneticPr fontId="4" type="noConversion"/>
  </si>
  <si>
    <t>Ⅸ-昌4</t>
  </si>
  <si>
    <t>三级</t>
  </si>
  <si>
    <t>Ⅲ—01</t>
    <phoneticPr fontId="4" type="noConversion"/>
  </si>
  <si>
    <t>Ⅴ-永丰产业基地</t>
    <phoneticPr fontId="4" type="noConversion"/>
  </si>
  <si>
    <t>Ⅵ-通4</t>
  </si>
  <si>
    <t>Ⅶ-亦1</t>
    <phoneticPr fontId="4" type="noConversion"/>
  </si>
  <si>
    <t>Ⅷ-密1</t>
    <phoneticPr fontId="4" type="noConversion"/>
  </si>
  <si>
    <t>Ⅸ-昌5</t>
  </si>
  <si>
    <t>Ⅴ-航天城</t>
    <phoneticPr fontId="4" type="noConversion"/>
  </si>
  <si>
    <t>Ⅵ-顺1</t>
    <phoneticPr fontId="4" type="noConversion"/>
  </si>
  <si>
    <t>Ⅶ-国际教育园</t>
    <phoneticPr fontId="4" type="noConversion"/>
  </si>
  <si>
    <t>Ⅸ-昌南</t>
    <phoneticPr fontId="4" type="noConversion"/>
  </si>
  <si>
    <r>
      <t>Ⅴ-西北旺</t>
    </r>
    <r>
      <rPr>
        <sz val="10"/>
        <color indexed="8"/>
        <rFont val="宋体"/>
        <family val="3"/>
        <charset val="134"/>
      </rPr>
      <t>Ⅰ</t>
    </r>
    <phoneticPr fontId="4" type="noConversion"/>
  </si>
  <si>
    <t>Ⅵ-兴1</t>
    <phoneticPr fontId="4" type="noConversion"/>
  </si>
  <si>
    <t>Ⅶ-农林园</t>
    <phoneticPr fontId="4" type="noConversion"/>
  </si>
  <si>
    <t>Ⅷ-亦1</t>
    <phoneticPr fontId="4" type="noConversion"/>
  </si>
  <si>
    <t>Ⅸ-平1</t>
    <phoneticPr fontId="4" type="noConversion"/>
  </si>
  <si>
    <r>
      <t>Ⅴ-西北旺</t>
    </r>
    <r>
      <rPr>
        <sz val="10"/>
        <color indexed="8"/>
        <rFont val="宋体"/>
        <family val="3"/>
        <charset val="134"/>
      </rPr>
      <t>Ⅱ</t>
    </r>
    <phoneticPr fontId="4" type="noConversion"/>
  </si>
  <si>
    <t>Ⅵ-昌1</t>
    <phoneticPr fontId="4" type="noConversion"/>
  </si>
  <si>
    <t>Ⅶ-上庄科技</t>
    <phoneticPr fontId="4" type="noConversion"/>
  </si>
  <si>
    <t>Ⅷ-亦2</t>
  </si>
  <si>
    <t>Ⅸ-怀1</t>
    <phoneticPr fontId="4" type="noConversion"/>
  </si>
  <si>
    <t>Ⅴ-石景山园南区</t>
    <phoneticPr fontId="4" type="noConversion"/>
  </si>
  <si>
    <t>Ⅵ-昌2</t>
  </si>
  <si>
    <t>Ⅶ-文化教育基地</t>
    <phoneticPr fontId="4" type="noConversion"/>
  </si>
  <si>
    <t>Ⅷ-良乡开发区A</t>
    <phoneticPr fontId="4" type="noConversion"/>
  </si>
  <si>
    <t>Ⅸ-密1</t>
    <phoneticPr fontId="4" type="noConversion"/>
  </si>
  <si>
    <r>
      <t>Ⅴ-石景山园北</t>
    </r>
    <r>
      <rPr>
        <sz val="10"/>
        <color indexed="8"/>
        <rFont val="宋体"/>
        <family val="3"/>
        <charset val="134"/>
      </rPr>
      <t>Ⅰ</t>
    </r>
    <phoneticPr fontId="4" type="noConversion"/>
  </si>
  <si>
    <t>Ⅵ-昌3</t>
  </si>
  <si>
    <r>
      <t>Ⅶ-苏家坨科技</t>
    </r>
    <r>
      <rPr>
        <sz val="10"/>
        <color indexed="8"/>
        <rFont val="宋体"/>
        <family val="3"/>
        <charset val="134"/>
      </rPr>
      <t>Ⅰ</t>
    </r>
    <phoneticPr fontId="4" type="noConversion"/>
  </si>
  <si>
    <t>Ⅷ-良乡开发区B</t>
    <phoneticPr fontId="4" type="noConversion"/>
  </si>
  <si>
    <t>Ⅸ-延1</t>
    <phoneticPr fontId="4" type="noConversion"/>
  </si>
  <si>
    <r>
      <t>Ⅴ-石景山园北</t>
    </r>
    <r>
      <rPr>
        <sz val="10"/>
        <color indexed="8"/>
        <rFont val="宋体"/>
        <family val="3"/>
        <charset val="134"/>
      </rPr>
      <t>Ⅱ</t>
    </r>
    <phoneticPr fontId="4" type="noConversion"/>
  </si>
  <si>
    <t>Ⅵ-昌4</t>
  </si>
  <si>
    <r>
      <t>Ⅶ-苏家坨科技</t>
    </r>
    <r>
      <rPr>
        <sz val="10"/>
        <color indexed="8"/>
        <rFont val="宋体"/>
        <family val="3"/>
        <charset val="134"/>
      </rPr>
      <t>Ⅱ</t>
    </r>
    <phoneticPr fontId="4" type="noConversion"/>
  </si>
  <si>
    <t>Ⅷ-良乡开发区C</t>
    <phoneticPr fontId="4" type="noConversion"/>
  </si>
  <si>
    <t>Ⅸ-亦1</t>
    <phoneticPr fontId="4" type="noConversion"/>
  </si>
  <si>
    <t>Ⅵ-亦1</t>
    <phoneticPr fontId="4" type="noConversion"/>
  </si>
  <si>
    <r>
      <t>Ⅶ-丰台园西</t>
    </r>
    <r>
      <rPr>
        <sz val="10"/>
        <color indexed="8"/>
        <rFont val="宋体"/>
        <family val="3"/>
        <charset val="134"/>
      </rPr>
      <t>Ⅰ</t>
    </r>
    <phoneticPr fontId="4" type="noConversion"/>
  </si>
  <si>
    <t>Ⅷ-通州环保园</t>
    <phoneticPr fontId="4" type="noConversion"/>
  </si>
  <si>
    <t>Ⅸ-房山工业园东</t>
    <phoneticPr fontId="4" type="noConversion"/>
  </si>
  <si>
    <t>Ⅵ-创新园</t>
    <phoneticPr fontId="4" type="noConversion"/>
  </si>
  <si>
    <r>
      <t>Ⅶ-丰台园西</t>
    </r>
    <r>
      <rPr>
        <sz val="10"/>
        <color indexed="8"/>
        <rFont val="宋体"/>
        <family val="3"/>
        <charset val="134"/>
      </rPr>
      <t>Ⅱ</t>
    </r>
    <phoneticPr fontId="4" type="noConversion"/>
  </si>
  <si>
    <t>Ⅷ-空港北区A</t>
    <phoneticPr fontId="4" type="noConversion"/>
  </si>
  <si>
    <t>Ⅸ-房山工业园西</t>
    <phoneticPr fontId="4" type="noConversion"/>
  </si>
  <si>
    <t>Ⅵ-海淀环保园</t>
    <phoneticPr fontId="4" type="noConversion"/>
  </si>
  <si>
    <t>Ⅶ-石龙开发区</t>
    <phoneticPr fontId="4" type="noConversion"/>
  </si>
  <si>
    <t>Ⅷ-空港北区B</t>
    <phoneticPr fontId="4" type="noConversion"/>
  </si>
  <si>
    <t>Ⅸ-通州开发区东</t>
    <phoneticPr fontId="4" type="noConversion"/>
  </si>
  <si>
    <r>
      <t>Ⅵ-温泉科技</t>
    </r>
    <r>
      <rPr>
        <sz val="10"/>
        <color indexed="8"/>
        <rFont val="宋体"/>
        <family val="3"/>
        <charset val="134"/>
      </rPr>
      <t>Ⅰ</t>
    </r>
    <phoneticPr fontId="4" type="noConversion"/>
  </si>
  <si>
    <t>Ⅶ-光机电</t>
    <phoneticPr fontId="4" type="noConversion"/>
  </si>
  <si>
    <t>Ⅷ-生物医药基地</t>
    <phoneticPr fontId="4" type="noConversion"/>
  </si>
  <si>
    <t>Ⅸ-永乐开发区</t>
    <phoneticPr fontId="4" type="noConversion"/>
  </si>
  <si>
    <r>
      <t>Ⅵ-温泉科技</t>
    </r>
    <r>
      <rPr>
        <sz val="10"/>
        <color indexed="8"/>
        <rFont val="宋体"/>
        <family val="3"/>
        <charset val="134"/>
      </rPr>
      <t>Ⅱ</t>
    </r>
    <phoneticPr fontId="4" type="noConversion"/>
  </si>
  <si>
    <t>Ⅶ-通州开发区西</t>
    <phoneticPr fontId="4" type="noConversion"/>
  </si>
  <si>
    <t>Ⅷ-小汤山工业园</t>
    <phoneticPr fontId="4" type="noConversion"/>
  </si>
  <si>
    <t>Ⅸ-采育开发区</t>
    <phoneticPr fontId="4" type="noConversion"/>
  </si>
  <si>
    <r>
      <t>Ⅵ-温泉科技</t>
    </r>
    <r>
      <rPr>
        <sz val="10"/>
        <color indexed="8"/>
        <rFont val="宋体"/>
        <family val="3"/>
        <charset val="134"/>
      </rPr>
      <t>Ⅲ</t>
    </r>
    <phoneticPr fontId="4" type="noConversion"/>
  </si>
  <si>
    <t>Ⅶ-林河开发区</t>
    <phoneticPr fontId="4" type="noConversion"/>
  </si>
  <si>
    <t>Ⅸ-兴谷开发区A</t>
    <phoneticPr fontId="4" type="noConversion"/>
  </si>
  <si>
    <t>Ⅵ-天竺保税区南</t>
    <phoneticPr fontId="4" type="noConversion"/>
  </si>
  <si>
    <t>Ⅶ-大兴开发区</t>
    <phoneticPr fontId="4" type="noConversion"/>
  </si>
  <si>
    <t>Ⅸ-兴谷开发区B</t>
    <phoneticPr fontId="4" type="noConversion"/>
  </si>
  <si>
    <t>Ⅵ-天竺保税区北1</t>
    <phoneticPr fontId="4" type="noConversion"/>
  </si>
  <si>
    <r>
      <t>Ⅶ-昌平园南</t>
    </r>
    <r>
      <rPr>
        <sz val="10"/>
        <color indexed="8"/>
        <rFont val="宋体"/>
        <family val="3"/>
        <charset val="134"/>
      </rPr>
      <t>Ⅰ</t>
    </r>
    <phoneticPr fontId="4" type="noConversion"/>
  </si>
  <si>
    <t>Ⅸ-雁栖开发区A</t>
    <phoneticPr fontId="4" type="noConversion"/>
  </si>
  <si>
    <t>Ⅵ-天竺保税区北2</t>
  </si>
  <si>
    <r>
      <t>Ⅶ-昌平园南</t>
    </r>
    <r>
      <rPr>
        <sz val="10"/>
        <color indexed="8"/>
        <rFont val="宋体"/>
        <family val="3"/>
        <charset val="134"/>
      </rPr>
      <t>Ⅱ</t>
    </r>
    <phoneticPr fontId="4" type="noConversion"/>
  </si>
  <si>
    <t>Ⅸ-雁栖开发区B</t>
    <phoneticPr fontId="4" type="noConversion"/>
  </si>
  <si>
    <t>Ⅵ-空港A</t>
    <phoneticPr fontId="4" type="noConversion"/>
  </si>
  <si>
    <r>
      <t>Ⅶ-昌平园北</t>
    </r>
    <r>
      <rPr>
        <sz val="10"/>
        <color indexed="8"/>
        <rFont val="宋体"/>
        <family val="3"/>
        <charset val="134"/>
      </rPr>
      <t>Ⅰ</t>
    </r>
    <phoneticPr fontId="4" type="noConversion"/>
  </si>
  <si>
    <t>Ⅸ-雁栖开发区C</t>
    <phoneticPr fontId="4" type="noConversion"/>
  </si>
  <si>
    <t>Ⅵ-空港B</t>
    <phoneticPr fontId="4" type="noConversion"/>
  </si>
  <si>
    <r>
      <t>Ⅶ-昌平园北</t>
    </r>
    <r>
      <rPr>
        <sz val="10"/>
        <color indexed="8"/>
        <rFont val="宋体"/>
        <family val="3"/>
        <charset val="134"/>
      </rPr>
      <t>Ⅱ</t>
    </r>
    <phoneticPr fontId="4" type="noConversion"/>
  </si>
  <si>
    <t>Ⅸ-密云开发区</t>
    <phoneticPr fontId="4" type="noConversion"/>
  </si>
  <si>
    <t>Ⅵ-生命科学园</t>
    <phoneticPr fontId="4" type="noConversion"/>
  </si>
  <si>
    <r>
      <t>Ⅶ-昌平园北</t>
    </r>
    <r>
      <rPr>
        <sz val="10"/>
        <color indexed="8"/>
        <rFont val="宋体"/>
        <family val="3"/>
        <charset val="134"/>
      </rPr>
      <t>Ⅲ</t>
    </r>
    <phoneticPr fontId="4" type="noConversion"/>
  </si>
  <si>
    <t>Ⅵ-昌三一光电</t>
    <phoneticPr fontId="4" type="noConversion"/>
  </si>
  <si>
    <t>Ⅶ-BDA东</t>
    <phoneticPr fontId="4" type="noConversion"/>
  </si>
  <si>
    <t>Ⅳ-01</t>
    <phoneticPr fontId="4" type="noConversion"/>
  </si>
  <si>
    <t>Ⅵ-BDA核心</t>
    <phoneticPr fontId="4" type="noConversion"/>
  </si>
  <si>
    <t>Ⅶ-BDA西</t>
    <phoneticPr fontId="4" type="noConversion"/>
  </si>
  <si>
    <t>五级</t>
  </si>
  <si>
    <t>Ⅴ-01</t>
    <phoneticPr fontId="4" type="noConversion"/>
  </si>
  <si>
    <t>Ⅵ-01</t>
    <phoneticPr fontId="4" type="noConversion"/>
  </si>
  <si>
    <t>七级</t>
  </si>
  <si>
    <t>Ⅶ-01</t>
    <phoneticPr fontId="4" type="noConversion"/>
  </si>
  <si>
    <t>八级</t>
  </si>
  <si>
    <t>Ⅷ-01</t>
    <phoneticPr fontId="4" type="noConversion"/>
  </si>
  <si>
    <t>九级</t>
  </si>
  <si>
    <t>Ⅸ-01</t>
    <phoneticPr fontId="4" type="noConversion"/>
  </si>
  <si>
    <t>Ⅸ-门1</t>
    <phoneticPr fontId="4" type="noConversion"/>
  </si>
  <si>
    <t>Ⅸ-门2</t>
    <phoneticPr fontId="4" type="noConversion"/>
  </si>
  <si>
    <t>十级</t>
  </si>
  <si>
    <t>Ⅹ-01</t>
    <phoneticPr fontId="4" type="noConversion"/>
  </si>
  <si>
    <t>Ⅹ-门1</t>
    <phoneticPr fontId="4" type="noConversion"/>
  </si>
  <si>
    <t>Ⅹ-门斋</t>
    <phoneticPr fontId="4" type="noConversion"/>
  </si>
  <si>
    <t>Ⅹ-房1</t>
    <phoneticPr fontId="4" type="noConversion"/>
  </si>
  <si>
    <t>Ⅺ-门1</t>
    <phoneticPr fontId="4" type="noConversion"/>
  </si>
  <si>
    <t>Ⅺ-门斋</t>
    <phoneticPr fontId="4" type="noConversion"/>
  </si>
  <si>
    <t>Ⅺ-房1</t>
    <phoneticPr fontId="4" type="noConversion"/>
  </si>
  <si>
    <t>Ⅻ-门1</t>
    <phoneticPr fontId="4" type="noConversion"/>
  </si>
  <si>
    <t>Ⅻ-房1</t>
    <phoneticPr fontId="4" type="noConversion"/>
  </si>
  <si>
    <t>Ⅻ-昌1</t>
    <phoneticPr fontId="4" type="noConversion"/>
  </si>
  <si>
    <t>Ⅻ-平1</t>
    <phoneticPr fontId="4" type="noConversion"/>
  </si>
  <si>
    <t>土地级别</t>
    <phoneticPr fontId="4" type="noConversion"/>
  </si>
  <si>
    <t>通路</t>
    <phoneticPr fontId="4" type="noConversion"/>
  </si>
  <si>
    <t>通电</t>
    <phoneticPr fontId="4" type="noConversion"/>
  </si>
  <si>
    <t>通讯</t>
    <phoneticPr fontId="4" type="noConversion"/>
  </si>
  <si>
    <t>通上水</t>
    <phoneticPr fontId="4" type="noConversion"/>
  </si>
  <si>
    <t>通下水</t>
    <phoneticPr fontId="4" type="noConversion"/>
  </si>
  <si>
    <t>通热</t>
    <phoneticPr fontId="4" type="noConversion"/>
  </si>
  <si>
    <t>燃气</t>
    <phoneticPr fontId="4" type="noConversion"/>
  </si>
  <si>
    <t>平整</t>
    <phoneticPr fontId="4" type="noConversion"/>
  </si>
  <si>
    <t>——</t>
    <phoneticPr fontId="4" type="noConversion"/>
  </si>
  <si>
    <t>北京市基准地价用途修正系数表</t>
    <phoneticPr fontId="4" type="noConversion"/>
  </si>
  <si>
    <t>用途</t>
    <phoneticPr fontId="4" type="noConversion"/>
  </si>
  <si>
    <t>用途类别划分</t>
    <phoneticPr fontId="4" type="noConversion"/>
  </si>
  <si>
    <t>用途修正  系数</t>
    <phoneticPr fontId="4" type="noConversion"/>
  </si>
  <si>
    <t>比准类别</t>
    <phoneticPr fontId="4" type="noConversion"/>
  </si>
  <si>
    <t>批发零售用地</t>
    <phoneticPr fontId="4" type="noConversion"/>
  </si>
  <si>
    <t>（指主要用于商品批发、零售的用地，包括商场、商店、超市、各类批发（零售）市场、加油站等及其附属的小型仓库、车间、工场等）</t>
    <phoneticPr fontId="4" type="noConversion"/>
  </si>
  <si>
    <t>其他类别</t>
    <phoneticPr fontId="4" type="noConversion"/>
  </si>
  <si>
    <t>住宿餐饮用地</t>
    <phoneticPr fontId="4" type="noConversion"/>
  </si>
  <si>
    <t>（指主要用于提供住宿、餐饮服务的用地，包括宾馆、酒店、饭店、旅馆、招待所、度假村、餐厅、酒吧等）</t>
    <phoneticPr fontId="4" type="noConversion"/>
  </si>
  <si>
    <t>商务金融用地（商业类）</t>
    <phoneticPr fontId="4" type="noConversion"/>
  </si>
  <si>
    <t>（指金融、证券、通讯、保险等营业网点用地）</t>
    <phoneticPr fontId="4" type="noConversion"/>
  </si>
  <si>
    <t>其他商服用地</t>
    <phoneticPr fontId="4" type="noConversion"/>
  </si>
  <si>
    <t>（指上述用地以外的其他商业、服务业用地，包括洗车场、洗染店、废旧物资回收站、维修网点、照相馆、理发美容店、洗浴场所、俱乐部、康乐中心、歌舞厅、赛车场、影视基地、影剧院、邮政、电信营业网点等）</t>
    <phoneticPr fontId="4" type="noConversion"/>
  </si>
  <si>
    <t>殡葬用地等特殊用地</t>
    <phoneticPr fontId="4" type="noConversion"/>
  </si>
  <si>
    <t>商务金融用地（办公类）</t>
    <phoneticPr fontId="4" type="noConversion"/>
  </si>
  <si>
    <t>（指企业、服务业等办公用地，以及经营性的办公场所用地，包括写字楼、商业性办公楼和企业厂区外独立的办公楼）</t>
    <phoneticPr fontId="4" type="noConversion"/>
  </si>
  <si>
    <t>其他商服用地（停车场、停车楼等用地）</t>
    <phoneticPr fontId="4" type="noConversion"/>
  </si>
  <si>
    <t>其他商服用地（指展览馆、会展中心等用地）</t>
    <phoneticPr fontId="4" type="noConversion"/>
  </si>
  <si>
    <t>机场航站楼用地</t>
    <phoneticPr fontId="4" type="noConversion"/>
  </si>
  <si>
    <t>科教用地</t>
    <phoneticPr fontId="4" type="noConversion"/>
  </si>
  <si>
    <t>（指用于各类教育，独立的科研、勘测、设计、技术推广、科普等的用地）</t>
    <phoneticPr fontId="4" type="noConversion"/>
  </si>
  <si>
    <t>新闻出版用地</t>
    <phoneticPr fontId="4" type="noConversion"/>
  </si>
  <si>
    <t>（指用于广播电台、电视台、电影厂、报社、杂志社、通讯社、出版社等的用地）、</t>
    <phoneticPr fontId="4" type="noConversion"/>
  </si>
  <si>
    <t>机关团体用地</t>
    <phoneticPr fontId="4" type="noConversion"/>
  </si>
  <si>
    <t>（指用于党政机关、社会团体、群众自治组织等的用地）</t>
    <phoneticPr fontId="4" type="noConversion"/>
  </si>
  <si>
    <t>医卫慈善用地</t>
    <phoneticPr fontId="4" type="noConversion"/>
  </si>
  <si>
    <t>（指用于医疗保健、卫生防疫、急救康复、医检药检、福利救助、养老设施等的用地）</t>
    <phoneticPr fontId="4" type="noConversion"/>
  </si>
  <si>
    <t>文体娱乐用地</t>
    <phoneticPr fontId="4" type="noConversion"/>
  </si>
  <si>
    <t>（指各类文化、体育及公共广场用地）</t>
    <phoneticPr fontId="4" type="noConversion"/>
  </si>
  <si>
    <t>产业用地</t>
    <phoneticPr fontId="4" type="noConversion"/>
  </si>
  <si>
    <t>（指高新技术产业研发与展示中心等产业用地）</t>
    <phoneticPr fontId="4" type="noConversion"/>
  </si>
  <si>
    <t>居住用地（指二类居住用地）</t>
    <phoneticPr fontId="4" type="noConversion"/>
  </si>
  <si>
    <t>（指二类居住用地（地上容积率≥１。）</t>
    <phoneticPr fontId="4" type="noConversion"/>
  </si>
  <si>
    <t>居住用地（指一类居住用地）</t>
    <phoneticPr fontId="4" type="noConversion"/>
  </si>
  <si>
    <t>（指一类居住用地（地上容积率＜１。）</t>
    <phoneticPr fontId="4" type="noConversion"/>
  </si>
  <si>
    <t>工业用地</t>
    <phoneticPr fontId="4" type="noConversion"/>
  </si>
  <si>
    <t>（指工业生产及直接为工业生产服务的附属设施用地）</t>
    <phoneticPr fontId="4" type="noConversion"/>
  </si>
  <si>
    <t>采矿用地</t>
    <phoneticPr fontId="4" type="noConversion"/>
  </si>
  <si>
    <t>（指采矿、采石、采砂（沙）场，盐田，砖瓦窑等地面生产设施及尾矿堆放地）</t>
    <phoneticPr fontId="4" type="noConversion"/>
  </si>
  <si>
    <t>仓储用地</t>
    <phoneticPr fontId="4" type="noConversion"/>
  </si>
  <si>
    <t>（指用于物资储备、中转的物流仓储场所等用地）</t>
    <phoneticPr fontId="4" type="noConversion"/>
  </si>
  <si>
    <t>公共设施用地</t>
    <phoneticPr fontId="4" type="noConversion"/>
  </si>
  <si>
    <t>（指用于城乡基础设施的用地，包括给排水、供电、供热、供气、邮政、电信、消防、环卫、公用设施维修等用地。）</t>
    <phoneticPr fontId="4" type="noConversion"/>
  </si>
  <si>
    <t>交通用地</t>
    <phoneticPr fontId="4" type="noConversion"/>
  </si>
  <si>
    <t>（指铁路用地、公路用地、机场用地、管道运输用地等，包括铁路、公路、机场、管道运输的地面线路、站场等用地以及城市道路、车站及其相应附属设施用地）</t>
    <phoneticPr fontId="4" type="noConversion"/>
  </si>
  <si>
    <t>备注：本用途修正系数仅适用于地上部分各类用途的修正，地下空间部分不适用上表中的用途修正，直接使用地下空间修正</t>
    <phoneticPr fontId="4" type="noConversion"/>
  </si>
  <si>
    <t>地下</t>
    <phoneticPr fontId="4" type="noConversion"/>
  </si>
  <si>
    <t>地下仓储</t>
    <phoneticPr fontId="4" type="noConversion"/>
  </si>
  <si>
    <t>车库</t>
    <phoneticPr fontId="4" type="noConversion"/>
  </si>
  <si>
    <t>—</t>
    <phoneticPr fontId="4" type="noConversion"/>
  </si>
  <si>
    <t>北京市商业路线价加价幅度表</t>
    <phoneticPr fontId="4" type="noConversion"/>
  </si>
  <si>
    <t>序号</t>
    <phoneticPr fontId="4" type="noConversion"/>
  </si>
  <si>
    <t>区县</t>
    <phoneticPr fontId="4" type="noConversion"/>
  </si>
  <si>
    <t>商业街名称</t>
    <phoneticPr fontId="4" type="noConversion"/>
  </si>
  <si>
    <t>起止点</t>
    <phoneticPr fontId="4" type="noConversion"/>
  </si>
  <si>
    <t>加价幅度</t>
    <phoneticPr fontId="4" type="noConversion"/>
  </si>
  <si>
    <t>标准深度（m）</t>
    <phoneticPr fontId="4" type="noConversion"/>
  </si>
  <si>
    <t>东城区</t>
    <phoneticPr fontId="4" type="noConversion"/>
  </si>
  <si>
    <t>东长安街</t>
    <phoneticPr fontId="4" type="noConversion"/>
  </si>
  <si>
    <t>天安门——东单</t>
    <phoneticPr fontId="4" type="noConversion"/>
  </si>
  <si>
    <t>建国门内大街</t>
    <phoneticPr fontId="4" type="noConversion"/>
  </si>
  <si>
    <t>建国门——东单</t>
    <phoneticPr fontId="4" type="noConversion"/>
  </si>
  <si>
    <t>王府井商业街</t>
    <phoneticPr fontId="4" type="noConversion"/>
  </si>
  <si>
    <t>东长安街——五四大街</t>
    <phoneticPr fontId="4" type="noConversion"/>
  </si>
  <si>
    <t>东单北大街</t>
    <phoneticPr fontId="4" type="noConversion"/>
  </si>
  <si>
    <t>金鱼胡同——东单路口</t>
    <phoneticPr fontId="4" type="noConversion"/>
  </si>
  <si>
    <t>东四南大街</t>
    <phoneticPr fontId="4" type="noConversion"/>
  </si>
  <si>
    <t>东四路口——金鱼胡同</t>
    <phoneticPr fontId="4" type="noConversion"/>
  </si>
  <si>
    <t>东直门内大街      （簋街）</t>
    <phoneticPr fontId="4" type="noConversion"/>
  </si>
  <si>
    <t>东直门桥——北新桥</t>
    <phoneticPr fontId="4" type="noConversion"/>
  </si>
  <si>
    <t>北京站东街</t>
    <phoneticPr fontId="4" type="noConversion"/>
  </si>
  <si>
    <t>建国门南大街——北京站</t>
    <phoneticPr fontId="4" type="noConversion"/>
  </si>
  <si>
    <t>北京站街</t>
    <phoneticPr fontId="4" type="noConversion"/>
  </si>
  <si>
    <t>建国门内大街——北京站</t>
    <phoneticPr fontId="4" type="noConversion"/>
  </si>
  <si>
    <t>东四十条</t>
    <phoneticPr fontId="4" type="noConversion"/>
  </si>
  <si>
    <t>东四十条桥——东四北大街</t>
    <phoneticPr fontId="4" type="noConversion"/>
  </si>
  <si>
    <t>张自忠路</t>
    <phoneticPr fontId="4" type="noConversion"/>
  </si>
  <si>
    <t>东四北大街——交道口南大街</t>
    <phoneticPr fontId="4" type="noConversion"/>
  </si>
  <si>
    <t>地安门东大街</t>
    <phoneticPr fontId="4" type="noConversion"/>
  </si>
  <si>
    <t>交道口南大街——地安门外大街</t>
    <phoneticPr fontId="4" type="noConversion"/>
  </si>
  <si>
    <t>前门商业街</t>
    <phoneticPr fontId="4" type="noConversion"/>
  </si>
  <si>
    <t>前门箭楼——珠市口</t>
    <phoneticPr fontId="4" type="noConversion"/>
  </si>
  <si>
    <t>崇外商业街</t>
    <phoneticPr fontId="4" type="noConversion"/>
  </si>
  <si>
    <t>崇文门——磁器口</t>
    <phoneticPr fontId="4" type="noConversion"/>
  </si>
  <si>
    <t>广渠门内大街</t>
    <phoneticPr fontId="4" type="noConversion"/>
  </si>
  <si>
    <t>广渠门——磁器口</t>
    <phoneticPr fontId="4" type="noConversion"/>
  </si>
  <si>
    <t>珠市口东大街</t>
    <phoneticPr fontId="4" type="noConversion"/>
  </si>
  <si>
    <t>磁器口——珠市口</t>
    <phoneticPr fontId="4" type="noConversion"/>
  </si>
  <si>
    <t>西城区</t>
    <phoneticPr fontId="4" type="noConversion"/>
  </si>
  <si>
    <t>西长安街</t>
    <phoneticPr fontId="4" type="noConversion"/>
  </si>
  <si>
    <t>天安门——西单</t>
    <phoneticPr fontId="4" type="noConversion"/>
  </si>
  <si>
    <t>复兴门内大街</t>
    <phoneticPr fontId="4" type="noConversion"/>
  </si>
  <si>
    <t>西单——复兴门</t>
    <phoneticPr fontId="4" type="noConversion"/>
  </si>
  <si>
    <t>复兴门外大街</t>
    <phoneticPr fontId="4" type="noConversion"/>
  </si>
  <si>
    <t>复兴门——木樨地</t>
    <phoneticPr fontId="4" type="noConversion"/>
  </si>
  <si>
    <t>西单商业街</t>
    <phoneticPr fontId="4" type="noConversion"/>
  </si>
  <si>
    <t>西单——辟才胡同</t>
    <phoneticPr fontId="4" type="noConversion"/>
  </si>
  <si>
    <t>西四商业街</t>
    <phoneticPr fontId="4" type="noConversion"/>
  </si>
  <si>
    <t>辟才胡同——平安里</t>
    <phoneticPr fontId="4" type="noConversion"/>
  </si>
  <si>
    <t>新街口商业街</t>
    <phoneticPr fontId="4" type="noConversion"/>
  </si>
  <si>
    <t>平安里——积水潭桥</t>
    <phoneticPr fontId="4" type="noConversion"/>
  </si>
  <si>
    <t>双旗杆西街       （福利特商业街）</t>
    <phoneticPr fontId="4" type="noConversion"/>
  </si>
  <si>
    <t>北三环中路——黄寺大街</t>
    <phoneticPr fontId="4" type="noConversion"/>
  </si>
  <si>
    <t>地安门西大街</t>
    <phoneticPr fontId="4" type="noConversion"/>
  </si>
  <si>
    <t>地安门外大街——新街口南大街</t>
    <phoneticPr fontId="4" type="noConversion"/>
  </si>
  <si>
    <t>平安里西大街</t>
    <phoneticPr fontId="4" type="noConversion"/>
  </si>
  <si>
    <t>新街口南大街——车公庄</t>
    <phoneticPr fontId="4" type="noConversion"/>
  </si>
  <si>
    <t>大栅栏商业街</t>
    <phoneticPr fontId="4" type="noConversion"/>
  </si>
  <si>
    <t>前门大街——煤市街</t>
    <phoneticPr fontId="4" type="noConversion"/>
  </si>
  <si>
    <t>珠市口西大街</t>
    <phoneticPr fontId="4" type="noConversion"/>
  </si>
  <si>
    <t>珠市口——南新华街</t>
    <phoneticPr fontId="4" type="noConversion"/>
  </si>
  <si>
    <t>骡马市大街</t>
    <phoneticPr fontId="4" type="noConversion"/>
  </si>
  <si>
    <t>南新华街——菜市口</t>
    <phoneticPr fontId="4" type="noConversion"/>
  </si>
  <si>
    <t>广安门内大街</t>
    <phoneticPr fontId="4" type="noConversion"/>
  </si>
  <si>
    <t>菜市口——广安门桥</t>
    <phoneticPr fontId="4" type="noConversion"/>
  </si>
  <si>
    <t>宣武门外大街</t>
    <phoneticPr fontId="4" type="noConversion"/>
  </si>
  <si>
    <t>宣武门——菜市口</t>
    <phoneticPr fontId="4" type="noConversion"/>
  </si>
  <si>
    <t>菜市口大街</t>
    <phoneticPr fontId="4" type="noConversion"/>
  </si>
  <si>
    <t>菜市口——开阳桥</t>
    <phoneticPr fontId="4" type="noConversion"/>
  </si>
  <si>
    <t>马连道路</t>
    <phoneticPr fontId="4" type="noConversion"/>
  </si>
  <si>
    <t>广安门外大街——红莲南路</t>
    <phoneticPr fontId="4" type="noConversion"/>
  </si>
  <si>
    <t>朝阳区</t>
    <phoneticPr fontId="4" type="noConversion"/>
  </si>
  <si>
    <t>朝外商业街</t>
    <phoneticPr fontId="4" type="noConversion"/>
  </si>
  <si>
    <t>朝阳门——东大桥</t>
    <phoneticPr fontId="4" type="noConversion"/>
  </si>
  <si>
    <t>安立路</t>
    <phoneticPr fontId="4" type="noConversion"/>
  </si>
  <si>
    <t>安慧桥——慧忠北路</t>
    <phoneticPr fontId="4" type="noConversion"/>
  </si>
  <si>
    <t>三里屯路</t>
    <phoneticPr fontId="4" type="noConversion"/>
  </si>
  <si>
    <t>工人体育场北路——东直门外大街</t>
    <phoneticPr fontId="4" type="noConversion"/>
  </si>
  <si>
    <t>秀水街</t>
    <phoneticPr fontId="4" type="noConversion"/>
  </si>
  <si>
    <t>建国门外大街——光华路</t>
    <phoneticPr fontId="4" type="noConversion"/>
  </si>
  <si>
    <t>大羊坊路         （十里河建材商业街）</t>
    <phoneticPr fontId="4" type="noConversion"/>
  </si>
  <si>
    <t>十里河桥——小武基路</t>
    <phoneticPr fontId="4" type="noConversion"/>
  </si>
  <si>
    <t>建国门外大街</t>
    <phoneticPr fontId="4" type="noConversion"/>
  </si>
  <si>
    <t>建国门桥——国贸桥</t>
    <phoneticPr fontId="4" type="noConversion"/>
  </si>
  <si>
    <t>建国路</t>
    <phoneticPr fontId="4" type="noConversion"/>
  </si>
  <si>
    <t>国贸桥——西大望路</t>
    <phoneticPr fontId="4" type="noConversion"/>
  </si>
  <si>
    <t>海淀区</t>
    <phoneticPr fontId="4" type="noConversion"/>
  </si>
  <si>
    <t>中关村大街</t>
    <phoneticPr fontId="4" type="noConversion"/>
  </si>
  <si>
    <t>海淀南路——北四环</t>
    <phoneticPr fontId="4" type="noConversion"/>
  </si>
  <si>
    <t>复兴路</t>
    <phoneticPr fontId="4" type="noConversion"/>
  </si>
  <si>
    <t>木樨地——万寿路</t>
    <phoneticPr fontId="4" type="noConversion"/>
  </si>
  <si>
    <t>海淀中路</t>
    <phoneticPr fontId="4" type="noConversion"/>
  </si>
  <si>
    <t>丰台区</t>
    <phoneticPr fontId="4" type="noConversion"/>
  </si>
  <si>
    <t>蒲芳路、紫芳路    （方庄商业街）</t>
    <phoneticPr fontId="4" type="noConversion"/>
  </si>
  <si>
    <t>蒲黄榆路——方庄东路</t>
    <phoneticPr fontId="4" type="noConversion"/>
  </si>
  <si>
    <t>石景山区</t>
    <phoneticPr fontId="4" type="noConversion"/>
  </si>
  <si>
    <t>石景山路</t>
    <phoneticPr fontId="4" type="noConversion"/>
  </si>
  <si>
    <t>八宝山——八角桥</t>
    <phoneticPr fontId="4" type="noConversion"/>
  </si>
  <si>
    <t>门头沟区</t>
    <phoneticPr fontId="4" type="noConversion"/>
  </si>
  <si>
    <t>新桥大街</t>
    <phoneticPr fontId="4" type="noConversion"/>
  </si>
  <si>
    <t>门头沟路——双峪路</t>
    <phoneticPr fontId="4" type="noConversion"/>
  </si>
  <si>
    <t>房山区</t>
    <phoneticPr fontId="4" type="noConversion"/>
  </si>
  <si>
    <t>南关大街</t>
    <phoneticPr fontId="4" type="noConversion"/>
  </si>
  <si>
    <t>房山东大街——南关立交桥</t>
    <phoneticPr fontId="4" type="noConversion"/>
  </si>
  <si>
    <t>拱辰大街</t>
    <phoneticPr fontId="4" type="noConversion"/>
  </si>
  <si>
    <t>良乡中路——月华大街</t>
    <phoneticPr fontId="4" type="noConversion"/>
  </si>
  <si>
    <t>通州区</t>
    <phoneticPr fontId="4" type="noConversion"/>
  </si>
  <si>
    <t>新华大街</t>
    <phoneticPr fontId="4" type="noConversion"/>
  </si>
  <si>
    <t>车站路——通惠南路</t>
    <phoneticPr fontId="4" type="noConversion"/>
  </si>
  <si>
    <t>云景东路</t>
    <phoneticPr fontId="4" type="noConversion"/>
  </si>
  <si>
    <t>地铁八通线——云景南大街</t>
    <phoneticPr fontId="4" type="noConversion"/>
  </si>
  <si>
    <t>顺义区</t>
    <phoneticPr fontId="4" type="noConversion"/>
  </si>
  <si>
    <t>新顺大街</t>
    <phoneticPr fontId="4" type="noConversion"/>
  </si>
  <si>
    <t>幸福西街——站前街</t>
    <phoneticPr fontId="4" type="noConversion"/>
  </si>
  <si>
    <t>大兴区</t>
    <phoneticPr fontId="4" type="noConversion"/>
  </si>
  <si>
    <t>兴华大街</t>
    <phoneticPr fontId="4" type="noConversion"/>
  </si>
  <si>
    <t>金星西路——黄村火车站</t>
    <phoneticPr fontId="4" type="noConversion"/>
  </si>
  <si>
    <t>昌平区</t>
    <phoneticPr fontId="4" type="noConversion"/>
  </si>
  <si>
    <t>回龙观西大街</t>
    <phoneticPr fontId="4" type="noConversion"/>
  </si>
  <si>
    <t>京藏高速公路——文华西路</t>
    <phoneticPr fontId="4" type="noConversion"/>
  </si>
  <si>
    <t>鼓楼东、西街</t>
    <phoneticPr fontId="4" type="noConversion"/>
  </si>
  <si>
    <t>东环路——西环路</t>
    <phoneticPr fontId="4" type="noConversion"/>
  </si>
  <si>
    <t>鼓楼南、北街</t>
    <phoneticPr fontId="4" type="noConversion"/>
  </si>
  <si>
    <t>北环路——府学路</t>
    <phoneticPr fontId="4" type="noConversion"/>
  </si>
  <si>
    <t>平谷区</t>
    <phoneticPr fontId="4" type="noConversion"/>
  </si>
  <si>
    <t>步行街</t>
    <phoneticPr fontId="4" type="noConversion"/>
  </si>
  <si>
    <t>文化北街——向阳北街</t>
    <phoneticPr fontId="4" type="noConversion"/>
  </si>
  <si>
    <t>怀柔区</t>
    <phoneticPr fontId="4" type="noConversion"/>
  </si>
  <si>
    <t>商业街</t>
    <phoneticPr fontId="4" type="noConversion"/>
  </si>
  <si>
    <t>迎宾路——青春路</t>
    <phoneticPr fontId="4" type="noConversion"/>
  </si>
  <si>
    <t>密云县</t>
    <phoneticPr fontId="4" type="noConversion"/>
  </si>
  <si>
    <t>鼓楼东、西大街</t>
    <phoneticPr fontId="4" type="noConversion"/>
  </si>
  <si>
    <t>新中街——南更道</t>
    <phoneticPr fontId="4" type="noConversion"/>
  </si>
  <si>
    <t>鼓楼大街</t>
    <phoneticPr fontId="4" type="noConversion"/>
  </si>
  <si>
    <t>西大桥路——康复路</t>
    <phoneticPr fontId="4" type="noConversion"/>
  </si>
  <si>
    <t>延庆县</t>
    <phoneticPr fontId="4" type="noConversion"/>
  </si>
  <si>
    <t>东外大街</t>
    <phoneticPr fontId="4" type="noConversion"/>
  </si>
  <si>
    <t>香苑街——东顺城街</t>
    <phoneticPr fontId="4" type="noConversion"/>
  </si>
  <si>
    <t>不临58条商业街</t>
    <phoneticPr fontId="4" type="noConversion"/>
  </si>
  <si>
    <t>容积率</t>
    <phoneticPr fontId="4" type="noConversion"/>
  </si>
  <si>
    <t>北京市基准地价容积率修正系数表（商业）</t>
    <phoneticPr fontId="4" type="noConversion"/>
  </si>
  <si>
    <t>北京市基准地价容积率修正系数表（办公）</t>
    <phoneticPr fontId="4" type="noConversion"/>
  </si>
  <si>
    <t>北京市基准地价容积率修正系数表（居住）</t>
    <phoneticPr fontId="4" type="noConversion"/>
  </si>
  <si>
    <t>北京市基准地价容积率修正系数表（工业）</t>
    <phoneticPr fontId="4" type="noConversion"/>
  </si>
  <si>
    <t>结果不可超过《北京市区片基准地价因素总修正幅度表》所列修正幅度；依据估价对象用途调整链接</t>
    <phoneticPr fontId="4" type="noConversion"/>
  </si>
  <si>
    <t>影响因素</t>
    <phoneticPr fontId="4" type="noConversion"/>
  </si>
  <si>
    <t>情况说明</t>
    <phoneticPr fontId="4" type="noConversion"/>
  </si>
  <si>
    <t>等级</t>
    <phoneticPr fontId="4" type="noConversion"/>
  </si>
  <si>
    <t xml:space="preserve"> 商业繁华程度</t>
    <phoneticPr fontId="4" type="noConversion"/>
  </si>
  <si>
    <t>较好</t>
    <phoneticPr fontId="4" type="noConversion"/>
  </si>
  <si>
    <t>交通便捷度</t>
    <phoneticPr fontId="4" type="noConversion"/>
  </si>
  <si>
    <t>区域土地利用方向</t>
    <phoneticPr fontId="4" type="noConversion"/>
  </si>
  <si>
    <t>临街宽度和深度</t>
    <phoneticPr fontId="4" type="noConversion"/>
  </si>
  <si>
    <t>临街道路状况</t>
    <phoneticPr fontId="4" type="noConversion"/>
  </si>
  <si>
    <t>宗地形状及可利用程度</t>
    <phoneticPr fontId="4" type="noConversion"/>
  </si>
  <si>
    <t>公共服务设施状况</t>
    <phoneticPr fontId="4" type="noConversion"/>
  </si>
  <si>
    <t>基础设施完备状况</t>
    <phoneticPr fontId="4" type="noConversion"/>
  </si>
  <si>
    <t>自然和人文环境状况</t>
    <phoneticPr fontId="4" type="noConversion"/>
  </si>
  <si>
    <t>办公集聚程度</t>
    <phoneticPr fontId="4" type="noConversion"/>
  </si>
  <si>
    <t>居住社区成熟度</t>
    <phoneticPr fontId="4" type="noConversion"/>
  </si>
  <si>
    <t>临路状况</t>
    <phoneticPr fontId="4" type="noConversion"/>
  </si>
  <si>
    <t>与区域中心的接近程度</t>
    <phoneticPr fontId="4" type="noConversion"/>
  </si>
  <si>
    <t>产业集聚程度</t>
    <phoneticPr fontId="4" type="noConversion"/>
  </si>
  <si>
    <t>环境状况</t>
    <phoneticPr fontId="4" type="noConversion"/>
  </si>
  <si>
    <t>住宅</t>
    <phoneticPr fontId="4" type="noConversion"/>
  </si>
  <si>
    <t>住宅</t>
    <phoneticPr fontId="4" type="noConversion"/>
  </si>
  <si>
    <r>
      <rPr>
        <sz val="10"/>
        <color indexed="8"/>
        <rFont val="宋体"/>
        <family val="3"/>
        <charset val="134"/>
      </rPr>
      <t>修正系数</t>
    </r>
    <phoneticPr fontId="7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</si>
  <si>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</si>
  <si>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</si>
  <si>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</si>
  <si>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</si>
  <si>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</si>
  <si>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</si>
  <si>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t>宽度XX米，深度XX米,临街宽度及深度比例较适宜，对土地利用无不利影响</t>
    <phoneticPr fontId="74" type="noConversion"/>
  </si>
  <si>
    <t>宗地形状不规则，但对宗地利用影响较小</t>
    <phoneticPr fontId="74" type="noConversion"/>
  </si>
  <si>
    <t>临近区域中心，距离小于500米</t>
    <phoneticPr fontId="74" type="noConversion"/>
  </si>
  <si>
    <t>*</t>
    <phoneticPr fontId="14" type="noConversion"/>
  </si>
  <si>
    <t>二级分类</t>
    <phoneticPr fontId="4" type="noConversion"/>
  </si>
  <si>
    <t>抵押物名称</t>
    <phoneticPr fontId="8" type="noConversion"/>
  </si>
  <si>
    <t>（1）已抵押担保的债权数额</t>
    <phoneticPr fontId="8" type="noConversion"/>
  </si>
  <si>
    <t>（2）拖欠的建设工程价款</t>
    <phoneticPr fontId="8" type="noConversion"/>
  </si>
  <si>
    <t>（3）其他法定优先受偿款</t>
    <phoneticPr fontId="8" type="noConversion"/>
  </si>
  <si>
    <t>今日</t>
    <phoneticPr fontId="4" type="noConversion"/>
  </si>
  <si>
    <t>资质过期显示为红色</t>
    <phoneticPr fontId="4" type="noConversion"/>
  </si>
  <si>
    <t>注册房地产估价师</t>
    <phoneticPr fontId="4" type="noConversion"/>
  </si>
  <si>
    <t>注册证号</t>
    <phoneticPr fontId="4" type="noConversion"/>
  </si>
  <si>
    <t>资质有效期</t>
    <phoneticPr fontId="4" type="noConversion"/>
  </si>
  <si>
    <t>土地估价师</t>
    <phoneticPr fontId="4" type="noConversion"/>
  </si>
  <si>
    <t>证号</t>
    <phoneticPr fontId="4" type="noConversion"/>
  </si>
  <si>
    <t>梁津</t>
    <phoneticPr fontId="4" type="noConversion"/>
  </si>
  <si>
    <t>叶凌</t>
    <phoneticPr fontId="4" type="noConversion"/>
  </si>
  <si>
    <t>王鹏</t>
    <phoneticPr fontId="4" type="noConversion"/>
  </si>
  <si>
    <t>欧红伟</t>
    <phoneticPr fontId="4" type="noConversion"/>
  </si>
  <si>
    <t>吴薇</t>
    <phoneticPr fontId="4" type="noConversion"/>
  </si>
  <si>
    <t>陈颖</t>
    <phoneticPr fontId="4" type="noConversion"/>
  </si>
  <si>
    <t>崔锴</t>
    <phoneticPr fontId="4" type="noConversion"/>
  </si>
  <si>
    <t>郑燚</t>
    <phoneticPr fontId="4" type="noConversion"/>
  </si>
  <si>
    <t>刘敬东</t>
    <phoneticPr fontId="4" type="noConversion"/>
  </si>
  <si>
    <t>估价机构</t>
    <phoneticPr fontId="4" type="noConversion"/>
  </si>
  <si>
    <t>房地产</t>
    <phoneticPr fontId="4" type="noConversion"/>
  </si>
  <si>
    <t>土地</t>
    <phoneticPr fontId="4" type="noConversion"/>
  </si>
  <si>
    <t>证书名称</t>
    <phoneticPr fontId="4" type="noConversion"/>
  </si>
  <si>
    <t>号码</t>
    <phoneticPr fontId="4" type="noConversion"/>
  </si>
  <si>
    <t>资质有效期</t>
    <phoneticPr fontId="4" type="noConversion"/>
  </si>
  <si>
    <t>注册证书</t>
    <phoneticPr fontId="4" type="noConversion"/>
  </si>
  <si>
    <t>A201111009</t>
    <phoneticPr fontId="4" type="noConversion"/>
  </si>
  <si>
    <t>资信等级：A级</t>
    <phoneticPr fontId="4" type="noConversion"/>
  </si>
  <si>
    <t>北京康正宏基房地产评估有限公司</t>
    <phoneticPr fontId="4" type="noConversion"/>
  </si>
  <si>
    <t>房地产估价师及注册号</t>
    <phoneticPr fontId="81" type="noConversion"/>
  </si>
  <si>
    <t>土地估价师及注册号</t>
    <phoneticPr fontId="81" type="noConversion"/>
  </si>
  <si>
    <t>估价结果：</t>
    <phoneticPr fontId="84" type="noConversion"/>
  </si>
  <si>
    <t>建筑面积（平方米）</t>
    <phoneticPr fontId="8" type="noConversion"/>
  </si>
  <si>
    <t>1.房地产价值</t>
    <phoneticPr fontId="84" type="noConversion"/>
  </si>
  <si>
    <t>XX</t>
  </si>
  <si>
    <t>——</t>
    <phoneticPr fontId="86" type="noConversion"/>
  </si>
  <si>
    <t>北京市区片基准地价因素总修正幅度表</t>
    <phoneticPr fontId="4" type="noConversion"/>
  </si>
  <si>
    <t>商业</t>
    <phoneticPr fontId="4" type="noConversion"/>
  </si>
  <si>
    <t>办公</t>
    <phoneticPr fontId="4" type="noConversion"/>
  </si>
  <si>
    <t>住宅</t>
    <phoneticPr fontId="4" type="noConversion"/>
  </si>
  <si>
    <t>工业</t>
    <phoneticPr fontId="4" type="noConversion"/>
  </si>
  <si>
    <t>级别</t>
    <phoneticPr fontId="4" type="noConversion"/>
  </si>
  <si>
    <t>区片编号</t>
    <phoneticPr fontId="4" type="noConversion"/>
  </si>
  <si>
    <t>一级</t>
    <phoneticPr fontId="4" type="noConversion"/>
  </si>
  <si>
    <t>Ⅰ—01</t>
    <phoneticPr fontId="4" type="noConversion"/>
  </si>
  <si>
    <t>Ⅰ—02</t>
    <phoneticPr fontId="4" type="noConversion"/>
  </si>
  <si>
    <t>Ⅱ—01</t>
    <phoneticPr fontId="4" type="noConversion"/>
  </si>
  <si>
    <t>Ⅱ—13</t>
    <phoneticPr fontId="4" type="noConversion"/>
  </si>
  <si>
    <t>Ⅲ—01</t>
    <phoneticPr fontId="4" type="noConversion"/>
  </si>
  <si>
    <t>Ⅳ-01</t>
    <phoneticPr fontId="4" type="noConversion"/>
  </si>
  <si>
    <t>Ⅳ-电子城东</t>
    <phoneticPr fontId="4" type="noConversion"/>
  </si>
  <si>
    <t>Ⅳ-电子城西</t>
    <phoneticPr fontId="4" type="noConversion"/>
  </si>
  <si>
    <t>Ⅳ-上地核心</t>
    <phoneticPr fontId="4" type="noConversion"/>
  </si>
  <si>
    <t>Ⅳ-丰台园东</t>
    <phoneticPr fontId="4" type="noConversion"/>
  </si>
  <si>
    <t>Ⅴ-01</t>
    <phoneticPr fontId="4" type="noConversion"/>
  </si>
  <si>
    <t>Ⅴ-电子城北</t>
    <phoneticPr fontId="4" type="noConversion"/>
  </si>
  <si>
    <t>Ⅴ-永丰产业基地</t>
    <phoneticPr fontId="4" type="noConversion"/>
  </si>
  <si>
    <t>Ⅴ-航天城</t>
    <phoneticPr fontId="4" type="noConversion"/>
  </si>
  <si>
    <r>
      <t>Ⅴ-西北旺</t>
    </r>
    <r>
      <rPr>
        <sz val="10"/>
        <color indexed="8"/>
        <rFont val="宋体"/>
        <family val="3"/>
        <charset val="134"/>
      </rPr>
      <t>Ⅰ</t>
    </r>
    <phoneticPr fontId="4" type="noConversion"/>
  </si>
  <si>
    <r>
      <t>Ⅴ-西北旺</t>
    </r>
    <r>
      <rPr>
        <sz val="10"/>
        <color indexed="8"/>
        <rFont val="宋体"/>
        <family val="3"/>
        <charset val="134"/>
      </rPr>
      <t>Ⅱ</t>
    </r>
    <phoneticPr fontId="4" type="noConversion"/>
  </si>
  <si>
    <t>Ⅴ-石景山园南区</t>
    <phoneticPr fontId="4" type="noConversion"/>
  </si>
  <si>
    <r>
      <t>Ⅴ-石景山园北</t>
    </r>
    <r>
      <rPr>
        <sz val="10"/>
        <color indexed="8"/>
        <rFont val="宋体"/>
        <family val="3"/>
        <charset val="134"/>
      </rPr>
      <t>Ⅰ</t>
    </r>
    <phoneticPr fontId="4" type="noConversion"/>
  </si>
  <si>
    <r>
      <t>Ⅴ-石景山园北</t>
    </r>
    <r>
      <rPr>
        <sz val="10"/>
        <color indexed="8"/>
        <rFont val="宋体"/>
        <family val="3"/>
        <charset val="134"/>
      </rPr>
      <t>Ⅱ</t>
    </r>
    <phoneticPr fontId="4" type="noConversion"/>
  </si>
  <si>
    <t>Ⅵ-01</t>
    <phoneticPr fontId="4" type="noConversion"/>
  </si>
  <si>
    <t>Ⅵ-通1</t>
    <phoneticPr fontId="4" type="noConversion"/>
  </si>
  <si>
    <t>Ⅵ-顺1</t>
    <phoneticPr fontId="4" type="noConversion"/>
  </si>
  <si>
    <t>Ⅵ-兴1</t>
    <phoneticPr fontId="4" type="noConversion"/>
  </si>
  <si>
    <t>Ⅵ-昌1</t>
    <phoneticPr fontId="4" type="noConversion"/>
  </si>
  <si>
    <t>Ⅵ-亦1</t>
    <phoneticPr fontId="4" type="noConversion"/>
  </si>
  <si>
    <t>Ⅵ-创新园</t>
    <phoneticPr fontId="4" type="noConversion"/>
  </si>
  <si>
    <t>Ⅵ-海淀环保园</t>
    <phoneticPr fontId="4" type="noConversion"/>
  </si>
  <si>
    <r>
      <t>Ⅵ-温泉科技</t>
    </r>
    <r>
      <rPr>
        <sz val="10"/>
        <color indexed="8"/>
        <rFont val="宋体"/>
        <family val="3"/>
        <charset val="134"/>
      </rPr>
      <t>Ⅰ</t>
    </r>
    <phoneticPr fontId="4" type="noConversion"/>
  </si>
  <si>
    <r>
      <t>Ⅵ-温泉科技</t>
    </r>
    <r>
      <rPr>
        <sz val="10"/>
        <color indexed="8"/>
        <rFont val="宋体"/>
        <family val="3"/>
        <charset val="134"/>
      </rPr>
      <t>Ⅱ</t>
    </r>
    <phoneticPr fontId="4" type="noConversion"/>
  </si>
  <si>
    <r>
      <t>Ⅵ-温泉科技</t>
    </r>
    <r>
      <rPr>
        <sz val="10"/>
        <color indexed="8"/>
        <rFont val="宋体"/>
        <family val="3"/>
        <charset val="134"/>
      </rPr>
      <t>Ⅲ</t>
    </r>
    <phoneticPr fontId="4" type="noConversion"/>
  </si>
  <si>
    <t>Ⅵ-天竺保税区南</t>
    <phoneticPr fontId="4" type="noConversion"/>
  </si>
  <si>
    <t>Ⅵ-天竺保税区北1</t>
    <phoneticPr fontId="4" type="noConversion"/>
  </si>
  <si>
    <t>Ⅵ-空港A</t>
    <phoneticPr fontId="4" type="noConversion"/>
  </si>
  <si>
    <t>Ⅵ-空港B</t>
    <phoneticPr fontId="4" type="noConversion"/>
  </si>
  <si>
    <t>Ⅵ-生命科学园</t>
    <phoneticPr fontId="4" type="noConversion"/>
  </si>
  <si>
    <t>Ⅵ-昌三一光电</t>
    <phoneticPr fontId="4" type="noConversion"/>
  </si>
  <si>
    <t>Ⅵ-BDA核心</t>
    <phoneticPr fontId="4" type="noConversion"/>
  </si>
  <si>
    <t>Ⅶ-01</t>
    <phoneticPr fontId="4" type="noConversion"/>
  </si>
  <si>
    <t>Ⅶ-门1</t>
    <phoneticPr fontId="4" type="noConversion"/>
  </si>
  <si>
    <t>Ⅶ-房1</t>
    <phoneticPr fontId="4" type="noConversion"/>
  </si>
  <si>
    <t>Ⅶ-通1</t>
    <phoneticPr fontId="4" type="noConversion"/>
  </si>
  <si>
    <t>Ⅶ-顺1</t>
    <phoneticPr fontId="4" type="noConversion"/>
  </si>
  <si>
    <t>Ⅶ-兴1</t>
    <phoneticPr fontId="4" type="noConversion"/>
  </si>
  <si>
    <t>Ⅶ-昌1</t>
    <phoneticPr fontId="4" type="noConversion"/>
  </si>
  <si>
    <t>Ⅶ-亦1</t>
    <phoneticPr fontId="4" type="noConversion"/>
  </si>
  <si>
    <t>Ⅶ-国际教育园</t>
    <phoneticPr fontId="4" type="noConversion"/>
  </si>
  <si>
    <t>Ⅶ-农林园</t>
    <phoneticPr fontId="4" type="noConversion"/>
  </si>
  <si>
    <t>Ⅶ-上庄科技</t>
    <phoneticPr fontId="4" type="noConversion"/>
  </si>
  <si>
    <t>Ⅶ-文化教育基地</t>
    <phoneticPr fontId="4" type="noConversion"/>
  </si>
  <si>
    <r>
      <t>Ⅶ-苏家坨科技</t>
    </r>
    <r>
      <rPr>
        <sz val="10"/>
        <color indexed="8"/>
        <rFont val="宋体"/>
        <family val="3"/>
        <charset val="134"/>
      </rPr>
      <t>Ⅰ</t>
    </r>
    <phoneticPr fontId="4" type="noConversion"/>
  </si>
  <si>
    <r>
      <t>Ⅶ-苏家坨科技</t>
    </r>
    <r>
      <rPr>
        <sz val="10"/>
        <color indexed="8"/>
        <rFont val="宋体"/>
        <family val="3"/>
        <charset val="134"/>
      </rPr>
      <t>Ⅱ</t>
    </r>
    <phoneticPr fontId="4" type="noConversion"/>
  </si>
  <si>
    <r>
      <t>Ⅶ-丰台园西</t>
    </r>
    <r>
      <rPr>
        <sz val="10"/>
        <color indexed="8"/>
        <rFont val="宋体"/>
        <family val="3"/>
        <charset val="134"/>
      </rPr>
      <t>Ⅰ</t>
    </r>
    <phoneticPr fontId="4" type="noConversion"/>
  </si>
  <si>
    <r>
      <t>Ⅶ-丰台园西</t>
    </r>
    <r>
      <rPr>
        <sz val="10"/>
        <color indexed="8"/>
        <rFont val="宋体"/>
        <family val="3"/>
        <charset val="134"/>
      </rPr>
      <t>Ⅱ</t>
    </r>
    <phoneticPr fontId="4" type="noConversion"/>
  </si>
  <si>
    <t>Ⅶ-石龙开发区</t>
    <phoneticPr fontId="4" type="noConversion"/>
  </si>
  <si>
    <t>Ⅶ-光机电</t>
    <phoneticPr fontId="4" type="noConversion"/>
  </si>
  <si>
    <t>Ⅶ-通州开发区西</t>
    <phoneticPr fontId="4" type="noConversion"/>
  </si>
  <si>
    <t>Ⅶ-林河开发区</t>
    <phoneticPr fontId="4" type="noConversion"/>
  </si>
  <si>
    <t>Ⅶ-大兴开发区</t>
    <phoneticPr fontId="4" type="noConversion"/>
  </si>
  <si>
    <r>
      <t>Ⅶ-昌平园南</t>
    </r>
    <r>
      <rPr>
        <sz val="10"/>
        <color indexed="8"/>
        <rFont val="宋体"/>
        <family val="3"/>
        <charset val="134"/>
      </rPr>
      <t>Ⅰ</t>
    </r>
    <phoneticPr fontId="4" type="noConversion"/>
  </si>
  <si>
    <r>
      <t>Ⅶ-昌平园南</t>
    </r>
    <r>
      <rPr>
        <sz val="10"/>
        <color indexed="8"/>
        <rFont val="宋体"/>
        <family val="3"/>
        <charset val="134"/>
      </rPr>
      <t>Ⅱ</t>
    </r>
    <phoneticPr fontId="4" type="noConversion"/>
  </si>
  <si>
    <r>
      <t>Ⅶ-昌平园北</t>
    </r>
    <r>
      <rPr>
        <sz val="10"/>
        <color indexed="8"/>
        <rFont val="宋体"/>
        <family val="3"/>
        <charset val="134"/>
      </rPr>
      <t>Ⅰ</t>
    </r>
    <phoneticPr fontId="4" type="noConversion"/>
  </si>
  <si>
    <r>
      <t>Ⅶ-昌平园北</t>
    </r>
    <r>
      <rPr>
        <sz val="10"/>
        <color indexed="8"/>
        <rFont val="宋体"/>
        <family val="3"/>
        <charset val="134"/>
      </rPr>
      <t>Ⅱ</t>
    </r>
    <phoneticPr fontId="4" type="noConversion"/>
  </si>
  <si>
    <r>
      <t>Ⅶ-昌平园北</t>
    </r>
    <r>
      <rPr>
        <sz val="10"/>
        <color indexed="8"/>
        <rFont val="宋体"/>
        <family val="3"/>
        <charset val="134"/>
      </rPr>
      <t>Ⅲ</t>
    </r>
    <phoneticPr fontId="4" type="noConversion"/>
  </si>
  <si>
    <t>Ⅶ-BDA东</t>
    <phoneticPr fontId="4" type="noConversion"/>
  </si>
  <si>
    <t>Ⅶ-BDA西</t>
    <phoneticPr fontId="4" type="noConversion"/>
  </si>
  <si>
    <t>Ⅷ-01</t>
    <phoneticPr fontId="4" type="noConversion"/>
  </si>
  <si>
    <t>Ⅷ-门1</t>
    <phoneticPr fontId="4" type="noConversion"/>
  </si>
  <si>
    <t>Ⅷ-门军</t>
    <phoneticPr fontId="4" type="noConversion"/>
  </si>
  <si>
    <t>Ⅷ-房1</t>
    <phoneticPr fontId="4" type="noConversion"/>
  </si>
  <si>
    <t>Ⅷ-通1</t>
    <phoneticPr fontId="4" type="noConversion"/>
  </si>
  <si>
    <t>Ⅷ-顺1</t>
    <phoneticPr fontId="4" type="noConversion"/>
  </si>
  <si>
    <t>Ⅷ-顺3</t>
    <phoneticPr fontId="4" type="noConversion"/>
  </si>
  <si>
    <t>Ⅷ-兴1</t>
    <phoneticPr fontId="4" type="noConversion"/>
  </si>
  <si>
    <t>Ⅷ-昌1</t>
    <phoneticPr fontId="4" type="noConversion"/>
  </si>
  <si>
    <t>Ⅷ-平1</t>
    <phoneticPr fontId="4" type="noConversion"/>
  </si>
  <si>
    <t>Ⅷ-怀1</t>
    <phoneticPr fontId="4" type="noConversion"/>
  </si>
  <si>
    <t>Ⅷ-密1</t>
    <phoneticPr fontId="4" type="noConversion"/>
  </si>
  <si>
    <t>Ⅷ-廷1</t>
    <phoneticPr fontId="4" type="noConversion"/>
  </si>
  <si>
    <t>Ⅷ-亦1</t>
    <phoneticPr fontId="4" type="noConversion"/>
  </si>
  <si>
    <t>Ⅷ-良乡开发区A</t>
    <phoneticPr fontId="4" type="noConversion"/>
  </si>
  <si>
    <t>Ⅷ-良乡开发区B</t>
    <phoneticPr fontId="4" type="noConversion"/>
  </si>
  <si>
    <t>Ⅷ-良乡开发区C</t>
    <phoneticPr fontId="4" type="noConversion"/>
  </si>
  <si>
    <t>Ⅷ-通州环保园</t>
    <phoneticPr fontId="4" type="noConversion"/>
  </si>
  <si>
    <t>Ⅷ-空港北区A</t>
    <phoneticPr fontId="4" type="noConversion"/>
  </si>
  <si>
    <t>Ⅷ-空港北区B</t>
    <phoneticPr fontId="4" type="noConversion"/>
  </si>
  <si>
    <t>Ⅷ-生物医药基地</t>
    <phoneticPr fontId="4" type="noConversion"/>
  </si>
  <si>
    <t>Ⅷ-小汤山工业园</t>
    <phoneticPr fontId="4" type="noConversion"/>
  </si>
  <si>
    <t>Ⅸ-01</t>
    <phoneticPr fontId="4" type="noConversion"/>
  </si>
  <si>
    <t>Ⅸ-门1</t>
    <phoneticPr fontId="4" type="noConversion"/>
  </si>
  <si>
    <t>Ⅸ-门2</t>
    <phoneticPr fontId="4" type="noConversion"/>
  </si>
  <si>
    <t>Ⅸ-门潭</t>
    <phoneticPr fontId="4" type="noConversion"/>
  </si>
  <si>
    <t>Ⅸ-房1</t>
    <phoneticPr fontId="4" type="noConversion"/>
  </si>
  <si>
    <t>Ⅸ-通1</t>
    <phoneticPr fontId="4" type="noConversion"/>
  </si>
  <si>
    <t>Ⅸ-顺1</t>
    <phoneticPr fontId="4" type="noConversion"/>
  </si>
  <si>
    <t>Ⅸ-兴1</t>
    <phoneticPr fontId="4" type="noConversion"/>
  </si>
  <si>
    <t>Ⅸ-昌1</t>
    <phoneticPr fontId="4" type="noConversion"/>
  </si>
  <si>
    <t>Ⅸ-昌南</t>
    <phoneticPr fontId="4" type="noConversion"/>
  </si>
  <si>
    <t>Ⅸ-平1</t>
    <phoneticPr fontId="4" type="noConversion"/>
  </si>
  <si>
    <t>Ⅸ-怀1</t>
    <phoneticPr fontId="4" type="noConversion"/>
  </si>
  <si>
    <t>Ⅸ-密1</t>
    <phoneticPr fontId="4" type="noConversion"/>
  </si>
  <si>
    <t>Ⅸ-延1</t>
    <phoneticPr fontId="4" type="noConversion"/>
  </si>
  <si>
    <t>Ⅸ-亦1</t>
    <phoneticPr fontId="4" type="noConversion"/>
  </si>
  <si>
    <t>Ⅸ-房山工业园东</t>
    <phoneticPr fontId="4" type="noConversion"/>
  </si>
  <si>
    <t>Ⅸ-房山工业园西</t>
    <phoneticPr fontId="4" type="noConversion"/>
  </si>
  <si>
    <t>Ⅸ-通州开发区东</t>
    <phoneticPr fontId="4" type="noConversion"/>
  </si>
  <si>
    <t>Ⅸ-永乐开发区</t>
    <phoneticPr fontId="4" type="noConversion"/>
  </si>
  <si>
    <t>Ⅸ-采育开发区</t>
    <phoneticPr fontId="4" type="noConversion"/>
  </si>
  <si>
    <t>Ⅸ-兴谷开发区A</t>
    <phoneticPr fontId="4" type="noConversion"/>
  </si>
  <si>
    <t>Ⅸ-兴谷开发区B</t>
    <phoneticPr fontId="4" type="noConversion"/>
  </si>
  <si>
    <t>Ⅸ-雁栖开发区A</t>
    <phoneticPr fontId="4" type="noConversion"/>
  </si>
  <si>
    <t>Ⅸ-雁栖开发区B</t>
    <phoneticPr fontId="4" type="noConversion"/>
  </si>
  <si>
    <t>Ⅸ-雁栖开发区C</t>
    <phoneticPr fontId="4" type="noConversion"/>
  </si>
  <si>
    <t>Ⅸ-密云开发区</t>
    <phoneticPr fontId="4" type="noConversion"/>
  </si>
  <si>
    <t>Ⅹ-01</t>
    <phoneticPr fontId="4" type="noConversion"/>
  </si>
  <si>
    <t>Ⅹ-门1</t>
    <phoneticPr fontId="4" type="noConversion"/>
  </si>
  <si>
    <t>Ⅹ-门斋</t>
    <phoneticPr fontId="4" type="noConversion"/>
  </si>
  <si>
    <t>Ⅹ-房1</t>
    <phoneticPr fontId="4" type="noConversion"/>
  </si>
  <si>
    <t>Ⅹ-通1</t>
    <phoneticPr fontId="4" type="noConversion"/>
  </si>
  <si>
    <t>Ⅹ-顺1</t>
    <phoneticPr fontId="4" type="noConversion"/>
  </si>
  <si>
    <t>Ⅹ-兴1</t>
    <phoneticPr fontId="4" type="noConversion"/>
  </si>
  <si>
    <t>Ⅹ-昌1</t>
    <phoneticPr fontId="4" type="noConversion"/>
  </si>
  <si>
    <t>Ⅹ-平1</t>
    <phoneticPr fontId="4" type="noConversion"/>
  </si>
  <si>
    <t>Ⅹ-怀1</t>
    <phoneticPr fontId="4" type="noConversion"/>
  </si>
  <si>
    <t>Ⅹ-密1</t>
    <phoneticPr fontId="4" type="noConversion"/>
  </si>
  <si>
    <t>Ⅹ-延1</t>
    <phoneticPr fontId="4" type="noConversion"/>
  </si>
  <si>
    <t>Ⅹ-亦1</t>
    <phoneticPr fontId="4" type="noConversion"/>
  </si>
  <si>
    <t>Ⅹ-马坊工业园</t>
    <phoneticPr fontId="4" type="noConversion"/>
  </si>
  <si>
    <t>Ⅹ-延庆开发区</t>
    <phoneticPr fontId="4" type="noConversion"/>
  </si>
  <si>
    <t>Ⅹ-八达岭开发区</t>
    <phoneticPr fontId="4" type="noConversion"/>
  </si>
  <si>
    <t>十一级</t>
    <phoneticPr fontId="4" type="noConversion"/>
  </si>
  <si>
    <t>Ⅺ-门1</t>
    <phoneticPr fontId="4" type="noConversion"/>
  </si>
  <si>
    <t>Ⅺ-门斋</t>
    <phoneticPr fontId="4" type="noConversion"/>
  </si>
  <si>
    <t>Ⅺ-房1</t>
    <phoneticPr fontId="4" type="noConversion"/>
  </si>
  <si>
    <t>Ⅺ-通1</t>
    <phoneticPr fontId="4" type="noConversion"/>
  </si>
  <si>
    <t>Ⅺ-顺1</t>
    <phoneticPr fontId="4" type="noConversion"/>
  </si>
  <si>
    <t>Ⅺ-兴1</t>
    <phoneticPr fontId="4" type="noConversion"/>
  </si>
  <si>
    <t>Ⅺ-兴2</t>
    <phoneticPr fontId="4" type="noConversion"/>
  </si>
  <si>
    <t>Ⅺ-昌1</t>
    <phoneticPr fontId="4" type="noConversion"/>
  </si>
  <si>
    <t>Ⅺ-平1</t>
    <phoneticPr fontId="4" type="noConversion"/>
  </si>
  <si>
    <t>Ⅺ-怀1</t>
    <phoneticPr fontId="4" type="noConversion"/>
  </si>
  <si>
    <t>Ⅺ-密1</t>
    <phoneticPr fontId="4" type="noConversion"/>
  </si>
  <si>
    <t>Ⅺ-延1</t>
    <phoneticPr fontId="4" type="noConversion"/>
  </si>
  <si>
    <t>十二级</t>
    <phoneticPr fontId="4" type="noConversion"/>
  </si>
  <si>
    <t>Ⅻ-门1</t>
    <phoneticPr fontId="4" type="noConversion"/>
  </si>
  <si>
    <t>Ⅻ-房1</t>
    <phoneticPr fontId="4" type="noConversion"/>
  </si>
  <si>
    <t>Ⅻ-昌1</t>
    <phoneticPr fontId="4" type="noConversion"/>
  </si>
  <si>
    <t>Ⅻ-平1</t>
    <phoneticPr fontId="4" type="noConversion"/>
  </si>
  <si>
    <t>Ⅻ-怀1</t>
    <phoneticPr fontId="4" type="noConversion"/>
  </si>
  <si>
    <t>Ⅻ-密1</t>
    <phoneticPr fontId="4" type="noConversion"/>
  </si>
  <si>
    <t>Ⅻ-延1</t>
    <phoneticPr fontId="4" type="noConversion"/>
  </si>
  <si>
    <t>幅度控制(±)</t>
    <phoneticPr fontId="4" type="noConversion"/>
  </si>
  <si>
    <t>幅度控制(±)</t>
    <phoneticPr fontId="4" type="noConversion"/>
  </si>
  <si>
    <t>估价项目名称：</t>
    <phoneticPr fontId="81" type="noConversion"/>
  </si>
  <si>
    <t xml:space="preserve">— </t>
    <phoneticPr fontId="81" type="noConversion"/>
  </si>
  <si>
    <t>估价委托人：</t>
    <phoneticPr fontId="4" type="noConversion"/>
  </si>
  <si>
    <t>房地产估价机构：</t>
    <phoneticPr fontId="4" type="noConversion"/>
  </si>
  <si>
    <t>注册房地产估价师：</t>
    <phoneticPr fontId="4" type="noConversion"/>
  </si>
  <si>
    <t>估价报告编号：</t>
    <phoneticPr fontId="4" type="noConversion"/>
  </si>
  <si>
    <t>A.</t>
    <phoneticPr fontId="14" type="noConversion"/>
  </si>
  <si>
    <t>B.</t>
    <phoneticPr fontId="14" type="noConversion"/>
  </si>
  <si>
    <t>A</t>
    <phoneticPr fontId="137" type="noConversion"/>
  </si>
  <si>
    <t>B</t>
    <phoneticPr fontId="137" type="noConversion"/>
  </si>
  <si>
    <t>A</t>
  </si>
  <si>
    <t>B</t>
  </si>
  <si>
    <t>(A)</t>
  </si>
  <si>
    <t>(B)</t>
  </si>
  <si>
    <t>(C)</t>
  </si>
  <si>
    <t>(D)</t>
  </si>
  <si>
    <t>C</t>
  </si>
  <si>
    <t>A+B</t>
  </si>
  <si>
    <t>a</t>
  </si>
  <si>
    <t>b</t>
  </si>
  <si>
    <t>c</t>
  </si>
  <si>
    <t>(E)</t>
    <phoneticPr fontId="4" type="noConversion"/>
  </si>
  <si>
    <t>Ⅷ-延1</t>
    <phoneticPr fontId="4" type="noConversion"/>
  </si>
  <si>
    <t>Ⅷ-延1</t>
    <phoneticPr fontId="4" type="noConversion"/>
  </si>
  <si>
    <t>房型</t>
    <phoneticPr fontId="4" type="noConversion"/>
  </si>
  <si>
    <t>间数</t>
    <phoneticPr fontId="4" type="noConversion"/>
  </si>
  <si>
    <t>收费标准</t>
    <phoneticPr fontId="4" type="noConversion"/>
  </si>
  <si>
    <t>折扣率</t>
    <phoneticPr fontId="4" type="noConversion"/>
  </si>
  <si>
    <t>出租率</t>
    <phoneticPr fontId="4" type="noConversion"/>
  </si>
  <si>
    <t>天数</t>
    <phoneticPr fontId="4" type="noConversion"/>
  </si>
  <si>
    <t>年收入</t>
    <phoneticPr fontId="4" type="noConversion"/>
  </si>
  <si>
    <t>总统套房</t>
    <phoneticPr fontId="4" type="noConversion"/>
  </si>
  <si>
    <t>行政套房</t>
    <phoneticPr fontId="4" type="noConversion"/>
  </si>
  <si>
    <t>沙龙套房</t>
    <phoneticPr fontId="4" type="noConversion"/>
  </si>
  <si>
    <t>标准房</t>
    <phoneticPr fontId="4" type="noConversion"/>
  </si>
  <si>
    <t>单间公寓</t>
    <phoneticPr fontId="4" type="noConversion"/>
  </si>
  <si>
    <t>单房公寓</t>
    <phoneticPr fontId="4" type="noConversion"/>
  </si>
  <si>
    <t>双房公寓</t>
    <phoneticPr fontId="4" type="noConversion"/>
  </si>
  <si>
    <t>小计</t>
    <phoneticPr fontId="4" type="noConversion"/>
  </si>
  <si>
    <t>餐厅</t>
    <phoneticPr fontId="4" type="noConversion"/>
  </si>
  <si>
    <t>人均消费</t>
    <phoneticPr fontId="4" type="noConversion"/>
  </si>
  <si>
    <t>座位数</t>
    <phoneticPr fontId="4" type="noConversion"/>
  </si>
  <si>
    <t>上座率</t>
    <phoneticPr fontId="4" type="noConversion"/>
  </si>
  <si>
    <t>——</t>
    <phoneticPr fontId="4" type="noConversion"/>
  </si>
  <si>
    <t>中餐厅</t>
    <phoneticPr fontId="4" type="noConversion"/>
  </si>
  <si>
    <t>西餐厅</t>
    <phoneticPr fontId="4" type="noConversion"/>
  </si>
  <si>
    <t>其他</t>
    <phoneticPr fontId="4" type="noConversion"/>
  </si>
  <si>
    <t>会议室</t>
    <phoneticPr fontId="4" type="noConversion"/>
  </si>
  <si>
    <t>收费（元/间.天）</t>
    <phoneticPr fontId="4" type="noConversion"/>
  </si>
  <si>
    <t>平均使用率</t>
    <phoneticPr fontId="4" type="noConversion"/>
  </si>
  <si>
    <t>大</t>
    <phoneticPr fontId="4" type="noConversion"/>
  </si>
  <si>
    <t>中</t>
    <phoneticPr fontId="4" type="noConversion"/>
  </si>
  <si>
    <t>小</t>
    <phoneticPr fontId="4" type="noConversion"/>
  </si>
  <si>
    <t>建筑面积</t>
    <phoneticPr fontId="4" type="noConversion"/>
  </si>
  <si>
    <t>日租金</t>
    <phoneticPr fontId="4" type="noConversion"/>
  </si>
  <si>
    <t>空置率</t>
    <phoneticPr fontId="4" type="noConversion"/>
  </si>
  <si>
    <t>（一）年净收入（剥离非房地产带来的收益）</t>
    <phoneticPr fontId="4" type="noConversion"/>
  </si>
  <si>
    <t>年总收入</t>
    <phoneticPr fontId="4" type="noConversion"/>
  </si>
  <si>
    <t>（1）</t>
    <phoneticPr fontId="4" type="noConversion"/>
  </si>
  <si>
    <t>客房收入</t>
    <phoneticPr fontId="4" type="noConversion"/>
  </si>
  <si>
    <t>（2）</t>
    <phoneticPr fontId="4" type="noConversion"/>
  </si>
  <si>
    <t>其他收入</t>
    <phoneticPr fontId="4" type="noConversion"/>
  </si>
  <si>
    <t>餐厅、会议中心、出租等收入，按主收入（客房收入）比例计算</t>
    <phoneticPr fontId="4" type="noConversion"/>
  </si>
  <si>
    <t>经营成本</t>
    <phoneticPr fontId="4" type="noConversion"/>
  </si>
  <si>
    <t>包含耗用物品以及原材料等，以年总收入为基数计算</t>
    <phoneticPr fontId="4" type="noConversion"/>
  </si>
  <si>
    <t>其他营业费用</t>
    <phoneticPr fontId="4" type="noConversion"/>
  </si>
  <si>
    <t>工资、水电费、宣传费、差旅费、公司经费、审计费、咨询费、银行手续费、特殊行业税费等等，以年总收入为基数计算</t>
    <phoneticPr fontId="4" type="noConversion"/>
  </si>
  <si>
    <t>行业利润</t>
    <phoneticPr fontId="4" type="noConversion"/>
  </si>
  <si>
    <t>（二）年经营费用（房地产）</t>
    <phoneticPr fontId="4" type="noConversion"/>
  </si>
  <si>
    <t>税费</t>
    <phoneticPr fontId="4" type="noConversion"/>
  </si>
  <si>
    <t>保险费</t>
    <phoneticPr fontId="4" type="noConversion"/>
  </si>
  <si>
    <t>维修费</t>
    <phoneticPr fontId="4" type="noConversion"/>
  </si>
  <si>
    <t>管理费</t>
    <phoneticPr fontId="4" type="noConversion"/>
  </si>
  <si>
    <t>（三）净收益</t>
    <phoneticPr fontId="4" type="noConversion"/>
  </si>
  <si>
    <t>1.年总收入</t>
    <phoneticPr fontId="4" type="noConversion"/>
  </si>
  <si>
    <t>（1）客房</t>
    <phoneticPr fontId="4" type="noConversion"/>
  </si>
  <si>
    <t>（2）餐厅</t>
    <phoneticPr fontId="4" type="noConversion"/>
  </si>
  <si>
    <t>（3）会议中心</t>
    <phoneticPr fontId="4" type="noConversion"/>
  </si>
  <si>
    <t>（4）其他收入（可按客房收入比率计算）</t>
    <phoneticPr fontId="4" type="noConversion"/>
  </si>
  <si>
    <t>（5）出租部分</t>
    <phoneticPr fontId="4" type="noConversion"/>
  </si>
  <si>
    <t>1</t>
    <phoneticPr fontId="4" type="noConversion"/>
  </si>
  <si>
    <t>公示地价指数</t>
    <phoneticPr fontId="149" type="noConversion"/>
  </si>
  <si>
    <r>
      <rPr>
        <b/>
        <sz val="10"/>
        <color theme="1"/>
        <rFont val="楷体_GB2312"/>
        <family val="2"/>
        <charset val="134"/>
      </rPr>
      <t>公示增长率</t>
    </r>
    <phoneticPr fontId="149" type="noConversion"/>
  </si>
  <si>
    <r>
      <rPr>
        <b/>
        <sz val="10"/>
        <color theme="1"/>
        <rFont val="楷体_GB2312"/>
        <family val="2"/>
        <charset val="134"/>
      </rPr>
      <t>核算至百分数</t>
    </r>
    <phoneticPr fontId="149" type="noConversion"/>
  </si>
  <si>
    <r>
      <rPr>
        <b/>
        <sz val="10"/>
        <color theme="1"/>
        <rFont val="楷体_GB2312"/>
        <family val="2"/>
        <charset val="134"/>
      </rPr>
      <t>验证</t>
    </r>
    <phoneticPr fontId="149" type="noConversion"/>
  </si>
  <si>
    <t>季度连乘</t>
    <phoneticPr fontId="146" type="noConversion"/>
  </si>
  <si>
    <t>平均增幅</t>
    <phoneticPr fontId="146"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</si>
  <si>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</si>
  <si>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</si>
  <si>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</si>
  <si>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</si>
  <si>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</si>
  <si>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</si>
  <si>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</si>
  <si>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</si>
  <si>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</si>
  <si>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</si>
  <si>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2017-1</t>
    <phoneticPr fontId="4" type="noConversion"/>
  </si>
  <si>
    <t>2016-4</t>
  </si>
  <si>
    <t>2013-4</t>
    <phoneticPr fontId="146" type="noConversion"/>
  </si>
  <si>
    <t>2013-3</t>
    <phoneticPr fontId="146" type="noConversion"/>
  </si>
  <si>
    <t>2013-2</t>
    <phoneticPr fontId="146" type="noConversion"/>
  </si>
  <si>
    <t>2013-1</t>
    <phoneticPr fontId="146" type="noConversion"/>
  </si>
  <si>
    <r>
      <t>2</t>
    </r>
    <r>
      <rPr>
        <sz val="10"/>
        <color theme="1"/>
        <rFont val="Arial"/>
        <family val="2"/>
      </rPr>
      <t>012-4</t>
    </r>
    <phoneticPr fontId="146" type="noConversion"/>
  </si>
  <si>
    <r>
      <t>2</t>
    </r>
    <r>
      <rPr>
        <sz val="10"/>
        <color theme="1"/>
        <rFont val="Arial"/>
        <family val="2"/>
      </rPr>
      <t>012-3</t>
    </r>
    <phoneticPr fontId="146" type="noConversion"/>
  </si>
  <si>
    <r>
      <t>2</t>
    </r>
    <r>
      <rPr>
        <sz val="10"/>
        <color theme="1"/>
        <rFont val="Arial"/>
        <family val="2"/>
      </rPr>
      <t>012-2</t>
    </r>
    <phoneticPr fontId="146" type="noConversion"/>
  </si>
  <si>
    <r>
      <t>2</t>
    </r>
    <r>
      <rPr>
        <sz val="10"/>
        <color theme="1"/>
        <rFont val="Arial"/>
        <family val="2"/>
      </rPr>
      <t>012-1</t>
    </r>
    <phoneticPr fontId="146" type="noConversion"/>
  </si>
  <si>
    <r>
      <t>2</t>
    </r>
    <r>
      <rPr>
        <sz val="10"/>
        <color theme="1"/>
        <rFont val="Arial"/>
        <family val="2"/>
      </rPr>
      <t>011-4</t>
    </r>
    <phoneticPr fontId="146" type="noConversion"/>
  </si>
  <si>
    <r>
      <t>2</t>
    </r>
    <r>
      <rPr>
        <sz val="10"/>
        <color theme="1"/>
        <rFont val="Arial"/>
        <family val="2"/>
      </rPr>
      <t>011-3</t>
    </r>
    <phoneticPr fontId="146" type="noConversion"/>
  </si>
  <si>
    <r>
      <t>2</t>
    </r>
    <r>
      <rPr>
        <sz val="10"/>
        <color theme="1"/>
        <rFont val="Arial"/>
        <family val="2"/>
      </rPr>
      <t>011-2</t>
    </r>
    <phoneticPr fontId="146" type="noConversion"/>
  </si>
  <si>
    <r>
      <t>2</t>
    </r>
    <r>
      <rPr>
        <sz val="10"/>
        <color theme="1"/>
        <rFont val="Arial"/>
        <family val="2"/>
      </rPr>
      <t>011-1</t>
    </r>
    <phoneticPr fontId="146" type="noConversion"/>
  </si>
  <si>
    <r>
      <t>2</t>
    </r>
    <r>
      <rPr>
        <sz val="10"/>
        <color theme="1"/>
        <rFont val="Arial"/>
        <family val="2"/>
      </rPr>
      <t>010-4</t>
    </r>
    <phoneticPr fontId="146" type="noConversion"/>
  </si>
  <si>
    <r>
      <t>2</t>
    </r>
    <r>
      <rPr>
        <sz val="10"/>
        <color theme="1"/>
        <rFont val="Arial"/>
        <family val="2"/>
      </rPr>
      <t>010-3</t>
    </r>
    <phoneticPr fontId="146" type="noConversion"/>
  </si>
  <si>
    <r>
      <t>2</t>
    </r>
    <r>
      <rPr>
        <sz val="10"/>
        <color theme="1"/>
        <rFont val="Arial"/>
        <family val="2"/>
      </rPr>
      <t>010-2</t>
    </r>
    <phoneticPr fontId="146" type="noConversion"/>
  </si>
  <si>
    <r>
      <t>2</t>
    </r>
    <r>
      <rPr>
        <sz val="10"/>
        <color theme="1"/>
        <rFont val="Arial"/>
        <family val="2"/>
      </rPr>
      <t>010-1</t>
    </r>
    <phoneticPr fontId="146" type="noConversion"/>
  </si>
  <si>
    <r>
      <t>2</t>
    </r>
    <r>
      <rPr>
        <sz val="10"/>
        <color theme="1"/>
        <rFont val="Arial"/>
        <family val="2"/>
      </rPr>
      <t>009-4</t>
    </r>
    <phoneticPr fontId="146" type="noConversion"/>
  </si>
  <si>
    <r>
      <t>2</t>
    </r>
    <r>
      <rPr>
        <sz val="10"/>
        <color theme="1"/>
        <rFont val="Arial"/>
        <family val="2"/>
      </rPr>
      <t>009-3</t>
    </r>
    <phoneticPr fontId="146" type="noConversion"/>
  </si>
  <si>
    <r>
      <t>2</t>
    </r>
    <r>
      <rPr>
        <sz val="10"/>
        <color theme="1"/>
        <rFont val="Arial"/>
        <family val="2"/>
      </rPr>
      <t>009-2</t>
    </r>
    <phoneticPr fontId="146" type="noConversion"/>
  </si>
  <si>
    <r>
      <t>2</t>
    </r>
    <r>
      <rPr>
        <sz val="10"/>
        <color theme="1"/>
        <rFont val="Arial"/>
        <family val="2"/>
      </rPr>
      <t>009-1</t>
    </r>
    <phoneticPr fontId="146" type="noConversion"/>
  </si>
  <si>
    <r>
      <t>2</t>
    </r>
    <r>
      <rPr>
        <sz val="10"/>
        <color theme="1"/>
        <rFont val="Arial"/>
        <family val="2"/>
      </rPr>
      <t>008-4</t>
    </r>
    <phoneticPr fontId="146" type="noConversion"/>
  </si>
  <si>
    <r>
      <t>2</t>
    </r>
    <r>
      <rPr>
        <sz val="10"/>
        <color theme="1"/>
        <rFont val="Arial"/>
        <family val="2"/>
      </rPr>
      <t>008-3</t>
    </r>
    <phoneticPr fontId="146" type="noConversion"/>
  </si>
  <si>
    <r>
      <t>2</t>
    </r>
    <r>
      <rPr>
        <sz val="10"/>
        <color theme="1"/>
        <rFont val="Arial"/>
        <family val="2"/>
      </rPr>
      <t>008-2</t>
    </r>
    <phoneticPr fontId="146" type="noConversion"/>
  </si>
  <si>
    <r>
      <t>2</t>
    </r>
    <r>
      <rPr>
        <sz val="10"/>
        <color theme="1"/>
        <rFont val="Arial"/>
        <family val="2"/>
      </rPr>
      <t>008-1</t>
    </r>
    <phoneticPr fontId="146" type="noConversion"/>
  </si>
  <si>
    <r>
      <t>2</t>
    </r>
    <r>
      <rPr>
        <sz val="10"/>
        <color theme="1"/>
        <rFont val="Arial"/>
        <family val="2"/>
      </rPr>
      <t>007-4</t>
    </r>
    <phoneticPr fontId="146" type="noConversion"/>
  </si>
  <si>
    <r>
      <t>2</t>
    </r>
    <r>
      <rPr>
        <sz val="10"/>
        <color theme="1"/>
        <rFont val="Arial"/>
        <family val="2"/>
      </rPr>
      <t>007-3</t>
    </r>
    <phoneticPr fontId="146" type="noConversion"/>
  </si>
  <si>
    <r>
      <t>2</t>
    </r>
    <r>
      <rPr>
        <sz val="10"/>
        <color theme="1"/>
        <rFont val="Arial"/>
        <family val="2"/>
      </rPr>
      <t>007-2</t>
    </r>
    <phoneticPr fontId="146" type="noConversion"/>
  </si>
  <si>
    <r>
      <t>2</t>
    </r>
    <r>
      <rPr>
        <sz val="10"/>
        <color theme="1"/>
        <rFont val="Arial"/>
        <family val="2"/>
      </rPr>
      <t>007-1</t>
    </r>
    <phoneticPr fontId="146" type="noConversion"/>
  </si>
  <si>
    <r>
      <t>2</t>
    </r>
    <r>
      <rPr>
        <sz val="10"/>
        <color theme="1"/>
        <rFont val="Arial"/>
        <family val="2"/>
      </rPr>
      <t>006-4</t>
    </r>
    <phoneticPr fontId="146" type="noConversion"/>
  </si>
  <si>
    <t>2006-3</t>
    <phoneticPr fontId="146" type="noConversion"/>
  </si>
  <si>
    <t>2006-2</t>
    <phoneticPr fontId="146" type="noConversion"/>
  </si>
  <si>
    <t>2006-1</t>
    <phoneticPr fontId="146" type="noConversion"/>
  </si>
  <si>
    <r>
      <t>2</t>
    </r>
    <r>
      <rPr>
        <sz val="10"/>
        <color theme="1"/>
        <rFont val="Arial"/>
        <family val="2"/>
      </rPr>
      <t>005-4</t>
    </r>
    <phoneticPr fontId="146" type="noConversion"/>
  </si>
  <si>
    <r>
      <t>2</t>
    </r>
    <r>
      <rPr>
        <sz val="10"/>
        <color theme="1"/>
        <rFont val="Arial"/>
        <family val="2"/>
      </rPr>
      <t>005-3</t>
    </r>
    <phoneticPr fontId="146" type="noConversion"/>
  </si>
  <si>
    <r>
      <t>2</t>
    </r>
    <r>
      <rPr>
        <sz val="10"/>
        <color theme="1"/>
        <rFont val="Arial"/>
        <family val="2"/>
      </rPr>
      <t>005-2</t>
    </r>
    <phoneticPr fontId="146" type="noConversion"/>
  </si>
  <si>
    <r>
      <t>2</t>
    </r>
    <r>
      <rPr>
        <sz val="10"/>
        <color theme="1"/>
        <rFont val="Arial"/>
        <family val="2"/>
      </rPr>
      <t>005-1</t>
    </r>
    <phoneticPr fontId="146" type="noConversion"/>
  </si>
  <si>
    <r>
      <t>2</t>
    </r>
    <r>
      <rPr>
        <sz val="10"/>
        <color theme="1"/>
        <rFont val="Arial"/>
        <family val="2"/>
      </rPr>
      <t>004-4</t>
    </r>
    <phoneticPr fontId="146" type="noConversion"/>
  </si>
  <si>
    <r>
      <t>2</t>
    </r>
    <r>
      <rPr>
        <sz val="10"/>
        <color theme="1"/>
        <rFont val="Arial"/>
        <family val="2"/>
      </rPr>
      <t>004-3</t>
    </r>
    <phoneticPr fontId="146" type="noConversion"/>
  </si>
  <si>
    <r>
      <t>2</t>
    </r>
    <r>
      <rPr>
        <sz val="10"/>
        <color theme="1"/>
        <rFont val="Arial"/>
        <family val="2"/>
      </rPr>
      <t>004-2</t>
    </r>
    <phoneticPr fontId="146" type="noConversion"/>
  </si>
  <si>
    <r>
      <t>2</t>
    </r>
    <r>
      <rPr>
        <sz val="10"/>
        <color theme="1"/>
        <rFont val="Arial"/>
        <family val="2"/>
      </rPr>
      <t>004-1</t>
    </r>
    <phoneticPr fontId="146" type="noConversion"/>
  </si>
  <si>
    <r>
      <t>2</t>
    </r>
    <r>
      <rPr>
        <sz val="10"/>
        <color theme="1"/>
        <rFont val="Arial"/>
        <family val="2"/>
      </rPr>
      <t>003-4</t>
    </r>
    <phoneticPr fontId="146" type="noConversion"/>
  </si>
  <si>
    <r>
      <t>2</t>
    </r>
    <r>
      <rPr>
        <sz val="10"/>
        <color theme="1"/>
        <rFont val="Arial"/>
        <family val="2"/>
      </rPr>
      <t>003-3</t>
    </r>
    <phoneticPr fontId="146" type="noConversion"/>
  </si>
  <si>
    <r>
      <t>2</t>
    </r>
    <r>
      <rPr>
        <sz val="10"/>
        <color theme="1"/>
        <rFont val="Arial"/>
        <family val="2"/>
      </rPr>
      <t>003-2</t>
    </r>
    <phoneticPr fontId="146" type="noConversion"/>
  </si>
  <si>
    <r>
      <t>2</t>
    </r>
    <r>
      <rPr>
        <sz val="10"/>
        <color theme="1"/>
        <rFont val="Arial"/>
        <family val="2"/>
      </rPr>
      <t>003-1</t>
    </r>
    <phoneticPr fontId="146" type="noConversion"/>
  </si>
  <si>
    <r>
      <t>2</t>
    </r>
    <r>
      <rPr>
        <sz val="10"/>
        <color theme="1"/>
        <rFont val="Arial"/>
        <family val="2"/>
      </rPr>
      <t>002-4</t>
    </r>
    <phoneticPr fontId="146" type="noConversion"/>
  </si>
  <si>
    <r>
      <t>2</t>
    </r>
    <r>
      <rPr>
        <sz val="10"/>
        <color theme="1"/>
        <rFont val="Arial"/>
        <family val="2"/>
      </rPr>
      <t>002-3</t>
    </r>
    <phoneticPr fontId="146" type="noConversion"/>
  </si>
  <si>
    <r>
      <t>2</t>
    </r>
    <r>
      <rPr>
        <sz val="10"/>
        <color theme="1"/>
        <rFont val="Arial"/>
        <family val="2"/>
      </rPr>
      <t>002-2</t>
    </r>
    <phoneticPr fontId="146" type="noConversion"/>
  </si>
  <si>
    <r>
      <t>2</t>
    </r>
    <r>
      <rPr>
        <sz val="10"/>
        <color theme="1"/>
        <rFont val="Arial"/>
        <family val="2"/>
      </rPr>
      <t>002-1</t>
    </r>
    <phoneticPr fontId="146" type="noConversion"/>
  </si>
  <si>
    <t>说明</t>
    <phoneticPr fontId="146" type="noConversion"/>
  </si>
  <si>
    <r>
      <t>2008</t>
    </r>
    <r>
      <rPr>
        <sz val="10"/>
        <color rgb="FFFF0000"/>
        <rFont val="宋体"/>
        <family val="3"/>
        <charset val="134"/>
      </rPr>
      <t>年</t>
    </r>
    <r>
      <rPr>
        <sz val="10"/>
        <color rgb="FFFF0000"/>
        <rFont val="Arial"/>
        <family val="2"/>
      </rPr>
      <t>-</t>
    </r>
    <r>
      <rPr>
        <sz val="10"/>
        <color rgb="FFFF0000"/>
        <rFont val="宋体"/>
        <family val="3"/>
        <charset val="134"/>
      </rPr>
      <t>至今，</t>
    </r>
    <r>
      <rPr>
        <sz val="10"/>
        <color rgb="FFFF0000"/>
        <rFont val="Arial"/>
        <family val="2"/>
      </rPr>
      <t>4</t>
    </r>
    <r>
      <rPr>
        <sz val="10"/>
        <color rgb="FFFF0000"/>
        <rFont val="宋体"/>
        <family val="3"/>
        <charset val="134"/>
      </rPr>
      <t>季度地价指数为地价监测网站公布数据，其余各季度指数按照公示增长率折算；</t>
    </r>
    <phoneticPr fontId="146" type="noConversion"/>
  </si>
  <si>
    <r>
      <t>2004-2007</t>
    </r>
    <r>
      <rPr>
        <sz val="10"/>
        <color rgb="FFFF0000"/>
        <rFont val="宋体"/>
        <family val="3"/>
        <charset val="134"/>
      </rPr>
      <t>年，按公示地价指数计算的增长率与公示增长率不符，除</t>
    </r>
    <r>
      <rPr>
        <sz val="10"/>
        <color rgb="FFFF0000"/>
        <rFont val="Arial"/>
        <family val="2"/>
      </rPr>
      <t>4</t>
    </r>
    <r>
      <rPr>
        <sz val="10"/>
        <color rgb="FFFF0000"/>
        <rFont val="宋体"/>
        <family val="3"/>
        <charset val="134"/>
      </rPr>
      <t>季度以外的各季度地价指数的计算，是通过公示增长率的比例分配至年度间指数差值计算得出</t>
    </r>
    <phoneticPr fontId="146" type="noConversion"/>
  </si>
  <si>
    <r>
      <t>2002</t>
    </r>
    <r>
      <rPr>
        <sz val="10"/>
        <color rgb="FFFF0000"/>
        <rFont val="宋体"/>
        <family val="3"/>
        <charset val="134"/>
      </rPr>
      <t>及</t>
    </r>
    <r>
      <rPr>
        <sz val="10"/>
        <color rgb="FFFF0000"/>
        <rFont val="Arial"/>
        <family val="2"/>
      </rPr>
      <t>2003</t>
    </r>
    <r>
      <rPr>
        <sz val="10"/>
        <color rgb="FFFF0000"/>
        <rFont val="宋体"/>
        <family val="3"/>
        <charset val="134"/>
      </rPr>
      <t>年，除</t>
    </r>
    <r>
      <rPr>
        <sz val="10"/>
        <color rgb="FFFF0000"/>
        <rFont val="Arial"/>
        <family val="2"/>
      </rPr>
      <t>4</t>
    </r>
    <r>
      <rPr>
        <sz val="10"/>
        <color rgb="FFFF0000"/>
        <rFont val="宋体"/>
        <family val="3"/>
        <charset val="134"/>
      </rPr>
      <t>季度外的各季度地价指数是将年度指数差值平均分配计算得出</t>
    </r>
    <phoneticPr fontId="146" type="noConversion"/>
  </si>
  <si>
    <r>
      <rPr>
        <sz val="10"/>
        <color rgb="FF707070"/>
        <rFont val="宋体"/>
        <family val="3"/>
        <charset val="134"/>
      </rPr>
      <t>年度</t>
    </r>
  </si>
  <si>
    <r>
      <rPr>
        <sz val="10"/>
        <color rgb="FF707070"/>
        <rFont val="宋体"/>
        <family val="3"/>
        <charset val="134"/>
      </rPr>
      <t>综合</t>
    </r>
  </si>
  <si>
    <r>
      <rPr>
        <sz val="10"/>
        <color rgb="FF707070"/>
        <rFont val="宋体"/>
        <family val="3"/>
        <charset val="134"/>
      </rPr>
      <t>商服</t>
    </r>
  </si>
  <si>
    <r>
      <rPr>
        <sz val="10"/>
        <color rgb="FF707070"/>
        <rFont val="宋体"/>
        <family val="3"/>
        <charset val="134"/>
      </rPr>
      <t>住宅</t>
    </r>
  </si>
  <si>
    <t>顺序</t>
    <phoneticPr fontId="146" type="noConversion"/>
  </si>
  <si>
    <t>封皮-估价项目名称</t>
    <phoneticPr fontId="146" type="noConversion"/>
  </si>
  <si>
    <t>封皮-估价委托人</t>
    <phoneticPr fontId="146" type="noConversion"/>
  </si>
  <si>
    <t>封皮-注册房地产估价师</t>
    <phoneticPr fontId="146" type="noConversion"/>
  </si>
  <si>
    <t>封皮-估价报告编号</t>
    <phoneticPr fontId="146" type="noConversion"/>
  </si>
  <si>
    <t>致函-委托事项</t>
    <phoneticPr fontId="146" type="noConversion"/>
  </si>
  <si>
    <t>致函-估价对象</t>
    <phoneticPr fontId="146" type="noConversion"/>
  </si>
  <si>
    <t>致函-估价目的</t>
    <phoneticPr fontId="146" type="noConversion"/>
  </si>
  <si>
    <t>致函-价值时点</t>
    <phoneticPr fontId="146" type="noConversion"/>
  </si>
  <si>
    <t>致函-价值类型-房地产</t>
    <phoneticPr fontId="146" type="noConversion"/>
  </si>
  <si>
    <t>致函-价值类型-建筑物/土地</t>
    <phoneticPr fontId="149" type="noConversion"/>
  </si>
  <si>
    <t>致函-价值类型-抵押</t>
    <phoneticPr fontId="149" type="noConversion"/>
  </si>
  <si>
    <t>致函-价值类型-优先受偿</t>
    <phoneticPr fontId="149" type="noConversion"/>
  </si>
  <si>
    <t>致函-价值类型-净值</t>
    <phoneticPr fontId="149" type="noConversion"/>
  </si>
  <si>
    <t>致函-估价方法</t>
    <phoneticPr fontId="149" type="noConversion"/>
  </si>
  <si>
    <t>致函-估价结果</t>
    <phoneticPr fontId="146" type="noConversion"/>
  </si>
  <si>
    <t>致函-估价结果-表1-名称</t>
    <phoneticPr fontId="149" type="noConversion"/>
  </si>
  <si>
    <t>致函-估价结果-表1-建筑面积</t>
    <phoneticPr fontId="149" type="noConversion"/>
  </si>
  <si>
    <t>致函-估价结果-表1-总</t>
    <phoneticPr fontId="149" type="noConversion"/>
  </si>
  <si>
    <t>致函-估价结果-表1-单</t>
    <phoneticPr fontId="149" type="noConversion"/>
  </si>
  <si>
    <t>致函-估价结果-表1-大</t>
    <phoneticPr fontId="149" type="noConversion"/>
  </si>
  <si>
    <t>致函-估价结果-表1-优先（大）</t>
    <phoneticPr fontId="149" type="noConversion"/>
  </si>
  <si>
    <t>致函-估价结果-表1-优先-抵押</t>
    <phoneticPr fontId="149" type="noConversion"/>
  </si>
  <si>
    <t>致函-估价结果-表1-优先-工程</t>
    <phoneticPr fontId="149" type="noConversion"/>
  </si>
  <si>
    <t>致函-估价结果-表1-优先-其他</t>
    <phoneticPr fontId="149" type="noConversion"/>
  </si>
  <si>
    <t>致函-估价结果-表1-抵押</t>
    <phoneticPr fontId="149" type="noConversion"/>
  </si>
  <si>
    <t>致函-估价结果-表1-抵押（大）</t>
    <phoneticPr fontId="149" type="noConversion"/>
  </si>
  <si>
    <t>致函-估价结果-表1-已注</t>
    <phoneticPr fontId="149" type="noConversion"/>
  </si>
  <si>
    <t>致函-估价结果-表1-已注（大）</t>
    <phoneticPr fontId="149" type="noConversion"/>
  </si>
  <si>
    <t>致函-估价结果-表1-净值</t>
    <phoneticPr fontId="149" type="noConversion"/>
  </si>
  <si>
    <t>致函-估价结果-表1-净值（单）</t>
    <phoneticPr fontId="149" type="noConversion"/>
  </si>
  <si>
    <t>致函-估价结果-表1-净值（大）</t>
    <phoneticPr fontId="149" type="noConversion"/>
  </si>
  <si>
    <t>致函-估价结果-表2-土地面积</t>
    <phoneticPr fontId="149" type="noConversion"/>
  </si>
  <si>
    <t>致函-估价结果-表2-地（总）</t>
    <phoneticPr fontId="149" type="noConversion"/>
  </si>
  <si>
    <t>致函-估价结果-表2-地（单）</t>
    <phoneticPr fontId="149" type="noConversion"/>
  </si>
  <si>
    <t>致函-估价结果-表2-地（大）</t>
    <phoneticPr fontId="149" type="noConversion"/>
  </si>
  <si>
    <t>致函-估价结果-表2-建（总）</t>
    <phoneticPr fontId="149" type="noConversion"/>
  </si>
  <si>
    <t>致函-估价结果-表2-建（单）</t>
    <phoneticPr fontId="149" type="noConversion"/>
  </si>
  <si>
    <t>致函-估价结果-表2-建（大）</t>
    <phoneticPr fontId="149" type="noConversion"/>
  </si>
  <si>
    <t>致函-特别提示-1</t>
    <phoneticPr fontId="149" type="noConversion"/>
  </si>
  <si>
    <t>致函-特别提示-2</t>
  </si>
  <si>
    <t>致函-特别提示-优先受偿-1</t>
    <phoneticPr fontId="149" type="noConversion"/>
  </si>
  <si>
    <t>致函-特别提示-优先受偿-2</t>
  </si>
  <si>
    <t>致函-特别提示-优先受偿-3</t>
  </si>
  <si>
    <t>致函-特别提示-4</t>
    <phoneticPr fontId="149" type="noConversion"/>
  </si>
  <si>
    <t>致函-特别提示-5</t>
  </si>
  <si>
    <t>致函-出具日期</t>
    <phoneticPr fontId="146" type="noConversion"/>
  </si>
  <si>
    <t>致函-估价师1</t>
    <phoneticPr fontId="146" type="noConversion"/>
  </si>
  <si>
    <t>致函-估价师1-证号</t>
    <phoneticPr fontId="146" type="noConversion"/>
  </si>
  <si>
    <t>致函-估价师2</t>
    <phoneticPr fontId="146" type="noConversion"/>
  </si>
  <si>
    <t>致函-估价师2-证号</t>
    <phoneticPr fontId="146" type="noConversion"/>
  </si>
  <si>
    <t>（1）已抵押担保的债权数额</t>
  </si>
  <si>
    <t>（2）拖欠的建设工程价款</t>
  </si>
  <si>
    <t>（3）其他法定优先受偿款</t>
  </si>
  <si>
    <t>致函-特别提示-优先受偿-4</t>
  </si>
  <si>
    <t>（转下页）</t>
  </si>
  <si>
    <t>致函-估价结果-表1-总（单位）</t>
    <phoneticPr fontId="149" type="noConversion"/>
  </si>
  <si>
    <t>致函-估价结果-表1-优先</t>
    <phoneticPr fontId="149" type="noConversion"/>
  </si>
  <si>
    <t>致函-估价结果-表1-优先（单位）</t>
    <phoneticPr fontId="149" type="noConversion"/>
  </si>
  <si>
    <t>结果表内容-1</t>
    <phoneticPr fontId="154" type="noConversion"/>
  </si>
  <si>
    <t>结果表内容-2</t>
    <phoneticPr fontId="154" type="noConversion"/>
  </si>
  <si>
    <t>结果表内容-3</t>
    <phoneticPr fontId="154" type="noConversion"/>
  </si>
  <si>
    <r>
      <rPr>
        <b/>
        <sz val="12"/>
        <color theme="1"/>
        <rFont val="宋体"/>
        <family val="3"/>
        <charset val="134"/>
      </rPr>
      <t>复制粘帖</t>
    </r>
    <r>
      <rPr>
        <b/>
        <i/>
        <sz val="12"/>
        <color theme="9" tint="-0.249977111117893"/>
        <rFont val="Arial"/>
        <family val="2"/>
      </rPr>
      <t>“</t>
    </r>
    <r>
      <rPr>
        <b/>
        <i/>
        <sz val="12"/>
        <color theme="9" tint="-0.249977111117893"/>
        <rFont val="宋体"/>
        <family val="3"/>
        <charset val="134"/>
      </rPr>
      <t>值</t>
    </r>
    <r>
      <rPr>
        <b/>
        <i/>
        <sz val="12"/>
        <color theme="9" tint="-0.249977111117893"/>
        <rFont val="Arial"/>
        <family val="2"/>
      </rPr>
      <t>(V)”</t>
    </r>
    <r>
      <rPr>
        <b/>
        <sz val="12"/>
        <color theme="1"/>
        <rFont val="宋体"/>
        <family val="3"/>
        <charset val="134"/>
      </rPr>
      <t>至</t>
    </r>
    <r>
      <rPr>
        <b/>
        <i/>
        <sz val="12"/>
        <color theme="3" tint="0.39997558519241921"/>
        <rFont val="Arial"/>
        <family val="2"/>
      </rPr>
      <t>“</t>
    </r>
    <r>
      <rPr>
        <b/>
        <i/>
        <sz val="12"/>
        <color theme="3" tint="0.39997558519241921"/>
        <rFont val="宋体"/>
        <family val="3"/>
        <charset val="134"/>
      </rPr>
      <t>致函链接表</t>
    </r>
    <r>
      <rPr>
        <b/>
        <i/>
        <sz val="12"/>
        <color theme="3" tint="0.39997558519241921"/>
        <rFont val="Arial"/>
        <family val="2"/>
      </rPr>
      <t>”</t>
    </r>
    <phoneticPr fontId="149" type="noConversion"/>
  </si>
  <si>
    <t>补充-1</t>
    <phoneticPr fontId="154" type="noConversion"/>
  </si>
  <si>
    <t>补充-2</t>
  </si>
  <si>
    <t>补充-3</t>
  </si>
  <si>
    <t>估价对象</t>
    <phoneticPr fontId="84" type="noConversion"/>
  </si>
  <si>
    <t xml:space="preserve">                                   估价对象项目及结果</t>
    <phoneticPr fontId="84" type="noConversion"/>
  </si>
  <si>
    <t>大写金额</t>
    <phoneticPr fontId="84" type="noConversion"/>
  </si>
  <si>
    <t>总价</t>
    <phoneticPr fontId="84" type="noConversion"/>
  </si>
  <si>
    <t>总额</t>
    <phoneticPr fontId="84" type="noConversion"/>
  </si>
  <si>
    <t>单价</t>
    <phoneticPr fontId="84" type="noConversion"/>
  </si>
  <si>
    <t>单价</t>
    <phoneticPr fontId="84" type="noConversion"/>
  </si>
  <si>
    <t>补充-6</t>
  </si>
  <si>
    <t>补充-7</t>
  </si>
  <si>
    <t>补充-8</t>
  </si>
  <si>
    <t>补充-9</t>
  </si>
  <si>
    <t>致函-其他专业人员</t>
    <phoneticPr fontId="154" type="noConversion"/>
  </si>
  <si>
    <t>价值时点</t>
    <phoneticPr fontId="4" type="noConversion"/>
  </si>
  <si>
    <t>开发期</t>
    <phoneticPr fontId="146" type="noConversion"/>
  </si>
  <si>
    <t>贷款利率</t>
    <phoneticPr fontId="4" type="noConversion"/>
  </si>
  <si>
    <t>贷款利率</t>
    <phoneticPr fontId="146" type="noConversion"/>
  </si>
  <si>
    <t>存款利率</t>
    <phoneticPr fontId="146" type="noConversion"/>
  </si>
  <si>
    <t>半年以内（含）</t>
    <phoneticPr fontId="4" type="noConversion"/>
  </si>
  <si>
    <t>0.5-1年（含）</t>
    <phoneticPr fontId="4" type="noConversion"/>
  </si>
  <si>
    <t>1-3年（含）</t>
    <phoneticPr fontId="4" type="noConversion"/>
  </si>
  <si>
    <t>3-5年（含）</t>
    <phoneticPr fontId="4" type="noConversion"/>
  </si>
  <si>
    <t>5年以上</t>
    <phoneticPr fontId="4" type="noConversion"/>
  </si>
  <si>
    <t>更新利率时，不要插入或删减行，会影响公式判断。当期行（13行）为固定行，只录入当期数据，如有更新，需要将历史数据从第14行起复制黏贴</t>
    <phoneticPr fontId="146" type="noConversion"/>
  </si>
  <si>
    <r>
      <rPr>
        <b/>
        <sz val="18"/>
        <color indexed="10"/>
        <rFont val="΢ȭхڬˎ̥"/>
        <family val="3"/>
        <charset val="134"/>
      </rPr>
      <t>贷</t>
    </r>
    <r>
      <rPr>
        <b/>
        <sz val="16"/>
        <rFont val="΢ȭхڬˎ̥"/>
        <family val="3"/>
        <charset val="134"/>
      </rPr>
      <t>款利率</t>
    </r>
  </si>
  <si>
    <r>
      <rPr>
        <b/>
        <sz val="18"/>
        <color indexed="10"/>
        <rFont val="΢ȭхڬˎ̥"/>
        <family val="3"/>
        <charset val="134"/>
      </rPr>
      <t>存</t>
    </r>
    <r>
      <rPr>
        <b/>
        <sz val="16"/>
        <rFont val="΢ȭхڬˎ̥"/>
        <family val="3"/>
        <charset val="134"/>
      </rPr>
      <t>款利率</t>
    </r>
  </si>
  <si>
    <t>序列</t>
    <phoneticPr fontId="4" type="noConversion"/>
  </si>
  <si>
    <t>日期</t>
  </si>
  <si>
    <t>短期</t>
  </si>
  <si>
    <t>中长期</t>
  </si>
  <si>
    <t>个人住房公积金</t>
  </si>
  <si>
    <t>活期</t>
  </si>
  <si>
    <t>整存整取</t>
  </si>
  <si>
    <t>零存整取</t>
    <phoneticPr fontId="4" type="noConversion"/>
  </si>
  <si>
    <t>协定</t>
  </si>
  <si>
    <t>一天通</t>
  </si>
  <si>
    <t>七天通</t>
  </si>
  <si>
    <t>0半年以内（含）</t>
    <phoneticPr fontId="4" type="noConversion"/>
  </si>
  <si>
    <t>0.5-1年（含）</t>
    <phoneticPr fontId="4" type="noConversion"/>
  </si>
  <si>
    <t>1-3年（含）</t>
    <phoneticPr fontId="4" type="noConversion"/>
  </si>
  <si>
    <t>3-5年（含）</t>
    <phoneticPr fontId="4" type="noConversion"/>
  </si>
  <si>
    <t>5年以</t>
  </si>
  <si>
    <t>3个月</t>
  </si>
  <si>
    <t>当期</t>
  </si>
  <si>
    <t>--</t>
  </si>
  <si>
    <t>1年期存款利率</t>
    <phoneticPr fontId="4" type="noConversion"/>
  </si>
  <si>
    <t>基准季度（基准地价）</t>
    <phoneticPr fontId="146" type="noConversion"/>
  </si>
  <si>
    <t>此处对应收益法中未来第一年总收益</t>
    <phoneticPr fontId="146" type="noConversion"/>
  </si>
  <si>
    <t>A</t>
    <phoneticPr fontId="137" type="noConversion"/>
  </si>
  <si>
    <t>B</t>
    <phoneticPr fontId="137" type="noConversion"/>
  </si>
  <si>
    <t>C</t>
    <phoneticPr fontId="137" type="noConversion"/>
  </si>
  <si>
    <t>D</t>
    <phoneticPr fontId="137" type="noConversion"/>
  </si>
  <si>
    <t>E</t>
    <phoneticPr fontId="137" type="noConversion"/>
  </si>
  <si>
    <t>（规划）建筑面积（m2）</t>
  </si>
  <si>
    <t>（分摊）土地面积（m2）</t>
  </si>
  <si>
    <t>价值时点/估价期日</t>
  </si>
  <si>
    <t>价值类型</t>
  </si>
  <si>
    <t>总价（万元）</t>
  </si>
  <si>
    <t>楼面单价（元/平方米）</t>
  </si>
  <si>
    <t>地面单价（元/平方米）</t>
  </si>
  <si>
    <t>市场价值</t>
  </si>
  <si>
    <t>抵押价值</t>
  </si>
  <si>
    <t>抵押价值-已注销</t>
  </si>
  <si>
    <t>抵押净值</t>
  </si>
  <si>
    <t>总投</t>
  </si>
  <si>
    <t>租金</t>
  </si>
  <si>
    <t>市场价值（万元）</t>
  </si>
  <si>
    <t>抵押价值（万元）</t>
  </si>
  <si>
    <t>抵押价值-已注销（万元）</t>
  </si>
  <si>
    <t>抵押净值（万元）</t>
  </si>
  <si>
    <t>估价对象2</t>
  </si>
  <si>
    <t>估价对象3</t>
  </si>
  <si>
    <t>估价对象4</t>
  </si>
  <si>
    <t>估价对象5</t>
  </si>
  <si>
    <t>估价对象6</t>
  </si>
  <si>
    <t>估价对象7</t>
  </si>
  <si>
    <t>估价对象8</t>
  </si>
  <si>
    <t>估价对象9</t>
  </si>
  <si>
    <t>估价对象10</t>
  </si>
  <si>
    <t>估价对象1（结果表1修多）</t>
  </si>
  <si>
    <t>项目名称</t>
    <phoneticPr fontId="146" type="noConversion"/>
  </si>
  <si>
    <t>重置成新价</t>
    <phoneticPr fontId="146" type="noConversion"/>
  </si>
  <si>
    <t>——</t>
  </si>
  <si>
    <t>致函-估价结果-表1-已注（单）</t>
    <phoneticPr fontId="149" type="noConversion"/>
  </si>
  <si>
    <t>致函-估价结果-表1-抵押（单）</t>
    <phoneticPr fontId="149" type="noConversion"/>
  </si>
  <si>
    <t>补充-4-致函-估价结果-表1-抵押（单）</t>
    <phoneticPr fontId="154" type="noConversion"/>
  </si>
  <si>
    <t>补充-5-致函-估价结果-表1-已注（单）</t>
    <phoneticPr fontId="154" type="noConversion"/>
  </si>
  <si>
    <t>2017-2</t>
    <phoneticPr fontId="4" type="noConversion"/>
  </si>
  <si>
    <t>综合</t>
    <phoneticPr fontId="4" type="noConversion"/>
  </si>
  <si>
    <t>商服</t>
    <phoneticPr fontId="4" type="noConversion"/>
  </si>
  <si>
    <t>住宅</t>
    <phoneticPr fontId="4" type="noConversion"/>
  </si>
  <si>
    <r>
      <rPr>
        <sz val="11"/>
        <color indexed="8"/>
        <rFont val="楷体_GB2312"/>
        <family val="3"/>
        <charset val="134"/>
      </rPr>
      <t>工业</t>
    </r>
    <phoneticPr fontId="4" type="noConversion"/>
  </si>
  <si>
    <t>商服</t>
    <phoneticPr fontId="4" type="noConversion"/>
  </si>
  <si>
    <r>
      <rPr>
        <b/>
        <sz val="14"/>
        <color theme="1"/>
        <rFont val="宋体"/>
        <family val="3"/>
        <charset val="134"/>
      </rPr>
      <t>估价方法：</t>
    </r>
    <phoneticPr fontId="81" type="noConversion"/>
  </si>
  <si>
    <r>
      <t>IF(</t>
    </r>
    <r>
      <rPr>
        <sz val="14"/>
        <color theme="1"/>
        <rFont val="宋体"/>
        <family val="3"/>
        <charset val="134"/>
      </rPr>
      <t>项目基本情况</t>
    </r>
    <r>
      <rPr>
        <sz val="14"/>
        <color theme="1"/>
        <rFont val="Arial"/>
        <family val="2"/>
      </rPr>
      <t>!D5="</t>
    </r>
    <r>
      <rPr>
        <sz val="14"/>
        <color theme="1"/>
        <rFont val="宋体"/>
        <family val="3"/>
        <charset val="134"/>
      </rPr>
      <t>房地产市场价值</t>
    </r>
    <r>
      <rPr>
        <sz val="14"/>
        <color theme="1"/>
        <rFont val="Arial"/>
        <family val="2"/>
      </rPr>
      <t>","——","</t>
    </r>
    <r>
      <rPr>
        <sz val="14"/>
        <color theme="1"/>
        <rFont val="宋体"/>
        <family val="3"/>
        <charset val="134"/>
      </rPr>
      <t>法定优先受偿款是指假定在价值时点实现抵押权时，法律规定优先于本次抵押贷款受偿的款额，包括发包人拖欠承包人的建筑工程款，已抵押担保的债权数额以及其他法定优先受偿款。</t>
    </r>
    <r>
      <rPr>
        <sz val="14"/>
        <color theme="1"/>
        <rFont val="Arial"/>
        <family val="2"/>
      </rPr>
      <t>")</t>
    </r>
    <phoneticPr fontId="81" type="noConversion"/>
  </si>
  <si>
    <r>
      <rPr>
        <b/>
        <sz val="18"/>
        <color theme="1"/>
        <rFont val="宋体"/>
        <family val="3"/>
        <charset val="134"/>
      </rPr>
      <t>评估意见函</t>
    </r>
    <phoneticPr fontId="81" type="noConversion"/>
  </si>
  <si>
    <r>
      <rPr>
        <b/>
        <sz val="14"/>
        <color rgb="FF000000"/>
        <rFont val="宋体"/>
        <family val="3"/>
        <charset val="134"/>
      </rPr>
      <t>估价对象：</t>
    </r>
    <phoneticPr fontId="4" type="noConversion"/>
  </si>
  <si>
    <r>
      <rPr>
        <b/>
        <sz val="14"/>
        <color rgb="FF000000"/>
        <rFont val="宋体"/>
        <family val="3"/>
        <charset val="134"/>
      </rPr>
      <t>估价目的：</t>
    </r>
    <phoneticPr fontId="81" type="noConversion"/>
  </si>
  <si>
    <r>
      <rPr>
        <b/>
        <sz val="14"/>
        <color theme="1"/>
        <rFont val="宋体"/>
        <family val="3"/>
        <charset val="134"/>
      </rPr>
      <t>价值时点：</t>
    </r>
    <phoneticPr fontId="81" type="noConversion"/>
  </si>
  <si>
    <r>
      <rPr>
        <b/>
        <sz val="14"/>
        <color theme="1"/>
        <rFont val="宋体"/>
        <family val="3"/>
        <charset val="134"/>
      </rPr>
      <t>价值类型：</t>
    </r>
    <phoneticPr fontId="81" type="noConversion"/>
  </si>
  <si>
    <r>
      <rPr>
        <sz val="14"/>
        <color theme="1"/>
        <rFont val="宋体"/>
        <family val="3"/>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phoneticPr fontId="81" type="noConversion"/>
  </si>
  <si>
    <r>
      <t>单价</t>
    </r>
    <r>
      <rPr>
        <sz val="10"/>
        <color indexed="8"/>
        <rFont val="宋体"/>
        <family val="3"/>
        <charset val="134"/>
        <scheme val="minor"/>
      </rPr>
      <t>(元/平方米)</t>
    </r>
    <phoneticPr fontId="84" type="noConversion"/>
  </si>
  <si>
    <r>
      <t>结果表-1</t>
    </r>
    <r>
      <rPr>
        <b/>
        <i/>
        <sz val="12"/>
        <color theme="3" tint="0.39997558519241921"/>
        <rFont val="宋体"/>
        <family val="3"/>
        <charset val="134"/>
        <scheme val="minor"/>
      </rPr>
      <t>（有土地证）</t>
    </r>
    <phoneticPr fontId="84" type="noConversion"/>
  </si>
  <si>
    <r>
      <rPr>
        <sz val="12"/>
        <color indexed="8"/>
        <rFont val="宋体"/>
        <family val="3"/>
        <charset val="134"/>
      </rPr>
      <t>抵押物名称</t>
    </r>
  </si>
  <si>
    <r>
      <rPr>
        <sz val="12"/>
        <color indexed="8"/>
        <rFont val="宋体"/>
        <family val="3"/>
        <charset val="134"/>
      </rPr>
      <t>建筑面积</t>
    </r>
    <phoneticPr fontId="8" type="noConversion"/>
  </si>
  <si>
    <r>
      <t>(</t>
    </r>
    <r>
      <rPr>
        <sz val="12"/>
        <color indexed="8"/>
        <rFont val="宋体"/>
        <family val="3"/>
        <charset val="134"/>
      </rPr>
      <t>分摊</t>
    </r>
    <r>
      <rPr>
        <sz val="12"/>
        <color indexed="8"/>
        <rFont val="Arial"/>
        <family val="2"/>
      </rPr>
      <t>)</t>
    </r>
    <r>
      <rPr>
        <sz val="12"/>
        <color indexed="8"/>
        <rFont val="宋体"/>
        <family val="3"/>
        <charset val="134"/>
      </rPr>
      <t>出让国有建设用地使用权面积</t>
    </r>
    <phoneticPr fontId="8" type="noConversion"/>
  </si>
  <si>
    <r>
      <rPr>
        <sz val="12"/>
        <color indexed="8"/>
        <rFont val="宋体"/>
        <family val="3"/>
        <charset val="134"/>
      </rPr>
      <t>建筑物价值</t>
    </r>
    <phoneticPr fontId="8" type="noConversion"/>
  </si>
  <si>
    <r>
      <rPr>
        <sz val="12"/>
        <color indexed="8"/>
        <rFont val="宋体"/>
        <family val="3"/>
        <charset val="134"/>
      </rPr>
      <t>房地产价值</t>
    </r>
  </si>
  <si>
    <r>
      <rPr>
        <sz val="12"/>
        <color indexed="8"/>
        <rFont val="宋体"/>
        <family val="3"/>
        <charset val="134"/>
      </rPr>
      <t>总</t>
    </r>
    <r>
      <rPr>
        <sz val="12"/>
        <color indexed="8"/>
        <rFont val="Arial"/>
        <family val="2"/>
      </rPr>
      <t xml:space="preserve"> </t>
    </r>
    <r>
      <rPr>
        <sz val="12"/>
        <color indexed="8"/>
        <rFont val="宋体"/>
        <family val="3"/>
        <charset val="134"/>
      </rPr>
      <t>价</t>
    </r>
  </si>
  <si>
    <r>
      <rPr>
        <sz val="12"/>
        <color indexed="8"/>
        <rFont val="宋体"/>
        <family val="3"/>
        <charset val="134"/>
      </rPr>
      <t>楼面单价</t>
    </r>
    <phoneticPr fontId="8" type="noConversion"/>
  </si>
  <si>
    <r>
      <rPr>
        <sz val="12"/>
        <color indexed="8"/>
        <rFont val="宋体"/>
        <family val="3"/>
        <charset val="134"/>
      </rPr>
      <t>楼面单价</t>
    </r>
  </si>
  <si>
    <r>
      <rPr>
        <sz val="12"/>
        <color indexed="8"/>
        <rFont val="宋体"/>
        <family val="3"/>
        <charset val="134"/>
      </rPr>
      <t>大写金额</t>
    </r>
  </si>
  <si>
    <r>
      <rPr>
        <sz val="14"/>
        <color theme="1"/>
        <rFont val="宋体"/>
        <family val="3"/>
        <charset val="134"/>
      </rPr>
      <t>（转下页）</t>
    </r>
    <phoneticPr fontId="85" type="noConversion"/>
  </si>
  <si>
    <r>
      <rPr>
        <b/>
        <sz val="14"/>
        <color theme="1"/>
        <rFont val="宋体"/>
        <family val="3"/>
        <charset val="134"/>
      </rPr>
      <t>注册房地产估价师</t>
    </r>
  </si>
  <si>
    <r>
      <rPr>
        <sz val="14"/>
        <color rgb="FF000000"/>
        <rFont val="宋体"/>
        <family val="3"/>
        <charset val="134"/>
      </rPr>
      <t>姓名</t>
    </r>
  </si>
  <si>
    <r>
      <rPr>
        <sz val="14"/>
        <color rgb="FF000000"/>
        <rFont val="宋体"/>
        <family val="3"/>
        <charset val="134"/>
      </rPr>
      <t>注册号</t>
    </r>
  </si>
  <si>
    <r>
      <rPr>
        <sz val="14"/>
        <color rgb="FF000000"/>
        <rFont val="宋体"/>
        <family val="3"/>
        <charset val="134"/>
      </rPr>
      <t>签名</t>
    </r>
  </si>
  <si>
    <r>
      <rPr>
        <sz val="14"/>
        <color rgb="FF000000"/>
        <rFont val="宋体"/>
        <family val="3"/>
        <charset val="134"/>
      </rPr>
      <t>签名日期</t>
    </r>
  </si>
  <si>
    <r>
      <rPr>
        <b/>
        <sz val="14"/>
        <color theme="1"/>
        <rFont val="宋体"/>
        <family val="3"/>
        <charset val="134"/>
      </rPr>
      <t>其他评估专业人员</t>
    </r>
    <phoneticPr fontId="86" type="noConversion"/>
  </si>
  <si>
    <r>
      <rPr>
        <sz val="14"/>
        <color theme="1"/>
        <rFont val="宋体"/>
        <family val="3"/>
        <charset val="134"/>
      </rPr>
      <t>相关资格或职称</t>
    </r>
  </si>
  <si>
    <r>
      <rPr>
        <b/>
        <sz val="14"/>
        <color theme="1"/>
        <rFont val="宋体"/>
        <family val="3"/>
        <charset val="134"/>
      </rPr>
      <t>特别提示：</t>
    </r>
    <phoneticPr fontId="84" type="noConversion"/>
  </si>
  <si>
    <r>
      <t xml:space="preserve">      </t>
    </r>
    <r>
      <rPr>
        <sz val="14"/>
        <color theme="1"/>
        <rFont val="宋体"/>
        <family val="3"/>
        <charset val="134"/>
      </rPr>
      <t>顺致</t>
    </r>
    <phoneticPr fontId="84" type="noConversion"/>
  </si>
  <si>
    <r>
      <rPr>
        <sz val="14"/>
        <color theme="1"/>
        <rFont val="宋体"/>
        <family val="3"/>
        <charset val="134"/>
      </rPr>
      <t>商祺</t>
    </r>
    <phoneticPr fontId="84" type="noConversion"/>
  </si>
  <si>
    <r>
      <rPr>
        <sz val="14"/>
        <color theme="1"/>
        <rFont val="宋体"/>
        <family val="3"/>
        <charset val="134"/>
      </rPr>
      <t>北京康正宏基房地产评估有限公司</t>
    </r>
    <phoneticPr fontId="84" type="noConversion"/>
  </si>
  <si>
    <r>
      <rPr>
        <b/>
        <sz val="14"/>
        <color theme="1"/>
        <rFont val="宋体"/>
        <family val="3"/>
        <charset val="134"/>
      </rPr>
      <t>参与本次估价工作的评估专业人员：</t>
    </r>
    <r>
      <rPr>
        <b/>
        <i/>
        <sz val="14"/>
        <color theme="3" tint="0.39997558519241921"/>
        <rFont val="宋体"/>
        <family val="3"/>
        <charset val="134"/>
      </rPr>
      <t>（仅华夏银行，且需附有测算过程）</t>
    </r>
    <phoneticPr fontId="86" type="noConversion"/>
  </si>
  <si>
    <r>
      <t xml:space="preserve">  </t>
    </r>
    <r>
      <rPr>
        <sz val="14"/>
        <color rgb="FF000000"/>
        <rFont val="宋体"/>
        <family val="3"/>
        <charset val="134"/>
      </rPr>
      <t>年</t>
    </r>
    <r>
      <rPr>
        <sz val="14"/>
        <color rgb="FF000000"/>
        <rFont val="Arial"/>
        <family val="2"/>
      </rPr>
      <t xml:space="preserve">  </t>
    </r>
    <r>
      <rPr>
        <sz val="14"/>
        <color rgb="FF000000"/>
        <rFont val="宋体"/>
        <family val="3"/>
        <charset val="134"/>
      </rPr>
      <t>月</t>
    </r>
    <r>
      <rPr>
        <sz val="14"/>
        <color rgb="FF000000"/>
        <rFont val="Arial"/>
        <family val="2"/>
      </rPr>
      <t xml:space="preserve">  </t>
    </r>
    <r>
      <rPr>
        <sz val="14"/>
        <color rgb="FF000000"/>
        <rFont val="宋体"/>
        <family val="3"/>
        <charset val="134"/>
      </rPr>
      <t>日</t>
    </r>
    <phoneticPr fontId="86" type="noConversion"/>
  </si>
  <si>
    <r>
      <rPr>
        <sz val="12"/>
        <color theme="9" tint="-0.249977111117893"/>
        <rFont val="宋体"/>
        <family val="3"/>
        <charset val="134"/>
      </rPr>
      <t>根据《北京市已购公有住房上市出售实施办法》，上市出售按房改成本价购买的公有住房，须按当年房改成本价</t>
    </r>
    <r>
      <rPr>
        <sz val="12"/>
        <color indexed="53"/>
        <rFont val="Arial"/>
        <family val="2"/>
      </rPr>
      <t>1%</t>
    </r>
    <r>
      <rPr>
        <sz val="12"/>
        <color indexed="53"/>
        <rFont val="宋体"/>
        <family val="3"/>
        <charset val="134"/>
      </rPr>
      <t>补缴土地出让金后可办理商品房房屋所有权证，即累计应交</t>
    </r>
    <r>
      <rPr>
        <sz val="12"/>
        <color indexed="53"/>
        <rFont val="Arial"/>
        <family val="2"/>
      </rPr>
      <t>1794</t>
    </r>
    <r>
      <rPr>
        <sz val="12"/>
        <color indexed="53"/>
        <rFont val="宋体"/>
        <family val="3"/>
        <charset val="134"/>
      </rPr>
      <t>元人民币（具体结算金额以相关部门核定为准）。因此，估价师所知悉的法定优先受偿款为</t>
    </r>
    <r>
      <rPr>
        <sz val="12"/>
        <color indexed="53"/>
        <rFont val="Arial"/>
        <family val="2"/>
      </rPr>
      <t>1794</t>
    </r>
    <r>
      <rPr>
        <sz val="12"/>
        <color indexed="53"/>
        <rFont val="宋体"/>
        <family val="3"/>
        <charset val="134"/>
      </rPr>
      <t>元。</t>
    </r>
    <phoneticPr fontId="84" type="noConversion"/>
  </si>
  <si>
    <r>
      <rPr>
        <b/>
        <sz val="16"/>
        <color indexed="10"/>
        <rFont val="宋体"/>
        <family val="3"/>
        <charset val="134"/>
      </rPr>
      <t>假设开发法</t>
    </r>
    <phoneticPr fontId="14" type="noConversion"/>
  </si>
  <si>
    <r>
      <rPr>
        <b/>
        <sz val="12"/>
        <rFont val="宋体"/>
        <family val="3"/>
        <charset val="134"/>
      </rPr>
      <t>仅计算典型户型</t>
    </r>
  </si>
  <si>
    <r>
      <rPr>
        <b/>
        <sz val="12"/>
        <rFont val="宋体"/>
        <family val="3"/>
        <charset val="134"/>
      </rPr>
      <t>总价</t>
    </r>
    <phoneticPr fontId="15" type="noConversion"/>
  </si>
  <si>
    <r>
      <rPr>
        <b/>
        <sz val="12"/>
        <rFont val="宋体"/>
        <family val="3"/>
        <charset val="134"/>
      </rPr>
      <t>楼面单价</t>
    </r>
    <phoneticPr fontId="15" type="noConversion"/>
  </si>
  <si>
    <r>
      <rPr>
        <b/>
        <sz val="12"/>
        <color indexed="8"/>
        <rFont val="宋体"/>
        <family val="3"/>
        <charset val="134"/>
      </rPr>
      <t>元</t>
    </r>
    <r>
      <rPr>
        <b/>
        <sz val="12"/>
        <color indexed="8"/>
        <rFont val="Arial"/>
        <family val="2"/>
      </rPr>
      <t>/</t>
    </r>
    <r>
      <rPr>
        <b/>
        <sz val="12"/>
        <color indexed="8"/>
        <rFont val="宋体"/>
        <family val="3"/>
        <charset val="134"/>
      </rPr>
      <t>平方米</t>
    </r>
    <phoneticPr fontId="15" type="noConversion"/>
  </si>
  <si>
    <r>
      <t>1.</t>
    </r>
    <r>
      <rPr>
        <b/>
        <sz val="12"/>
        <color indexed="8"/>
        <rFont val="宋体"/>
        <family val="3"/>
        <charset val="134"/>
      </rPr>
      <t>开发完成后房地产价值</t>
    </r>
    <phoneticPr fontId="14" type="noConversion"/>
  </si>
  <si>
    <r>
      <rPr>
        <b/>
        <sz val="11"/>
        <color indexed="8"/>
        <rFont val="宋体"/>
        <family val="3"/>
        <charset val="134"/>
      </rPr>
      <t>序号</t>
    </r>
    <phoneticPr fontId="14" type="noConversion"/>
  </si>
  <si>
    <r>
      <rPr>
        <b/>
        <sz val="11"/>
        <color indexed="8"/>
        <rFont val="宋体"/>
        <family val="3"/>
        <charset val="134"/>
      </rPr>
      <t>项目名称</t>
    </r>
    <phoneticPr fontId="14" type="noConversion"/>
  </si>
  <si>
    <r>
      <rPr>
        <sz val="10"/>
        <color indexed="8"/>
        <rFont val="宋体"/>
        <family val="3"/>
        <charset val="134"/>
      </rPr>
      <t>（</t>
    </r>
    <r>
      <rPr>
        <sz val="10"/>
        <color indexed="8"/>
        <rFont val="Arial"/>
        <family val="2"/>
      </rPr>
      <t>1</t>
    </r>
    <r>
      <rPr>
        <sz val="10"/>
        <color indexed="8"/>
        <rFont val="宋体"/>
        <family val="3"/>
        <charset val="134"/>
      </rPr>
      <t>）</t>
    </r>
    <phoneticPr fontId="137" type="noConversion"/>
  </si>
  <si>
    <r>
      <rPr>
        <sz val="10"/>
        <color indexed="8"/>
        <rFont val="宋体"/>
        <family val="3"/>
        <charset val="134"/>
      </rPr>
      <t>楼面单价</t>
    </r>
    <phoneticPr fontId="14" type="noConversion"/>
  </si>
  <si>
    <r>
      <rPr>
        <sz val="10"/>
        <color indexed="8"/>
        <rFont val="宋体"/>
        <family val="3"/>
        <charset val="134"/>
      </rPr>
      <t>（</t>
    </r>
    <r>
      <rPr>
        <sz val="10"/>
        <color indexed="8"/>
        <rFont val="Arial"/>
        <family val="2"/>
      </rPr>
      <t>2</t>
    </r>
    <r>
      <rPr>
        <sz val="10"/>
        <color indexed="8"/>
        <rFont val="宋体"/>
        <family val="3"/>
        <charset val="134"/>
      </rPr>
      <t>）</t>
    </r>
    <phoneticPr fontId="137" type="noConversion"/>
  </si>
  <si>
    <r>
      <rPr>
        <sz val="10"/>
        <color indexed="8"/>
        <rFont val="宋体"/>
        <family val="3"/>
        <charset val="134"/>
      </rPr>
      <t>建筑面积</t>
    </r>
    <phoneticPr fontId="14" type="noConversion"/>
  </si>
  <si>
    <r>
      <rPr>
        <sz val="10"/>
        <color indexed="8"/>
        <rFont val="宋体"/>
        <family val="3"/>
        <charset val="134"/>
      </rPr>
      <t>（</t>
    </r>
    <r>
      <rPr>
        <sz val="10"/>
        <color indexed="8"/>
        <rFont val="Arial"/>
        <family val="2"/>
      </rPr>
      <t>3</t>
    </r>
    <r>
      <rPr>
        <sz val="10"/>
        <color indexed="8"/>
        <rFont val="宋体"/>
        <family val="3"/>
        <charset val="134"/>
      </rPr>
      <t>）</t>
    </r>
    <phoneticPr fontId="137" type="noConversion"/>
  </si>
  <si>
    <r>
      <rPr>
        <sz val="10"/>
        <color indexed="8"/>
        <rFont val="宋体"/>
        <family val="3"/>
        <charset val="134"/>
      </rPr>
      <t>总额</t>
    </r>
    <phoneticPr fontId="14" type="noConversion"/>
  </si>
  <si>
    <r>
      <t>2.</t>
    </r>
    <r>
      <rPr>
        <b/>
        <sz val="12"/>
        <color indexed="8"/>
        <rFont val="宋体"/>
        <family val="3"/>
        <charset val="134"/>
      </rPr>
      <t>扣减项</t>
    </r>
    <phoneticPr fontId="14" type="noConversion"/>
  </si>
  <si>
    <r>
      <rPr>
        <b/>
        <sz val="11"/>
        <color indexed="8"/>
        <rFont val="宋体"/>
        <family val="3"/>
        <charset val="134"/>
      </rPr>
      <t>总额</t>
    </r>
    <phoneticPr fontId="14" type="noConversion"/>
  </si>
  <si>
    <r>
      <rPr>
        <b/>
        <sz val="11"/>
        <color indexed="8"/>
        <rFont val="宋体"/>
        <family val="3"/>
        <charset val="134"/>
      </rPr>
      <t>面积</t>
    </r>
    <phoneticPr fontId="14" type="noConversion"/>
  </si>
  <si>
    <r>
      <rPr>
        <b/>
        <sz val="11"/>
        <color indexed="8"/>
        <rFont val="宋体"/>
        <family val="3"/>
        <charset val="134"/>
      </rPr>
      <t>单价</t>
    </r>
    <phoneticPr fontId="14" type="noConversion"/>
  </si>
  <si>
    <r>
      <rPr>
        <b/>
        <sz val="11"/>
        <color indexed="8"/>
        <rFont val="宋体"/>
        <family val="3"/>
        <charset val="134"/>
      </rPr>
      <t>相关系数</t>
    </r>
    <phoneticPr fontId="14" type="noConversion"/>
  </si>
  <si>
    <r>
      <rPr>
        <sz val="10"/>
        <color indexed="8"/>
        <rFont val="宋体"/>
        <family val="3"/>
        <charset val="134"/>
      </rPr>
      <t>续建建安</t>
    </r>
    <phoneticPr fontId="14" type="noConversion"/>
  </si>
  <si>
    <r>
      <rPr>
        <sz val="10"/>
        <color indexed="8"/>
        <rFont val="宋体"/>
        <family val="3"/>
        <charset val="134"/>
      </rPr>
      <t>勘察设计和前期工程费</t>
    </r>
    <phoneticPr fontId="14" type="noConversion"/>
  </si>
  <si>
    <r>
      <rPr>
        <b/>
        <sz val="11"/>
        <color indexed="8"/>
        <rFont val="宋体"/>
        <family val="3"/>
        <charset val="134"/>
      </rPr>
      <t>以建安费用为基数计取</t>
    </r>
    <phoneticPr fontId="14" type="noConversion"/>
  </si>
  <si>
    <r>
      <rPr>
        <sz val="10"/>
        <color indexed="8"/>
        <rFont val="宋体"/>
        <family val="3"/>
        <charset val="134"/>
      </rPr>
      <t>公共配套设施费用</t>
    </r>
    <phoneticPr fontId="14" type="noConversion"/>
  </si>
  <si>
    <r>
      <rPr>
        <b/>
        <sz val="11"/>
        <color indexed="8"/>
        <rFont val="宋体"/>
        <family val="3"/>
        <charset val="134"/>
      </rPr>
      <t>以住宅用房建安费用为基数计取</t>
    </r>
    <phoneticPr fontId="14" type="noConversion"/>
  </si>
  <si>
    <r>
      <rPr>
        <sz val="10"/>
        <color indexed="8"/>
        <rFont val="宋体"/>
        <family val="3"/>
        <charset val="134"/>
      </rPr>
      <t>红线内市政费用</t>
    </r>
    <phoneticPr fontId="14" type="noConversion"/>
  </si>
  <si>
    <r>
      <rPr>
        <b/>
        <sz val="11"/>
        <color indexed="8"/>
        <rFont val="宋体"/>
        <family val="3"/>
        <charset val="134"/>
      </rPr>
      <t>按工程进度计取或按实际情况计取</t>
    </r>
    <phoneticPr fontId="14" type="noConversion"/>
  </si>
  <si>
    <r>
      <rPr>
        <sz val="10"/>
        <color indexed="8"/>
        <rFont val="宋体"/>
        <family val="3"/>
        <charset val="134"/>
      </rPr>
      <t>相关税费</t>
    </r>
    <phoneticPr fontId="14" type="noConversion"/>
  </si>
  <si>
    <r>
      <rPr>
        <sz val="10"/>
        <color indexed="8"/>
        <rFont val="宋体"/>
        <family val="3"/>
        <charset val="134"/>
      </rPr>
      <t>以建安费用为基数计取</t>
    </r>
    <phoneticPr fontId="14" type="noConversion"/>
  </si>
  <si>
    <r>
      <t>1</t>
    </r>
    <r>
      <rPr>
        <sz val="10"/>
        <color indexed="8"/>
        <rFont val="宋体"/>
        <family val="3"/>
        <charset val="134"/>
      </rPr>
      <t>）</t>
    </r>
    <phoneticPr fontId="15" type="noConversion"/>
  </si>
  <si>
    <r>
      <rPr>
        <sz val="10"/>
        <color indexed="8"/>
        <rFont val="宋体"/>
        <family val="3"/>
        <charset val="134"/>
      </rPr>
      <t>续建成本</t>
    </r>
    <phoneticPr fontId="15" type="noConversion"/>
  </si>
  <si>
    <r>
      <t>2</t>
    </r>
    <r>
      <rPr>
        <sz val="10"/>
        <color indexed="8"/>
        <rFont val="宋体"/>
        <family val="3"/>
        <charset val="134"/>
      </rPr>
      <t>）</t>
    </r>
    <phoneticPr fontId="137" type="noConversion"/>
  </si>
  <si>
    <r>
      <rPr>
        <sz val="10"/>
        <color indexed="8"/>
        <rFont val="宋体"/>
        <family val="3"/>
        <charset val="134"/>
      </rPr>
      <t>红线外市政费用（待完成）</t>
    </r>
    <phoneticPr fontId="14" type="noConversion"/>
  </si>
  <si>
    <r>
      <rPr>
        <sz val="10"/>
        <color indexed="8"/>
        <rFont val="宋体"/>
        <family val="3"/>
        <charset val="134"/>
      </rPr>
      <t>按实际情况计取</t>
    </r>
    <phoneticPr fontId="14" type="noConversion"/>
  </si>
  <si>
    <r>
      <t>3</t>
    </r>
    <r>
      <rPr>
        <sz val="10"/>
        <color indexed="8"/>
        <rFont val="宋体"/>
        <family val="3"/>
        <charset val="134"/>
      </rPr>
      <t>）</t>
    </r>
    <phoneticPr fontId="137" type="noConversion"/>
  </si>
  <si>
    <r>
      <rPr>
        <sz val="10"/>
        <color indexed="8"/>
        <rFont val="宋体"/>
        <family val="3"/>
        <charset val="134"/>
      </rPr>
      <t>城市基础设施建设费（行政收费）</t>
    </r>
    <phoneticPr fontId="14" type="noConversion"/>
  </si>
  <si>
    <r>
      <rPr>
        <sz val="10"/>
        <color indexed="8"/>
        <rFont val="宋体"/>
        <family val="3"/>
        <charset val="134"/>
      </rPr>
      <t>按实际未缴纳金额</t>
    </r>
    <phoneticPr fontId="14" type="noConversion"/>
  </si>
  <si>
    <r>
      <rPr>
        <sz val="10"/>
        <color indexed="8"/>
        <rFont val="宋体"/>
        <family val="3"/>
        <charset val="134"/>
      </rPr>
      <t>住宅</t>
    </r>
    <phoneticPr fontId="14" type="noConversion"/>
  </si>
  <si>
    <r>
      <rPr>
        <sz val="10"/>
        <color indexed="8"/>
        <rFont val="宋体"/>
        <family val="3"/>
        <charset val="134"/>
      </rPr>
      <t>非住宅</t>
    </r>
    <phoneticPr fontId="14" type="noConversion"/>
  </si>
  <si>
    <r>
      <rPr>
        <b/>
        <sz val="11"/>
        <color indexed="8"/>
        <rFont val="宋体"/>
        <family val="3"/>
        <charset val="134"/>
      </rPr>
      <t>后续开发成本</t>
    </r>
    <phoneticPr fontId="14" type="noConversion"/>
  </si>
  <si>
    <r>
      <t>1</t>
    </r>
    <r>
      <rPr>
        <sz val="10"/>
        <color indexed="8"/>
        <rFont val="宋体"/>
        <family val="3"/>
        <charset val="134"/>
      </rPr>
      <t>）</t>
    </r>
    <r>
      <rPr>
        <sz val="10"/>
        <color indexed="8"/>
        <rFont val="Arial"/>
        <family val="2"/>
      </rPr>
      <t>-3</t>
    </r>
    <r>
      <rPr>
        <sz val="10"/>
        <color indexed="8"/>
        <rFont val="宋体"/>
        <family val="3"/>
        <charset val="134"/>
      </rPr>
      <t>）项之和</t>
    </r>
    <phoneticPr fontId="15" type="noConversion"/>
  </si>
  <si>
    <r>
      <rPr>
        <b/>
        <sz val="11"/>
        <color indexed="8"/>
        <rFont val="宋体"/>
        <family val="3"/>
        <charset val="134"/>
      </rPr>
      <t>管理费用</t>
    </r>
    <phoneticPr fontId="14" type="noConversion"/>
  </si>
  <si>
    <r>
      <rPr>
        <b/>
        <sz val="11"/>
        <color indexed="8"/>
        <rFont val="宋体"/>
        <family val="3"/>
        <charset val="134"/>
      </rPr>
      <t>以续建成本为基数计算</t>
    </r>
    <phoneticPr fontId="14" type="noConversion"/>
  </si>
  <si>
    <r>
      <rPr>
        <b/>
        <sz val="11"/>
        <color indexed="8"/>
        <rFont val="宋体"/>
        <family val="3"/>
        <charset val="134"/>
      </rPr>
      <t>销售费用</t>
    </r>
    <phoneticPr fontId="14" type="noConversion"/>
  </si>
  <si>
    <r>
      <rPr>
        <b/>
        <sz val="11"/>
        <color indexed="8"/>
        <rFont val="宋体"/>
        <family val="3"/>
        <charset val="134"/>
      </rPr>
      <t>以</t>
    </r>
    <r>
      <rPr>
        <b/>
        <sz val="11"/>
        <color indexed="8"/>
        <rFont val="Arial"/>
        <family val="2"/>
      </rPr>
      <t>“1”</t>
    </r>
    <r>
      <rPr>
        <b/>
        <sz val="11"/>
        <color indexed="8"/>
        <rFont val="宋体"/>
        <family val="3"/>
        <charset val="134"/>
      </rPr>
      <t>为基数按一定比例及续建进度计取</t>
    </r>
    <phoneticPr fontId="14" type="noConversion"/>
  </si>
  <si>
    <r>
      <rPr>
        <sz val="10"/>
        <color indexed="8"/>
        <rFont val="宋体"/>
        <family val="3"/>
        <charset val="134"/>
      </rPr>
      <t>（</t>
    </r>
    <r>
      <rPr>
        <sz val="10"/>
        <color indexed="8"/>
        <rFont val="Arial"/>
        <family val="2"/>
      </rPr>
      <t>4</t>
    </r>
    <r>
      <rPr>
        <sz val="10"/>
        <color indexed="8"/>
        <rFont val="宋体"/>
        <family val="3"/>
        <charset val="134"/>
      </rPr>
      <t>）</t>
    </r>
    <phoneticPr fontId="137" type="noConversion"/>
  </si>
  <si>
    <r>
      <rPr>
        <b/>
        <sz val="11"/>
        <color indexed="8"/>
        <rFont val="宋体"/>
        <family val="3"/>
        <charset val="134"/>
      </rPr>
      <t>取得税费</t>
    </r>
    <phoneticPr fontId="14" type="noConversion"/>
  </si>
  <si>
    <r>
      <rPr>
        <b/>
        <sz val="11"/>
        <color indexed="8"/>
        <rFont val="宋体"/>
        <family val="3"/>
        <charset val="134"/>
      </rPr>
      <t>以开发价值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）为基数</t>
    </r>
    <phoneticPr fontId="15" type="noConversion"/>
  </si>
  <si>
    <r>
      <rPr>
        <sz val="10"/>
        <color indexed="8"/>
        <rFont val="宋体"/>
        <family val="3"/>
        <charset val="134"/>
      </rPr>
      <t>（</t>
    </r>
    <r>
      <rPr>
        <sz val="10"/>
        <color indexed="8"/>
        <rFont val="Arial"/>
        <family val="2"/>
      </rPr>
      <t>5</t>
    </r>
    <r>
      <rPr>
        <sz val="10"/>
        <color indexed="8"/>
        <rFont val="宋体"/>
        <family val="3"/>
        <charset val="134"/>
      </rPr>
      <t>）</t>
    </r>
    <phoneticPr fontId="137" type="noConversion"/>
  </si>
  <si>
    <r>
      <rPr>
        <b/>
        <sz val="11"/>
        <color indexed="8"/>
        <rFont val="宋体"/>
        <family val="3"/>
        <charset val="134"/>
      </rPr>
      <t>利息</t>
    </r>
    <phoneticPr fontId="14" type="noConversion"/>
  </si>
  <si>
    <r>
      <rPr>
        <sz val="10"/>
        <color indexed="8"/>
        <rFont val="宋体"/>
        <family val="3"/>
        <charset val="134"/>
      </rPr>
      <t>后续开发成本、管理费用及销售费用产生的利息。</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</si>
  <si>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</si>
  <si>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估价对象及取得税费产生的利息</t>
    </r>
    <phoneticPr fontId="14" type="noConversion"/>
  </si>
  <si>
    <r>
      <rPr>
        <sz val="10"/>
        <color indexed="8"/>
        <rFont val="宋体"/>
        <family val="3"/>
        <charset val="134"/>
      </rPr>
      <t>续建部分（</t>
    </r>
    <r>
      <rPr>
        <sz val="10"/>
        <color indexed="8"/>
        <rFont val="Arial"/>
        <family val="2"/>
      </rPr>
      <t>1-3</t>
    </r>
    <r>
      <rPr>
        <sz val="10"/>
        <color indexed="8"/>
        <rFont val="宋体"/>
        <family val="3"/>
        <charset val="134"/>
      </rPr>
      <t>项）产生的利息</t>
    </r>
    <phoneticPr fontId="14" type="noConversion"/>
  </si>
  <si>
    <r>
      <t>2.1-2.3</t>
    </r>
    <r>
      <rPr>
        <sz val="10"/>
        <color indexed="8"/>
        <rFont val="宋体"/>
        <family val="3"/>
        <charset val="134"/>
      </rPr>
      <t>项</t>
    </r>
    <r>
      <rPr>
        <sz val="10"/>
        <color indexed="8"/>
        <rFont val="Arial"/>
        <family val="2"/>
      </rPr>
      <t>×</t>
    </r>
    <r>
      <rPr>
        <sz val="10"/>
        <color indexed="8"/>
        <rFont val="宋体"/>
        <family val="3"/>
        <charset val="134"/>
      </rPr>
      <t>年利率</t>
    </r>
    <r>
      <rPr>
        <sz val="10"/>
        <color indexed="8"/>
        <rFont val="Arial"/>
        <family val="2"/>
      </rPr>
      <t>×</t>
    </r>
    <r>
      <rPr>
        <sz val="10"/>
        <color indexed="8"/>
        <rFont val="宋体"/>
        <family val="3"/>
        <charset val="134"/>
      </rPr>
      <t>续建工期</t>
    </r>
    <r>
      <rPr>
        <sz val="10"/>
        <color indexed="8"/>
        <rFont val="Arial"/>
        <family val="2"/>
      </rPr>
      <t>÷2</t>
    </r>
    <phoneticPr fontId="14" type="noConversion"/>
  </si>
  <si>
    <r>
      <rPr>
        <sz val="10"/>
        <color indexed="8"/>
        <rFont val="宋体"/>
        <family val="3"/>
        <charset val="134"/>
      </rPr>
      <t>（</t>
    </r>
    <r>
      <rPr>
        <sz val="10"/>
        <color indexed="8"/>
        <rFont val="Arial"/>
        <family val="2"/>
      </rPr>
      <t>6</t>
    </r>
    <r>
      <rPr>
        <sz val="10"/>
        <color indexed="8"/>
        <rFont val="宋体"/>
        <family val="3"/>
        <charset val="134"/>
      </rPr>
      <t>）</t>
    </r>
    <phoneticPr fontId="137" type="noConversion"/>
  </si>
  <si>
    <r>
      <rPr>
        <b/>
        <sz val="11"/>
        <color indexed="8"/>
        <rFont val="宋体"/>
        <family val="3"/>
        <charset val="134"/>
      </rPr>
      <t>利润</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</si>
  <si>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</si>
  <si>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估价对象及取得税费应计的利润</t>
    </r>
    <phoneticPr fontId="14" type="noConversion"/>
  </si>
  <si>
    <r>
      <rPr>
        <sz val="10"/>
        <color indexed="8"/>
        <rFont val="宋体"/>
        <family val="3"/>
        <charset val="134"/>
      </rPr>
      <t>（</t>
    </r>
    <r>
      <rPr>
        <sz val="10"/>
        <color indexed="8"/>
        <rFont val="Arial"/>
        <family val="2"/>
      </rPr>
      <t>V+V*</t>
    </r>
    <r>
      <rPr>
        <sz val="10"/>
        <color indexed="8"/>
        <rFont val="宋体"/>
        <family val="3"/>
        <charset val="134"/>
      </rPr>
      <t>取得税费）</t>
    </r>
    <r>
      <rPr>
        <sz val="10"/>
        <color indexed="8"/>
        <rFont val="Arial"/>
        <family val="2"/>
      </rPr>
      <t>*</t>
    </r>
    <r>
      <rPr>
        <sz val="10"/>
        <color indexed="8"/>
        <rFont val="宋体"/>
        <family val="3"/>
        <charset val="134"/>
      </rPr>
      <t>利润率</t>
    </r>
    <r>
      <rPr>
        <sz val="10"/>
        <color indexed="8"/>
        <rFont val="Arial"/>
        <family val="2"/>
      </rPr>
      <t>*</t>
    </r>
    <r>
      <rPr>
        <sz val="10"/>
        <color indexed="8"/>
        <rFont val="宋体"/>
        <family val="3"/>
        <charset val="134"/>
      </rPr>
      <t>续建工期</t>
    </r>
    <r>
      <rPr>
        <sz val="10"/>
        <color indexed="8"/>
        <rFont val="Arial"/>
        <family val="2"/>
      </rPr>
      <t>/</t>
    </r>
    <r>
      <rPr>
        <sz val="10"/>
        <color indexed="8"/>
        <rFont val="宋体"/>
        <family val="3"/>
        <charset val="134"/>
      </rPr>
      <t>建设期</t>
    </r>
    <phoneticPr fontId="14" type="noConversion"/>
  </si>
  <si>
    <r>
      <t>2</t>
    </r>
    <r>
      <rPr>
        <sz val="10"/>
        <color indexed="8"/>
        <rFont val="宋体"/>
        <family val="3"/>
        <charset val="134"/>
      </rPr>
      <t>）</t>
    </r>
    <phoneticPr fontId="137" type="noConversion"/>
  </si>
  <si>
    <r>
      <rPr>
        <sz val="10"/>
        <color indexed="8"/>
        <rFont val="宋体"/>
        <family val="3"/>
        <charset val="134"/>
      </rPr>
      <t>续建部分（</t>
    </r>
    <r>
      <rPr>
        <sz val="10"/>
        <color indexed="8"/>
        <rFont val="Arial"/>
        <family val="2"/>
      </rPr>
      <t>1-3</t>
    </r>
    <r>
      <rPr>
        <sz val="10"/>
        <color indexed="8"/>
        <rFont val="宋体"/>
        <family val="3"/>
        <charset val="134"/>
      </rPr>
      <t>项）应计的利润</t>
    </r>
    <phoneticPr fontId="14" type="noConversion"/>
  </si>
  <si>
    <r>
      <rPr>
        <sz val="10"/>
        <color indexed="8"/>
        <rFont val="宋体"/>
        <family val="3"/>
        <charset val="134"/>
      </rPr>
      <t>（</t>
    </r>
    <r>
      <rPr>
        <sz val="10"/>
        <color indexed="8"/>
        <rFont val="Arial"/>
        <family val="2"/>
      </rPr>
      <t>7</t>
    </r>
    <r>
      <rPr>
        <sz val="10"/>
        <color indexed="8"/>
        <rFont val="宋体"/>
        <family val="3"/>
        <charset val="134"/>
      </rPr>
      <t>）</t>
    </r>
    <phoneticPr fontId="137" type="noConversion"/>
  </si>
  <si>
    <r>
      <rPr>
        <b/>
        <sz val="11"/>
        <color indexed="8"/>
        <rFont val="宋体"/>
        <family val="3"/>
        <charset val="134"/>
      </rPr>
      <t>销售税费</t>
    </r>
    <phoneticPr fontId="14" type="noConversion"/>
  </si>
  <si>
    <r>
      <rPr>
        <b/>
        <sz val="11"/>
        <color indexed="8"/>
        <rFont val="宋体"/>
        <family val="3"/>
        <charset val="134"/>
      </rPr>
      <t>以</t>
    </r>
    <r>
      <rPr>
        <b/>
        <sz val="11"/>
        <color indexed="8"/>
        <rFont val="Arial"/>
        <family val="2"/>
      </rPr>
      <t>“</t>
    </r>
    <r>
      <rPr>
        <b/>
        <sz val="11"/>
        <color indexed="8"/>
        <rFont val="宋体"/>
        <family val="3"/>
        <charset val="134"/>
      </rPr>
      <t>开发完成后价值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t>
    </r>
    <r>
      <rPr>
        <b/>
        <sz val="11"/>
        <color indexed="8"/>
        <rFont val="Arial"/>
        <family val="2"/>
      </rPr>
      <t>”</t>
    </r>
    <r>
      <rPr>
        <b/>
        <sz val="11"/>
        <color indexed="8"/>
        <rFont val="宋体"/>
        <family val="3"/>
        <charset val="134"/>
      </rPr>
      <t>为基数计取</t>
    </r>
    <phoneticPr fontId="14" type="noConversion"/>
  </si>
  <si>
    <r>
      <t>3</t>
    </r>
    <r>
      <rPr>
        <b/>
        <sz val="11"/>
        <color indexed="8"/>
        <rFont val="宋体"/>
        <family val="3"/>
        <charset val="134"/>
      </rPr>
      <t>、开发价值</t>
    </r>
    <phoneticPr fontId="15" type="noConversion"/>
  </si>
  <si>
    <r>
      <rPr>
        <b/>
        <sz val="12"/>
        <color indexed="8"/>
        <rFont val="宋体"/>
        <family val="3"/>
        <charset val="134"/>
      </rPr>
      <t>估价对象价值</t>
    </r>
    <r>
      <rPr>
        <b/>
        <sz val="12"/>
        <color indexed="8"/>
        <rFont val="Arial"/>
        <family val="2"/>
      </rPr>
      <t>=1-2</t>
    </r>
    <phoneticPr fontId="14" type="noConversion"/>
  </si>
  <si>
    <r>
      <rPr>
        <b/>
        <sz val="14"/>
        <color indexed="10"/>
        <rFont val="宋体"/>
        <family val="3"/>
        <charset val="134"/>
      </rPr>
      <t>请用</t>
    </r>
    <r>
      <rPr>
        <b/>
        <sz val="14"/>
        <color indexed="10"/>
        <rFont val="Arial"/>
        <family val="2"/>
      </rPr>
      <t>EXCEL2010</t>
    </r>
    <r>
      <rPr>
        <b/>
        <sz val="14"/>
        <color indexed="10"/>
        <rFont val="宋体"/>
        <family val="3"/>
        <charset val="134"/>
      </rPr>
      <t>以上版本打开，否则个别格式设置会与原表不一致，影响使用</t>
    </r>
    <phoneticPr fontId="28" type="noConversion"/>
  </si>
  <si>
    <r>
      <rPr>
        <b/>
        <sz val="12"/>
        <color indexed="8"/>
        <rFont val="宋体"/>
        <family val="3"/>
        <charset val="134"/>
      </rPr>
      <t>录入项</t>
    </r>
    <phoneticPr fontId="4" type="noConversion"/>
  </si>
  <si>
    <r>
      <rPr>
        <sz val="11"/>
        <color indexed="8"/>
        <rFont val="宋体"/>
        <family val="3"/>
        <charset val="134"/>
      </rPr>
      <t>无底纹单元格</t>
    </r>
    <phoneticPr fontId="28" type="noConversion"/>
  </si>
  <si>
    <r>
      <rPr>
        <b/>
        <sz val="12"/>
        <color indexed="8"/>
        <rFont val="宋体"/>
        <family val="3"/>
        <charset val="134"/>
      </rPr>
      <t>下拉菜单</t>
    </r>
  </si>
  <si>
    <r>
      <rPr>
        <sz val="11"/>
        <color indexed="8"/>
        <rFont val="宋体"/>
        <family val="3"/>
        <charset val="134"/>
      </rPr>
      <t>黄色底纹单元格</t>
    </r>
    <phoneticPr fontId="28" type="noConversion"/>
  </si>
  <si>
    <r>
      <rPr>
        <b/>
        <sz val="12"/>
        <color indexed="8"/>
        <rFont val="宋体"/>
        <family val="3"/>
        <charset val="134"/>
      </rPr>
      <t>锁定项</t>
    </r>
    <phoneticPr fontId="4" type="noConversion"/>
  </si>
  <si>
    <r>
      <rPr>
        <sz val="11"/>
        <color indexed="8"/>
        <rFont val="宋体"/>
        <family val="3"/>
        <charset val="134"/>
      </rPr>
      <t>灰色底纹单元格</t>
    </r>
    <phoneticPr fontId="28" type="noConversion"/>
  </si>
  <si>
    <r>
      <rPr>
        <b/>
        <sz val="12"/>
        <color indexed="13"/>
        <rFont val="宋体"/>
        <family val="3"/>
        <charset val="134"/>
      </rPr>
      <t>错误提示</t>
    </r>
    <phoneticPr fontId="28" type="noConversion"/>
  </si>
  <si>
    <r>
      <rPr>
        <sz val="11"/>
        <color indexed="8"/>
        <rFont val="宋体"/>
        <family val="3"/>
        <charset val="134"/>
      </rPr>
      <t>红色底纹黄色字体</t>
    </r>
    <phoneticPr fontId="28" type="noConversion"/>
  </si>
  <si>
    <r>
      <rPr>
        <b/>
        <sz val="12"/>
        <color indexed="10"/>
        <rFont val="宋体"/>
        <family val="3"/>
        <charset val="134"/>
      </rPr>
      <t>特别提示</t>
    </r>
    <phoneticPr fontId="28" type="noConversion"/>
  </si>
  <si>
    <r>
      <rPr>
        <sz val="11"/>
        <color indexed="8"/>
        <rFont val="宋体"/>
        <family val="3"/>
        <charset val="134"/>
      </rPr>
      <t>红色字体</t>
    </r>
    <phoneticPr fontId="28" type="noConversion"/>
  </si>
  <si>
    <r>
      <rPr>
        <b/>
        <sz val="12"/>
        <color indexed="8"/>
        <rFont val="宋体"/>
        <family val="3"/>
        <charset val="134"/>
      </rPr>
      <t>关注批注角标</t>
    </r>
    <phoneticPr fontId="28" type="noConversion"/>
  </si>
  <si>
    <r>
      <rPr>
        <sz val="11"/>
        <color indexed="8"/>
        <rFont val="宋体"/>
        <family val="3"/>
        <charset val="134"/>
      </rPr>
      <t>基础表</t>
    </r>
    <phoneticPr fontId="4" type="noConversion"/>
  </si>
  <si>
    <r>
      <rPr>
        <sz val="11"/>
        <color indexed="8"/>
        <rFont val="宋体"/>
        <family val="3"/>
        <charset val="134"/>
      </rPr>
      <t>定义</t>
    </r>
    <phoneticPr fontId="4" type="noConversion"/>
  </si>
  <si>
    <r>
      <rPr>
        <sz val="11"/>
        <color indexed="8"/>
        <rFont val="宋体"/>
        <family val="3"/>
        <charset val="134"/>
      </rPr>
      <t>项目基本情况</t>
    </r>
    <phoneticPr fontId="4" type="noConversion"/>
  </si>
  <si>
    <r>
      <rPr>
        <sz val="11"/>
        <color indexed="8"/>
        <rFont val="宋体"/>
        <family val="3"/>
        <charset val="134"/>
      </rPr>
      <t>数据</t>
    </r>
    <r>
      <rPr>
        <sz val="11"/>
        <color indexed="8"/>
        <rFont val="Arial"/>
        <family val="2"/>
      </rPr>
      <t>-</t>
    </r>
    <r>
      <rPr>
        <sz val="11"/>
        <color indexed="8"/>
        <rFont val="宋体"/>
        <family val="3"/>
        <charset val="134"/>
      </rPr>
      <t>取费表</t>
    </r>
    <phoneticPr fontId="4" type="noConversion"/>
  </si>
  <si>
    <r>
      <rPr>
        <sz val="11"/>
        <color indexed="8"/>
        <rFont val="宋体"/>
        <family val="3"/>
        <charset val="134"/>
      </rPr>
      <t>房地状况</t>
    </r>
    <phoneticPr fontId="4" type="noConversion"/>
  </si>
  <si>
    <r>
      <rPr>
        <sz val="11"/>
        <color indexed="8"/>
        <rFont val="宋体"/>
        <family val="3"/>
        <charset val="134"/>
      </rPr>
      <t>结果表</t>
    </r>
    <phoneticPr fontId="4" type="noConversion"/>
  </si>
  <si>
    <r>
      <rPr>
        <sz val="11"/>
        <color indexed="8"/>
        <rFont val="宋体"/>
        <family val="3"/>
        <charset val="134"/>
      </rPr>
      <t>方法</t>
    </r>
    <phoneticPr fontId="4" type="noConversion"/>
  </si>
  <si>
    <r>
      <rPr>
        <sz val="11"/>
        <color indexed="8"/>
        <rFont val="宋体"/>
        <family val="3"/>
        <charset val="134"/>
      </rPr>
      <t>成本</t>
    </r>
    <phoneticPr fontId="4" type="noConversion"/>
  </si>
  <si>
    <r>
      <rPr>
        <sz val="11"/>
        <color indexed="8"/>
        <rFont val="宋体"/>
        <family val="3"/>
        <charset val="134"/>
      </rPr>
      <t>假开</t>
    </r>
    <phoneticPr fontId="4" type="noConversion"/>
  </si>
  <si>
    <r>
      <rPr>
        <sz val="11"/>
        <color indexed="8"/>
        <rFont val="宋体"/>
        <family val="3"/>
        <charset val="134"/>
      </rPr>
      <t>收益</t>
    </r>
    <phoneticPr fontId="4" type="noConversion"/>
  </si>
  <si>
    <r>
      <rPr>
        <sz val="11"/>
        <color indexed="8"/>
        <rFont val="宋体"/>
        <family val="3"/>
        <charset val="134"/>
      </rPr>
      <t>比较</t>
    </r>
    <phoneticPr fontId="4" type="noConversion"/>
  </si>
  <si>
    <r>
      <rPr>
        <sz val="11"/>
        <color indexed="8"/>
        <rFont val="宋体"/>
        <family val="3"/>
        <charset val="134"/>
      </rPr>
      <t>住宅</t>
    </r>
    <phoneticPr fontId="4" type="noConversion"/>
  </si>
  <si>
    <r>
      <rPr>
        <sz val="11"/>
        <color indexed="8"/>
        <rFont val="宋体"/>
        <family val="3"/>
        <charset val="134"/>
      </rPr>
      <t>商业</t>
    </r>
    <phoneticPr fontId="4" type="noConversion"/>
  </si>
  <si>
    <r>
      <rPr>
        <sz val="11"/>
        <color indexed="8"/>
        <rFont val="宋体"/>
        <family val="3"/>
        <charset val="134"/>
      </rPr>
      <t>办公</t>
    </r>
    <phoneticPr fontId="4" type="noConversion"/>
  </si>
  <si>
    <r>
      <rPr>
        <sz val="11"/>
        <color indexed="8"/>
        <rFont val="宋体"/>
        <family val="3"/>
        <charset val="134"/>
      </rPr>
      <t>工业</t>
    </r>
    <phoneticPr fontId="28" type="noConversion"/>
  </si>
  <si>
    <r>
      <rPr>
        <sz val="11"/>
        <color indexed="8"/>
        <rFont val="宋体"/>
        <family val="3"/>
        <charset val="134"/>
      </rPr>
      <t>车位</t>
    </r>
    <phoneticPr fontId="28" type="noConversion"/>
  </si>
  <si>
    <r>
      <rPr>
        <sz val="11"/>
        <color indexed="8"/>
        <rFont val="宋体"/>
        <family val="3"/>
        <charset val="134"/>
      </rPr>
      <t>仓储</t>
    </r>
    <phoneticPr fontId="28" type="noConversion"/>
  </si>
  <si>
    <r>
      <rPr>
        <sz val="11"/>
        <color indexed="8"/>
        <rFont val="宋体"/>
        <family val="3"/>
        <charset val="134"/>
      </rPr>
      <t>土地</t>
    </r>
    <r>
      <rPr>
        <sz val="11"/>
        <color indexed="8"/>
        <rFont val="Arial"/>
        <family val="2"/>
      </rPr>
      <t>-</t>
    </r>
    <r>
      <rPr>
        <sz val="11"/>
        <color indexed="8"/>
        <rFont val="宋体"/>
        <family val="3"/>
        <charset val="134"/>
      </rPr>
      <t>住宅、综合</t>
    </r>
    <phoneticPr fontId="28" type="noConversion"/>
  </si>
  <si>
    <r>
      <rPr>
        <sz val="11"/>
        <color indexed="8"/>
        <rFont val="宋体"/>
        <family val="3"/>
        <charset val="134"/>
      </rPr>
      <t>土地</t>
    </r>
    <r>
      <rPr>
        <sz val="11"/>
        <color indexed="8"/>
        <rFont val="Arial"/>
        <family val="2"/>
      </rPr>
      <t>-</t>
    </r>
    <r>
      <rPr>
        <sz val="11"/>
        <color indexed="8"/>
        <rFont val="宋体"/>
        <family val="3"/>
        <charset val="134"/>
      </rPr>
      <t>工业</t>
    </r>
    <phoneticPr fontId="28" type="noConversion"/>
  </si>
  <si>
    <r>
      <rPr>
        <sz val="11"/>
        <color indexed="8"/>
        <rFont val="宋体"/>
        <family val="3"/>
        <charset val="134"/>
      </rPr>
      <t>典型户型修正</t>
    </r>
    <phoneticPr fontId="28" type="noConversion"/>
  </si>
  <si>
    <r>
      <rPr>
        <b/>
        <sz val="12"/>
        <color rgb="FFFF0000"/>
        <rFont val="宋体"/>
        <family val="3"/>
        <charset val="134"/>
      </rPr>
      <t>需要新增方法表时，请右键点击所选方法标签，选择</t>
    </r>
    <r>
      <rPr>
        <b/>
        <sz val="12"/>
        <color rgb="FFFF0000"/>
        <rFont val="Arial"/>
        <family val="2"/>
      </rPr>
      <t>‘</t>
    </r>
    <r>
      <rPr>
        <b/>
        <sz val="12"/>
        <color rgb="FFFF0000"/>
        <rFont val="宋体"/>
        <family val="3"/>
        <charset val="134"/>
      </rPr>
      <t>移动或复制</t>
    </r>
    <r>
      <rPr>
        <b/>
        <sz val="12"/>
        <color rgb="FFFF0000"/>
        <rFont val="Arial"/>
        <family val="2"/>
      </rPr>
      <t>’</t>
    </r>
    <r>
      <rPr>
        <b/>
        <sz val="12"/>
        <color rgb="FFFF0000"/>
        <rFont val="宋体"/>
        <family val="3"/>
        <charset val="134"/>
      </rPr>
      <t>，勾选建立副本，以保证公示链接无误</t>
    </r>
    <phoneticPr fontId="28" type="noConversion"/>
  </si>
  <si>
    <r>
      <rPr>
        <sz val="11"/>
        <color indexed="8"/>
        <rFont val="宋体"/>
        <family val="3"/>
        <charset val="134"/>
      </rPr>
      <t>用途类型</t>
    </r>
    <phoneticPr fontId="14" type="noConversion"/>
  </si>
  <si>
    <r>
      <rPr>
        <sz val="11"/>
        <color indexed="8"/>
        <rFont val="宋体"/>
        <family val="3"/>
        <charset val="134"/>
      </rPr>
      <t>估价方法</t>
    </r>
    <phoneticPr fontId="14" type="noConversion"/>
  </si>
  <si>
    <r>
      <rPr>
        <sz val="11"/>
        <color theme="1"/>
        <rFont val="宋体"/>
        <family val="3"/>
        <charset val="134"/>
      </rPr>
      <t>土地级别</t>
    </r>
    <phoneticPr fontId="14" type="noConversion"/>
  </si>
  <si>
    <r>
      <rPr>
        <sz val="11"/>
        <color indexed="8"/>
        <rFont val="宋体"/>
        <family val="3"/>
        <charset val="134"/>
      </rPr>
      <t>判定</t>
    </r>
    <phoneticPr fontId="14" type="noConversion"/>
  </si>
  <si>
    <r>
      <rPr>
        <sz val="11"/>
        <color indexed="8"/>
        <rFont val="宋体"/>
        <family val="3"/>
        <charset val="134"/>
      </rPr>
      <t>位置</t>
    </r>
    <phoneticPr fontId="14" type="noConversion"/>
  </si>
  <si>
    <r>
      <rPr>
        <sz val="11"/>
        <color indexed="8"/>
        <rFont val="宋体"/>
        <family val="3"/>
        <charset val="134"/>
      </rPr>
      <t>主用途</t>
    </r>
    <phoneticPr fontId="14" type="noConversion"/>
  </si>
  <si>
    <r>
      <rPr>
        <sz val="11"/>
        <color indexed="8"/>
        <rFont val="宋体"/>
        <family val="3"/>
        <charset val="134"/>
      </rPr>
      <t>法定最高年限</t>
    </r>
    <phoneticPr fontId="14" type="noConversion"/>
  </si>
  <si>
    <r>
      <rPr>
        <sz val="11"/>
        <color indexed="8"/>
        <rFont val="宋体"/>
        <family val="3"/>
        <charset val="134"/>
      </rPr>
      <t>地类判定</t>
    </r>
    <phoneticPr fontId="14" type="noConversion"/>
  </si>
  <si>
    <r>
      <rPr>
        <sz val="11"/>
        <color indexed="8"/>
        <rFont val="宋体"/>
        <family val="3"/>
        <charset val="134"/>
      </rPr>
      <t>土地年限区间</t>
    </r>
    <phoneticPr fontId="14" type="noConversion"/>
  </si>
  <si>
    <r>
      <rPr>
        <sz val="11"/>
        <color indexed="8"/>
        <rFont val="宋体"/>
        <family val="3"/>
        <charset val="134"/>
      </rPr>
      <t>类别</t>
    </r>
    <phoneticPr fontId="14" type="noConversion"/>
  </si>
  <si>
    <r>
      <rPr>
        <sz val="11"/>
        <color indexed="8"/>
        <rFont val="宋体"/>
        <family val="3"/>
        <charset val="134"/>
      </rPr>
      <t>居住社区成熟度</t>
    </r>
    <phoneticPr fontId="14" type="noConversion"/>
  </si>
  <si>
    <r>
      <rPr>
        <sz val="11"/>
        <color indexed="8"/>
        <rFont val="宋体"/>
        <family val="3"/>
        <charset val="134"/>
      </rPr>
      <t>商业繁华度</t>
    </r>
    <phoneticPr fontId="14" type="noConversion"/>
  </si>
  <si>
    <r>
      <rPr>
        <sz val="11"/>
        <color indexed="8"/>
        <rFont val="宋体"/>
        <family val="3"/>
        <charset val="134"/>
      </rPr>
      <t>办公集聚程度</t>
    </r>
    <phoneticPr fontId="14" type="noConversion"/>
  </si>
  <si>
    <r>
      <rPr>
        <sz val="11"/>
        <color indexed="8"/>
        <rFont val="宋体"/>
        <family val="3"/>
        <charset val="134"/>
      </rPr>
      <t>产业集聚程度</t>
    </r>
    <phoneticPr fontId="14" type="noConversion"/>
  </si>
  <si>
    <r>
      <rPr>
        <sz val="11"/>
        <color indexed="8"/>
        <rFont val="宋体"/>
        <family val="3"/>
        <charset val="134"/>
      </rPr>
      <t>交通便捷度</t>
    </r>
    <phoneticPr fontId="14" type="noConversion"/>
  </si>
  <si>
    <r>
      <rPr>
        <sz val="11"/>
        <color indexed="8"/>
        <rFont val="宋体"/>
        <family val="3"/>
        <charset val="134"/>
      </rPr>
      <t>区域土地利用方向</t>
    </r>
    <phoneticPr fontId="37" type="noConversion"/>
  </si>
  <si>
    <r>
      <rPr>
        <sz val="11"/>
        <color indexed="8"/>
        <rFont val="宋体"/>
        <family val="3"/>
        <charset val="134"/>
      </rPr>
      <t>公共配套设施</t>
    </r>
    <phoneticPr fontId="14" type="noConversion"/>
  </si>
  <si>
    <r>
      <rPr>
        <sz val="11"/>
        <color indexed="8"/>
        <rFont val="宋体"/>
        <family val="3"/>
        <charset val="134"/>
      </rPr>
      <t>基础设施水平</t>
    </r>
    <phoneticPr fontId="14" type="noConversion"/>
  </si>
  <si>
    <r>
      <rPr>
        <sz val="11"/>
        <color indexed="8"/>
        <rFont val="宋体"/>
        <family val="3"/>
        <charset val="134"/>
      </rPr>
      <t>环境质量</t>
    </r>
    <phoneticPr fontId="14" type="noConversion"/>
  </si>
  <si>
    <r>
      <rPr>
        <sz val="11"/>
        <color indexed="8"/>
        <rFont val="宋体"/>
        <family val="3"/>
        <charset val="134"/>
      </rPr>
      <t>临街状况</t>
    </r>
    <phoneticPr fontId="37" type="noConversion"/>
  </si>
  <si>
    <r>
      <rPr>
        <sz val="11"/>
        <color indexed="8"/>
        <rFont val="宋体"/>
        <family val="3"/>
        <charset val="134"/>
      </rPr>
      <t>内部装修维护情况</t>
    </r>
    <phoneticPr fontId="14" type="noConversion"/>
  </si>
  <si>
    <r>
      <rPr>
        <sz val="11"/>
        <color indexed="8"/>
        <rFont val="宋体"/>
        <family val="3"/>
        <charset val="134"/>
      </rPr>
      <t>单价内涵</t>
    </r>
    <phoneticPr fontId="14" type="noConversion"/>
  </si>
  <si>
    <r>
      <rPr>
        <sz val="11"/>
        <color theme="1"/>
        <rFont val="宋体"/>
        <family val="3"/>
        <charset val="134"/>
      </rPr>
      <t>五等判定</t>
    </r>
    <phoneticPr fontId="14" type="noConversion"/>
  </si>
  <si>
    <r>
      <rPr>
        <sz val="11"/>
        <color theme="1"/>
        <rFont val="宋体"/>
        <family val="3"/>
        <charset val="134"/>
      </rPr>
      <t>结构</t>
    </r>
    <phoneticPr fontId="14" type="noConversion"/>
  </si>
  <si>
    <r>
      <rPr>
        <sz val="11"/>
        <color theme="1"/>
        <rFont val="宋体"/>
        <family val="3"/>
        <charset val="134"/>
      </rPr>
      <t>建筑使用方向</t>
    </r>
    <phoneticPr fontId="14" type="noConversion"/>
  </si>
  <si>
    <r>
      <rPr>
        <sz val="11"/>
        <color indexed="8"/>
        <rFont val="宋体"/>
        <family val="3"/>
        <charset val="134"/>
      </rPr>
      <t>成本法</t>
    </r>
    <phoneticPr fontId="4" type="noConversion"/>
  </si>
  <si>
    <r>
      <rPr>
        <sz val="11"/>
        <color theme="1"/>
        <rFont val="宋体"/>
        <family val="3"/>
        <charset val="134"/>
      </rPr>
      <t>一级</t>
    </r>
    <phoneticPr fontId="4" type="noConversion"/>
  </si>
  <si>
    <r>
      <rPr>
        <sz val="11"/>
        <color indexed="8"/>
        <rFont val="宋体"/>
        <family val="3"/>
        <charset val="134"/>
      </rPr>
      <t>是</t>
    </r>
    <phoneticPr fontId="14" type="noConversion"/>
  </si>
  <si>
    <r>
      <rPr>
        <sz val="11"/>
        <color indexed="8"/>
        <rFont val="宋体"/>
        <family val="3"/>
        <charset val="134"/>
      </rPr>
      <t>地上</t>
    </r>
    <phoneticPr fontId="14" type="noConversion"/>
  </si>
  <si>
    <r>
      <rPr>
        <sz val="11"/>
        <color indexed="8"/>
        <rFont val="宋体"/>
        <family val="3"/>
        <charset val="134"/>
      </rPr>
      <t>住宅</t>
    </r>
    <phoneticPr fontId="14" type="noConversion"/>
  </si>
  <si>
    <r>
      <t>60-70</t>
    </r>
    <r>
      <rPr>
        <sz val="11"/>
        <color indexed="8"/>
        <rFont val="宋体"/>
        <family val="3"/>
        <charset val="134"/>
      </rPr>
      <t>（含）</t>
    </r>
    <phoneticPr fontId="14" type="noConversion"/>
  </si>
  <si>
    <r>
      <rPr>
        <sz val="11"/>
        <color indexed="8"/>
        <rFont val="宋体"/>
        <family val="3"/>
        <charset val="134"/>
      </rPr>
      <t>经营性</t>
    </r>
    <phoneticPr fontId="14" type="noConversion"/>
  </si>
  <si>
    <r>
      <rPr>
        <sz val="11"/>
        <color indexed="8"/>
        <rFont val="宋体"/>
        <family val="3"/>
        <charset val="134"/>
      </rPr>
      <t>好</t>
    </r>
  </si>
  <si>
    <r>
      <rPr>
        <sz val="11"/>
        <color theme="1"/>
        <rFont val="宋体"/>
        <family val="3"/>
        <charset val="134"/>
      </rPr>
      <t>七通</t>
    </r>
    <phoneticPr fontId="14" type="noConversion"/>
  </si>
  <si>
    <r>
      <rPr>
        <sz val="11"/>
        <color indexed="8"/>
        <rFont val="宋体"/>
        <family val="3"/>
        <charset val="134"/>
      </rPr>
      <t>多面临街</t>
    </r>
    <phoneticPr fontId="37" type="noConversion"/>
  </si>
  <si>
    <r>
      <rPr>
        <sz val="11"/>
        <color indexed="8"/>
        <rFont val="宋体"/>
        <family val="3"/>
        <charset val="134"/>
      </rPr>
      <t>单位面积地价</t>
    </r>
    <phoneticPr fontId="14" type="noConversion"/>
  </si>
  <si>
    <r>
      <rPr>
        <sz val="11"/>
        <color theme="1"/>
        <rFont val="宋体"/>
        <family val="3"/>
        <charset val="134"/>
      </rPr>
      <t>钢</t>
    </r>
    <phoneticPr fontId="14" type="noConversion"/>
  </si>
  <si>
    <r>
      <rPr>
        <sz val="11"/>
        <color theme="1"/>
        <rFont val="宋体"/>
        <family val="3"/>
        <charset val="134"/>
      </rPr>
      <t>非生产用房</t>
    </r>
    <phoneticPr fontId="14" type="noConversion"/>
  </si>
  <si>
    <r>
      <rPr>
        <sz val="11"/>
        <color indexed="8"/>
        <rFont val="宋体"/>
        <family val="3"/>
        <charset val="134"/>
      </rPr>
      <t>平层住宅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</si>
  <si>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分</t>
    </r>
    <r>
      <rPr>
        <sz val="11"/>
        <color indexed="8"/>
        <rFont val="Arial"/>
        <family val="2"/>
      </rPr>
      <t>)</t>
    </r>
    <phoneticPr fontId="4" type="noConversion"/>
  </si>
  <si>
    <r>
      <rPr>
        <sz val="11"/>
        <color theme="1"/>
        <rFont val="宋体"/>
        <family val="3"/>
        <charset val="134"/>
      </rPr>
      <t>二级</t>
    </r>
    <phoneticPr fontId="4" type="noConversion"/>
  </si>
  <si>
    <r>
      <rPr>
        <sz val="11"/>
        <color indexed="8"/>
        <rFont val="宋体"/>
        <family val="3"/>
        <charset val="134"/>
      </rPr>
      <t>否</t>
    </r>
    <phoneticPr fontId="14" type="noConversion"/>
  </si>
  <si>
    <r>
      <rPr>
        <sz val="11"/>
        <color indexed="8"/>
        <rFont val="宋体"/>
        <family val="3"/>
        <charset val="134"/>
      </rPr>
      <t>商业</t>
    </r>
    <phoneticPr fontId="14" type="noConversion"/>
  </si>
  <si>
    <r>
      <t>50-60</t>
    </r>
    <r>
      <rPr>
        <sz val="11"/>
        <color indexed="8"/>
        <rFont val="宋体"/>
        <family val="3"/>
        <charset val="134"/>
      </rPr>
      <t>（含）</t>
    </r>
    <phoneticPr fontId="14" type="noConversion"/>
  </si>
  <si>
    <r>
      <rPr>
        <sz val="11"/>
        <color indexed="8"/>
        <rFont val="宋体"/>
        <family val="3"/>
        <charset val="134"/>
      </rPr>
      <t>非经营性</t>
    </r>
    <phoneticPr fontId="14" type="noConversion"/>
  </si>
  <si>
    <r>
      <rPr>
        <sz val="11"/>
        <color indexed="8"/>
        <rFont val="宋体"/>
        <family val="3"/>
        <charset val="134"/>
      </rPr>
      <t>较好</t>
    </r>
  </si>
  <si>
    <r>
      <rPr>
        <sz val="11"/>
        <color theme="1"/>
        <rFont val="宋体"/>
        <family val="3"/>
        <charset val="134"/>
      </rPr>
      <t>六通</t>
    </r>
    <phoneticPr fontId="14" type="noConversion"/>
  </si>
  <si>
    <r>
      <rPr>
        <sz val="11"/>
        <color indexed="8"/>
        <rFont val="宋体"/>
        <family val="3"/>
        <charset val="134"/>
      </rPr>
      <t>双面临街</t>
    </r>
    <phoneticPr fontId="37" type="noConversion"/>
  </si>
  <si>
    <r>
      <rPr>
        <sz val="11"/>
        <color indexed="8"/>
        <rFont val="宋体"/>
        <family val="3"/>
        <charset val="134"/>
      </rPr>
      <t>楼面地价</t>
    </r>
    <phoneticPr fontId="14" type="noConversion"/>
  </si>
  <si>
    <r>
      <rPr>
        <sz val="11"/>
        <color theme="1"/>
        <rFont val="宋体"/>
        <family val="3"/>
        <charset val="134"/>
      </rPr>
      <t>钢混</t>
    </r>
    <phoneticPr fontId="14" type="noConversion"/>
  </si>
  <si>
    <r>
      <rPr>
        <sz val="11"/>
        <color theme="1"/>
        <rFont val="宋体"/>
        <family val="3"/>
        <charset val="134"/>
      </rPr>
      <t>生产用房</t>
    </r>
    <phoneticPr fontId="14" type="noConversion"/>
  </si>
  <si>
    <r>
      <t>LOFT</t>
    </r>
    <r>
      <rPr>
        <sz val="11"/>
        <color indexed="8"/>
        <rFont val="宋体"/>
        <family val="3"/>
        <charset val="134"/>
      </rPr>
      <t>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</si>
  <si>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</si>
  <si>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三级</t>
    </r>
    <phoneticPr fontId="4" type="noConversion"/>
  </si>
  <si>
    <r>
      <rPr>
        <sz val="11"/>
        <color indexed="8"/>
        <rFont val="宋体"/>
        <family val="3"/>
        <charset val="134"/>
      </rPr>
      <t>地下</t>
    </r>
    <phoneticPr fontId="14" type="noConversion"/>
  </si>
  <si>
    <r>
      <rPr>
        <sz val="11"/>
        <color indexed="8"/>
        <rFont val="宋体"/>
        <family val="3"/>
        <charset val="134"/>
      </rPr>
      <t>办公</t>
    </r>
    <phoneticPr fontId="14" type="noConversion"/>
  </si>
  <si>
    <r>
      <t>40-50</t>
    </r>
    <r>
      <rPr>
        <sz val="11"/>
        <color indexed="8"/>
        <rFont val="宋体"/>
        <family val="3"/>
        <charset val="134"/>
      </rPr>
      <t>（含）</t>
    </r>
    <phoneticPr fontId="14" type="noConversion"/>
  </si>
  <si>
    <r>
      <rPr>
        <sz val="11"/>
        <color indexed="8"/>
        <rFont val="宋体"/>
        <family val="3"/>
        <charset val="134"/>
      </rPr>
      <t>一般</t>
    </r>
  </si>
  <si>
    <r>
      <rPr>
        <sz val="11"/>
        <color theme="1"/>
        <rFont val="宋体"/>
        <family val="3"/>
        <charset val="134"/>
      </rPr>
      <t>五通</t>
    </r>
    <phoneticPr fontId="14" type="noConversion"/>
  </si>
  <si>
    <r>
      <rPr>
        <sz val="11"/>
        <color indexed="8"/>
        <rFont val="宋体"/>
        <family val="3"/>
        <charset val="134"/>
      </rPr>
      <t>单面临街</t>
    </r>
    <phoneticPr fontId="37" type="noConversion"/>
  </si>
  <si>
    <r>
      <rPr>
        <sz val="11"/>
        <color theme="1"/>
        <rFont val="宋体"/>
        <family val="3"/>
        <charset val="134"/>
      </rPr>
      <t>砖混</t>
    </r>
    <phoneticPr fontId="14" type="noConversion"/>
  </si>
  <si>
    <r>
      <rPr>
        <sz val="11"/>
        <color theme="1"/>
        <rFont val="宋体"/>
        <family val="3"/>
        <charset val="134"/>
      </rPr>
      <t>受腐蚀的生产用房</t>
    </r>
    <phoneticPr fontId="14" type="noConversion"/>
  </si>
  <si>
    <r>
      <rPr>
        <sz val="11"/>
        <color indexed="8"/>
        <rFont val="宋体"/>
        <family val="3"/>
        <charset val="134"/>
      </rPr>
      <t>普通住宅</t>
    </r>
    <phoneticPr fontId="14" type="noConversion"/>
  </si>
  <si>
    <r>
      <rPr>
        <sz val="11"/>
        <color indexed="8"/>
        <rFont val="宋体"/>
        <family val="3"/>
        <charset val="134"/>
      </rPr>
      <t>假设开发法</t>
    </r>
    <phoneticPr fontId="4" type="noConversion"/>
  </si>
  <si>
    <r>
      <rPr>
        <sz val="11"/>
        <color theme="1"/>
        <rFont val="宋体"/>
        <family val="3"/>
        <charset val="134"/>
      </rPr>
      <t>四级</t>
    </r>
    <phoneticPr fontId="4" type="noConversion"/>
  </si>
  <si>
    <r>
      <rPr>
        <sz val="11"/>
        <color indexed="8"/>
        <rFont val="宋体"/>
        <family val="3"/>
        <charset val="134"/>
      </rPr>
      <t>工业</t>
    </r>
    <phoneticPr fontId="14" type="noConversion"/>
  </si>
  <si>
    <r>
      <rPr>
        <sz val="11"/>
        <color indexed="8"/>
        <rFont val="宋体"/>
        <family val="3"/>
        <charset val="134"/>
      </rPr>
      <t>车库</t>
    </r>
    <phoneticPr fontId="14" type="noConversion"/>
  </si>
  <si>
    <r>
      <t>30-40</t>
    </r>
    <r>
      <rPr>
        <sz val="11"/>
        <color indexed="8"/>
        <rFont val="宋体"/>
        <family val="3"/>
        <charset val="134"/>
      </rPr>
      <t>（含）</t>
    </r>
    <phoneticPr fontId="14" type="noConversion"/>
  </si>
  <si>
    <r>
      <rPr>
        <sz val="11"/>
        <color indexed="8"/>
        <rFont val="宋体"/>
        <family val="3"/>
        <charset val="134"/>
      </rPr>
      <t>较差</t>
    </r>
  </si>
  <si>
    <r>
      <rPr>
        <sz val="11"/>
        <color theme="1"/>
        <rFont val="宋体"/>
        <family val="3"/>
        <charset val="134"/>
      </rPr>
      <t>四通</t>
    </r>
    <phoneticPr fontId="14" type="noConversion"/>
  </si>
  <si>
    <r>
      <rPr>
        <sz val="11"/>
        <color indexed="8"/>
        <rFont val="宋体"/>
        <family val="3"/>
        <charset val="134"/>
      </rPr>
      <t>不临街</t>
    </r>
    <phoneticPr fontId="37" type="noConversion"/>
  </si>
  <si>
    <r>
      <rPr>
        <sz val="11"/>
        <color indexed="8"/>
        <rFont val="宋体"/>
        <family val="3"/>
        <charset val="134"/>
      </rPr>
      <t>公寓</t>
    </r>
    <phoneticPr fontId="14" type="noConversion"/>
  </si>
  <si>
    <r>
      <rPr>
        <sz val="11"/>
        <color indexed="8"/>
        <rFont val="宋体"/>
        <family val="3"/>
        <charset val="134"/>
      </rPr>
      <t>收益法</t>
    </r>
    <phoneticPr fontId="4" type="noConversion"/>
  </si>
  <si>
    <r>
      <rPr>
        <sz val="11"/>
        <color indexed="8"/>
        <rFont val="宋体"/>
        <family val="3"/>
        <charset val="134"/>
      </rPr>
      <t>五级</t>
    </r>
    <phoneticPr fontId="4" type="noConversion"/>
  </si>
  <si>
    <r>
      <rPr>
        <sz val="11"/>
        <color indexed="8"/>
        <rFont val="宋体"/>
        <family val="3"/>
        <charset val="134"/>
      </rPr>
      <t>车库</t>
    </r>
    <phoneticPr fontId="14" type="noConversion"/>
  </si>
  <si>
    <r>
      <rPr>
        <sz val="11"/>
        <color indexed="8"/>
        <rFont val="宋体"/>
        <family val="3"/>
        <charset val="134"/>
      </rPr>
      <t>仓储</t>
    </r>
    <phoneticPr fontId="14" type="noConversion"/>
  </si>
  <si>
    <r>
      <t>20-30</t>
    </r>
    <r>
      <rPr>
        <sz val="11"/>
        <color indexed="8"/>
        <rFont val="宋体"/>
        <family val="3"/>
        <charset val="134"/>
      </rPr>
      <t>（含）</t>
    </r>
    <phoneticPr fontId="14" type="noConversion"/>
  </si>
  <si>
    <r>
      <rPr>
        <sz val="11"/>
        <color indexed="8"/>
        <rFont val="宋体"/>
        <family val="3"/>
        <charset val="134"/>
      </rPr>
      <t>差</t>
    </r>
  </si>
  <si>
    <r>
      <rPr>
        <sz val="11"/>
        <color theme="1"/>
        <rFont val="宋体"/>
        <family val="3"/>
        <charset val="134"/>
      </rPr>
      <t>三通</t>
    </r>
    <phoneticPr fontId="14" type="noConversion"/>
  </si>
  <si>
    <r>
      <rPr>
        <sz val="11"/>
        <color indexed="8"/>
        <rFont val="宋体"/>
        <family val="3"/>
        <charset val="134"/>
      </rPr>
      <t>洋房</t>
    </r>
    <phoneticPr fontId="14" type="noConversion"/>
  </si>
  <si>
    <r>
      <rPr>
        <sz val="11"/>
        <color indexed="8"/>
        <rFont val="宋体"/>
        <family val="3"/>
        <charset val="134"/>
      </rPr>
      <t>收益法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</si>
  <si>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六级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</si>
  <si>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商业</t>
    </r>
    <phoneticPr fontId="14" type="noConversion"/>
  </si>
  <si>
    <r>
      <rPr>
        <sz val="11"/>
        <color indexed="8"/>
        <rFont val="宋体"/>
        <family val="3"/>
        <charset val="134"/>
      </rPr>
      <t>工业</t>
    </r>
    <phoneticPr fontId="14" type="noConversion"/>
  </si>
  <si>
    <r>
      <t>10-20</t>
    </r>
    <r>
      <rPr>
        <sz val="11"/>
        <color indexed="8"/>
        <rFont val="宋体"/>
        <family val="3"/>
        <charset val="134"/>
      </rPr>
      <t>（含）</t>
    </r>
    <phoneticPr fontId="14" type="noConversion"/>
  </si>
  <si>
    <r>
      <rPr>
        <sz val="11"/>
        <color indexed="8"/>
        <rFont val="宋体"/>
        <family val="3"/>
        <charset val="134"/>
      </rPr>
      <t>叠拼</t>
    </r>
    <phoneticPr fontId="14" type="noConversion"/>
  </si>
  <si>
    <r>
      <rPr>
        <sz val="11"/>
        <color indexed="8"/>
        <rFont val="宋体"/>
        <family val="3"/>
        <charset val="134"/>
      </rPr>
      <t>收益法（汇总）</t>
    </r>
    <phoneticPr fontId="4" type="noConversion"/>
  </si>
  <si>
    <r>
      <rPr>
        <sz val="11"/>
        <color theme="1"/>
        <rFont val="宋体"/>
        <family val="3"/>
        <charset val="134"/>
      </rPr>
      <t>七级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</si>
  <si>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办公</t>
    </r>
    <phoneticPr fontId="14" type="noConversion"/>
  </si>
  <si>
    <r>
      <rPr>
        <sz val="11"/>
        <color indexed="8"/>
        <rFont val="宋体"/>
        <family val="3"/>
        <charset val="134"/>
      </rPr>
      <t>公共配套</t>
    </r>
    <phoneticPr fontId="14" type="noConversion"/>
  </si>
  <si>
    <r>
      <t>0-10</t>
    </r>
    <r>
      <rPr>
        <sz val="11"/>
        <color indexed="8"/>
        <rFont val="宋体"/>
        <family val="3"/>
        <charset val="134"/>
      </rPr>
      <t>（含）</t>
    </r>
    <phoneticPr fontId="14" type="noConversion"/>
  </si>
  <si>
    <r>
      <rPr>
        <sz val="11"/>
        <color indexed="8"/>
        <rFont val="宋体"/>
        <family val="3"/>
        <charset val="134"/>
      </rPr>
      <t>联排</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</si>
  <si>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住宅</t>
    </r>
    <phoneticPr fontId="4" type="noConversion"/>
  </si>
  <si>
    <r>
      <rPr>
        <sz val="11"/>
        <color theme="1"/>
        <rFont val="宋体"/>
        <family val="3"/>
        <charset val="134"/>
      </rPr>
      <t>八级</t>
    </r>
    <phoneticPr fontId="4" type="noConversion"/>
  </si>
  <si>
    <r>
      <rPr>
        <sz val="11"/>
        <color indexed="8"/>
        <rFont val="宋体"/>
        <family val="3"/>
        <charset val="134"/>
      </rPr>
      <t>仓储</t>
    </r>
    <phoneticPr fontId="14" type="noConversion"/>
  </si>
  <si>
    <r>
      <rPr>
        <sz val="11"/>
        <color indexed="8"/>
        <rFont val="宋体"/>
        <family val="3"/>
        <charset val="134"/>
      </rPr>
      <t>设备及其他</t>
    </r>
    <phoneticPr fontId="14" type="noConversion"/>
  </si>
  <si>
    <r>
      <rPr>
        <sz val="11"/>
        <color indexed="8"/>
        <rFont val="宋体"/>
        <family val="3"/>
        <charset val="134"/>
      </rPr>
      <t>双拼</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</si>
  <si>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商业</t>
    </r>
    <phoneticPr fontId="4" type="noConversion"/>
  </si>
  <si>
    <r>
      <rPr>
        <sz val="11"/>
        <color theme="1"/>
        <rFont val="宋体"/>
        <family val="3"/>
        <charset val="134"/>
      </rPr>
      <t>九级</t>
    </r>
    <phoneticPr fontId="4" type="noConversion"/>
  </si>
  <si>
    <r>
      <rPr>
        <sz val="11"/>
        <color indexed="8"/>
        <rFont val="宋体"/>
        <family val="3"/>
        <charset val="134"/>
      </rPr>
      <t>独栋</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</si>
  <si>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办公</t>
    </r>
    <phoneticPr fontId="4" type="noConversion"/>
  </si>
  <si>
    <r>
      <rPr>
        <sz val="11"/>
        <color theme="1"/>
        <rFont val="宋体"/>
        <family val="3"/>
        <charset val="134"/>
      </rPr>
      <t>十级</t>
    </r>
    <phoneticPr fontId="4" type="noConversion"/>
  </si>
  <si>
    <r>
      <rPr>
        <sz val="11"/>
        <color indexed="8"/>
        <rFont val="宋体"/>
        <family val="3"/>
        <charset val="134"/>
      </rPr>
      <t>底商</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</si>
  <si>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工业</t>
    </r>
    <phoneticPr fontId="4" type="noConversion"/>
  </si>
  <si>
    <r>
      <rPr>
        <sz val="11"/>
        <color theme="1"/>
        <rFont val="宋体"/>
        <family val="3"/>
        <charset val="134"/>
      </rPr>
      <t>十一级</t>
    </r>
    <phoneticPr fontId="4" type="noConversion"/>
  </si>
  <si>
    <r>
      <rPr>
        <sz val="11"/>
        <color indexed="8"/>
        <rFont val="宋体"/>
        <family val="3"/>
        <charset val="134"/>
      </rPr>
      <t>独立商业</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</si>
  <si>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车位</t>
    </r>
    <phoneticPr fontId="4" type="noConversion"/>
  </si>
  <si>
    <r>
      <rPr>
        <sz val="11"/>
        <color theme="1"/>
        <rFont val="宋体"/>
        <family val="3"/>
        <charset val="134"/>
      </rPr>
      <t>十二级</t>
    </r>
    <phoneticPr fontId="4" type="noConversion"/>
  </si>
  <si>
    <r>
      <rPr>
        <sz val="11"/>
        <color indexed="8"/>
        <rFont val="宋体"/>
        <family val="3"/>
        <charset val="134"/>
      </rPr>
      <t>商业街</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</si>
  <si>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仓储</t>
    </r>
    <phoneticPr fontId="4" type="noConversion"/>
  </si>
  <si>
    <r>
      <rPr>
        <sz val="11"/>
        <color indexed="8"/>
        <rFont val="宋体"/>
        <family val="3"/>
        <charset val="134"/>
      </rPr>
      <t>酒店</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</si>
  <si>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住宅、综合</t>
    </r>
    <phoneticPr fontId="4" type="noConversion"/>
  </si>
  <si>
    <r>
      <rPr>
        <sz val="11"/>
        <color indexed="8"/>
        <rFont val="宋体"/>
        <family val="3"/>
        <charset val="134"/>
      </rPr>
      <t>标准厂房</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</si>
  <si>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工业</t>
    </r>
    <phoneticPr fontId="4" type="noConversion"/>
  </si>
  <si>
    <r>
      <rPr>
        <sz val="11"/>
        <color indexed="8"/>
        <rFont val="宋体"/>
        <family val="3"/>
        <charset val="134"/>
      </rPr>
      <t>特殊厂房</t>
    </r>
    <phoneticPr fontId="14" type="noConversion"/>
  </si>
  <si>
    <r>
      <rPr>
        <sz val="11"/>
        <color theme="1"/>
        <rFont val="宋体"/>
        <family val="3"/>
        <charset val="134"/>
      </rPr>
      <t>基准地价修正</t>
    </r>
    <phoneticPr fontId="4" type="noConversion"/>
  </si>
  <si>
    <r>
      <rPr>
        <sz val="11"/>
        <color indexed="8"/>
        <rFont val="宋体"/>
        <family val="3"/>
        <charset val="134"/>
      </rPr>
      <t>办公楼</t>
    </r>
    <phoneticPr fontId="14" type="noConversion"/>
  </si>
  <si>
    <r>
      <rPr>
        <sz val="11"/>
        <color theme="1"/>
        <rFont val="宋体"/>
        <family val="3"/>
        <charset val="134"/>
      </rPr>
      <t>典型户型修正</t>
    </r>
    <phoneticPr fontId="14" type="noConversion"/>
  </si>
  <si>
    <r>
      <rPr>
        <sz val="11"/>
        <color indexed="8"/>
        <rFont val="宋体"/>
        <family val="3"/>
        <charset val="134"/>
      </rPr>
      <t>宿舍</t>
    </r>
    <phoneticPr fontId="14" type="noConversion"/>
  </si>
  <si>
    <r>
      <rPr>
        <sz val="11"/>
        <color theme="1"/>
        <rFont val="宋体"/>
        <family val="3"/>
        <charset val="134"/>
      </rPr>
      <t>典型户型修正</t>
    </r>
    <r>
      <rPr>
        <sz val="11"/>
        <color theme="1"/>
        <rFont val="Arial"/>
        <family val="2"/>
      </rPr>
      <t>(</t>
    </r>
    <r>
      <rPr>
        <sz val="11"/>
        <color theme="1"/>
        <rFont val="宋体"/>
        <family val="3"/>
        <charset val="134"/>
      </rPr>
      <t>比较法</t>
    </r>
    <r>
      <rPr>
        <sz val="11"/>
        <color theme="1"/>
        <rFont val="Arial"/>
        <family val="2"/>
      </rPr>
      <t>)</t>
    </r>
    <phoneticPr fontId="14" type="noConversion"/>
  </si>
  <si>
    <r>
      <rPr>
        <sz val="11"/>
        <color indexed="8"/>
        <rFont val="宋体"/>
        <family val="3"/>
        <charset val="134"/>
      </rPr>
      <t>食堂</t>
    </r>
    <phoneticPr fontId="14" type="noConversion"/>
  </si>
  <si>
    <r>
      <rPr>
        <sz val="11"/>
        <color indexed="8"/>
        <rFont val="宋体"/>
        <family val="3"/>
        <charset val="134"/>
      </rPr>
      <t>车库</t>
    </r>
    <phoneticPr fontId="14" type="noConversion"/>
  </si>
  <si>
    <r>
      <rPr>
        <sz val="11"/>
        <color indexed="8"/>
        <rFont val="宋体"/>
        <family val="3"/>
        <charset val="134"/>
      </rPr>
      <t>戊类库房</t>
    </r>
    <phoneticPr fontId="14" type="noConversion"/>
  </si>
  <si>
    <r>
      <rPr>
        <sz val="11"/>
        <color indexed="8"/>
        <rFont val="宋体"/>
        <family val="3"/>
        <charset val="134"/>
      </rPr>
      <t>燃品库房</t>
    </r>
    <phoneticPr fontId="14" type="noConversion"/>
  </si>
  <si>
    <r>
      <rPr>
        <sz val="11"/>
        <color indexed="8"/>
        <rFont val="宋体"/>
        <family val="3"/>
        <charset val="134"/>
      </rPr>
      <t>非燃品库房</t>
    </r>
    <phoneticPr fontId="14" type="noConversion"/>
  </si>
  <si>
    <r>
      <rPr>
        <sz val="11"/>
        <color indexed="8"/>
        <rFont val="宋体"/>
        <family val="3"/>
        <charset val="134"/>
      </rPr>
      <t>限价商品房</t>
    </r>
    <phoneticPr fontId="35" type="noConversion"/>
  </si>
  <si>
    <r>
      <rPr>
        <sz val="11"/>
        <color indexed="8"/>
        <rFont val="宋体"/>
        <family val="3"/>
        <charset val="134"/>
      </rPr>
      <t>自住商品房</t>
    </r>
    <phoneticPr fontId="35" type="noConversion"/>
  </si>
  <si>
    <r>
      <rPr>
        <sz val="11"/>
        <color theme="1"/>
        <rFont val="宋体"/>
        <family val="3"/>
        <charset val="134"/>
      </rPr>
      <t>估价目的</t>
    </r>
    <phoneticPr fontId="14" type="noConversion"/>
  </si>
  <si>
    <r>
      <rPr>
        <sz val="11"/>
        <color theme="1"/>
        <rFont val="宋体"/>
        <family val="3"/>
        <charset val="134"/>
      </rPr>
      <t>为估价委托人了解估价对象房地产市场价值提供参考依据。</t>
    </r>
    <phoneticPr fontId="4" type="noConversion"/>
  </si>
  <si>
    <r>
      <rPr>
        <sz val="11"/>
        <color theme="1"/>
        <rFont val="宋体"/>
        <family val="3"/>
        <charset val="134"/>
      </rPr>
      <t>优先受偿</t>
    </r>
    <phoneticPr fontId="14" type="noConversion"/>
  </si>
  <si>
    <r>
      <rPr>
        <sz val="11"/>
        <color theme="1"/>
        <rFont val="宋体"/>
        <family val="3"/>
        <charset val="134"/>
      </rPr>
      <t>抵押</t>
    </r>
    <phoneticPr fontId="14" type="noConversion"/>
  </si>
  <si>
    <r>
      <t>2.</t>
    </r>
    <r>
      <rPr>
        <sz val="11"/>
        <color theme="1"/>
        <rFont val="宋体"/>
        <family val="3"/>
        <charset val="134"/>
      </rPr>
      <t>估价师所知悉的法定优先受偿款</t>
    </r>
    <phoneticPr fontId="14" type="noConversion"/>
  </si>
  <si>
    <r>
      <t>2.</t>
    </r>
    <r>
      <rPr>
        <sz val="11"/>
        <color theme="1"/>
        <rFont val="宋体"/>
        <family val="3"/>
        <charset val="134"/>
      </rPr>
      <t>估价师所知悉的除抵押担保权以外的法定优先受偿款</t>
    </r>
    <phoneticPr fontId="14" type="noConversion"/>
  </si>
  <si>
    <r>
      <rPr>
        <sz val="11"/>
        <color theme="1"/>
        <rFont val="宋体"/>
        <family val="3"/>
        <charset val="134"/>
      </rPr>
      <t>价值类型及定义</t>
    </r>
    <phoneticPr fontId="14" type="noConversion"/>
  </si>
  <si>
    <r>
      <rPr>
        <sz val="11"/>
        <color theme="1"/>
        <rFont val="宋体"/>
        <family val="3"/>
        <charset val="134"/>
      </rPr>
      <t>房地产价值</t>
    </r>
    <phoneticPr fontId="83" type="noConversion"/>
  </si>
  <si>
    <r>
      <rPr>
        <sz val="11"/>
        <color theme="1"/>
        <rFont val="宋体"/>
        <family val="3"/>
        <charset val="134"/>
      </rPr>
      <t>房地产抵押价值</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</si>
  <si>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t>
    </r>
    <phoneticPr fontId="14" type="noConversion"/>
  </si>
  <si>
    <r>
      <rPr>
        <sz val="11"/>
        <color theme="1"/>
        <rFont val="宋体"/>
        <family val="3"/>
        <charset val="134"/>
      </rPr>
      <t>已注销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</si>
  <si>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</si>
  <si>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已注销及未注销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</si>
  <si>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</si>
  <si>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抵押净值</t>
    </r>
    <phoneticPr fontId="14" type="noConversion"/>
  </si>
  <si>
    <r>
      <rPr>
        <sz val="11"/>
        <color theme="1"/>
        <rFont val="宋体"/>
        <family val="3"/>
        <charset val="134"/>
      </rPr>
      <t>本次估价的</t>
    </r>
    <r>
      <rPr>
        <sz val="11"/>
        <color theme="1"/>
        <rFont val="Arial"/>
        <family val="2"/>
      </rPr>
      <t>“</t>
    </r>
    <r>
      <rPr>
        <sz val="11"/>
        <color theme="1"/>
        <rFont val="宋体"/>
        <family val="3"/>
        <charset val="134"/>
      </rPr>
      <t>抵押净值</t>
    </r>
    <r>
      <rPr>
        <sz val="11"/>
        <color theme="1"/>
        <rFont val="Arial"/>
        <family val="2"/>
      </rPr>
      <t>”</t>
    </r>
    <r>
      <rPr>
        <sz val="11"/>
        <color theme="1"/>
        <rFont val="宋体"/>
        <family val="3"/>
        <charset val="134"/>
      </rPr>
      <t>是指估价对象</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减去估价对象在价值时点以</t>
    </r>
    <r>
      <rPr>
        <sz val="11"/>
        <color theme="1"/>
        <rFont val="Arial"/>
        <family val="2"/>
      </rPr>
      <t>“</t>
    </r>
    <r>
      <rPr>
        <sz val="11"/>
        <color theme="1"/>
        <rFont val="宋体"/>
        <family val="3"/>
        <charset val="134"/>
      </rPr>
      <t>房地产销售收入</t>
    </r>
    <r>
      <rPr>
        <sz val="11"/>
        <color theme="1"/>
        <rFont val="Arial"/>
        <family val="2"/>
      </rPr>
      <t>”</t>
    </r>
    <r>
      <rPr>
        <sz val="11"/>
        <color theme="1"/>
        <rFont val="宋体"/>
        <family val="3"/>
        <charset val="134"/>
      </rPr>
      <t>为基数计算的预计抵押权实现进行处置时需缴纳的各项费用、税金等相关费用后的价值。</t>
    </r>
    <phoneticPr fontId="14" type="noConversion"/>
  </si>
  <si>
    <r>
      <rPr>
        <b/>
        <sz val="10"/>
        <color indexed="8"/>
        <rFont val="宋体"/>
        <family val="3"/>
        <charset val="134"/>
      </rPr>
      <t>估价对象名称</t>
    </r>
    <phoneticPr fontId="7" type="noConversion"/>
  </si>
  <si>
    <r>
      <rPr>
        <b/>
        <sz val="10"/>
        <color indexed="8"/>
        <rFont val="宋体"/>
        <family val="3"/>
        <charset val="134"/>
      </rPr>
      <t>报告编号</t>
    </r>
    <phoneticPr fontId="4" type="noConversion"/>
  </si>
  <si>
    <r>
      <rPr>
        <sz val="10"/>
        <color indexed="8"/>
        <rFont val="宋体"/>
        <family val="3"/>
        <charset val="134"/>
      </rPr>
      <t>现场勘查日</t>
    </r>
    <phoneticPr fontId="7" type="noConversion"/>
  </si>
  <si>
    <r>
      <rPr>
        <sz val="10"/>
        <color indexed="8"/>
        <rFont val="宋体"/>
        <family val="3"/>
        <charset val="134"/>
      </rPr>
      <t>价值时点</t>
    </r>
    <phoneticPr fontId="7" type="noConversion"/>
  </si>
  <si>
    <r>
      <rPr>
        <sz val="10"/>
        <color indexed="8"/>
        <rFont val="宋体"/>
        <family val="3"/>
        <charset val="134"/>
      </rPr>
      <t>签字估价师</t>
    </r>
    <phoneticPr fontId="7" type="noConversion"/>
  </si>
  <si>
    <r>
      <rPr>
        <sz val="10"/>
        <color indexed="8"/>
        <rFont val="宋体"/>
        <family val="3"/>
        <charset val="134"/>
      </rPr>
      <t>估价委托人（借款方）</t>
    </r>
    <phoneticPr fontId="7" type="noConversion"/>
  </si>
  <si>
    <r>
      <rPr>
        <sz val="10"/>
        <color indexed="8"/>
        <rFont val="宋体"/>
        <family val="3"/>
        <charset val="134"/>
      </rPr>
      <t>估价目的</t>
    </r>
    <phoneticPr fontId="7" type="noConversion"/>
  </si>
  <si>
    <r>
      <rPr>
        <sz val="10"/>
        <color indexed="8"/>
        <rFont val="宋体"/>
        <family val="3"/>
        <charset val="134"/>
      </rPr>
      <t>金融机构（贷款方）</t>
    </r>
    <phoneticPr fontId="7" type="noConversion"/>
  </si>
  <si>
    <r>
      <rPr>
        <sz val="10"/>
        <color indexed="8"/>
        <rFont val="宋体"/>
        <family val="3"/>
        <charset val="134"/>
      </rPr>
      <t>价值类型</t>
    </r>
    <phoneticPr fontId="7" type="noConversion"/>
  </si>
  <si>
    <r>
      <rPr>
        <sz val="10"/>
        <color indexed="8"/>
        <rFont val="宋体"/>
        <family val="3"/>
        <charset val="134"/>
      </rPr>
      <t>抵押结果包含：</t>
    </r>
    <phoneticPr fontId="7" type="noConversion"/>
  </si>
  <si>
    <r>
      <rPr>
        <sz val="10"/>
        <color indexed="8"/>
        <rFont val="宋体"/>
        <family val="3"/>
        <charset val="134"/>
      </rPr>
      <t>项目所在城市</t>
    </r>
    <phoneticPr fontId="7" type="noConversion"/>
  </si>
  <si>
    <r>
      <rPr>
        <sz val="10"/>
        <color rgb="FFFF0000"/>
        <rFont val="宋体"/>
        <family val="3"/>
        <charset val="134"/>
      </rPr>
      <t>其他请录入：</t>
    </r>
    <r>
      <rPr>
        <sz val="10"/>
        <color rgb="FFFF0000"/>
        <rFont val="Arial"/>
        <family val="2"/>
      </rPr>
      <t>XX</t>
    </r>
    <r>
      <rPr>
        <sz val="10"/>
        <color rgb="FFFF0000"/>
        <rFont val="宋体"/>
        <family val="3"/>
        <charset val="134"/>
      </rPr>
      <t>省</t>
    </r>
    <r>
      <rPr>
        <sz val="10"/>
        <color rgb="FFFF0000"/>
        <rFont val="Arial"/>
        <family val="2"/>
      </rPr>
      <t>XX</t>
    </r>
    <r>
      <rPr>
        <sz val="10"/>
        <color rgb="FFFF0000"/>
        <rFont val="宋体"/>
        <family val="3"/>
        <charset val="134"/>
      </rPr>
      <t>市</t>
    </r>
    <phoneticPr fontId="7" type="noConversion"/>
  </si>
  <si>
    <r>
      <rPr>
        <sz val="10"/>
        <color indexed="8"/>
        <rFont val="宋体"/>
        <family val="3"/>
        <charset val="134"/>
      </rPr>
      <t>不动产权利人</t>
    </r>
    <phoneticPr fontId="7" type="noConversion"/>
  </si>
  <si>
    <r>
      <rPr>
        <sz val="10"/>
        <color indexed="8"/>
        <rFont val="宋体"/>
        <family val="3"/>
        <charset val="134"/>
      </rPr>
      <t>估价对象现状</t>
    </r>
    <phoneticPr fontId="7" type="noConversion"/>
  </si>
  <si>
    <r>
      <rPr>
        <sz val="10"/>
        <color indexed="8"/>
        <rFont val="宋体"/>
        <family val="3"/>
        <charset val="134"/>
      </rPr>
      <t>门牌号</t>
    </r>
    <phoneticPr fontId="7" type="noConversion"/>
  </si>
  <si>
    <r>
      <rPr>
        <sz val="10"/>
        <color indexed="8"/>
        <rFont val="宋体"/>
        <family val="3"/>
        <charset val="134"/>
      </rPr>
      <t>城市</t>
    </r>
    <phoneticPr fontId="7" type="noConversion"/>
  </si>
  <si>
    <r>
      <rPr>
        <sz val="10"/>
        <color indexed="8"/>
        <rFont val="宋体"/>
        <family val="3"/>
        <charset val="134"/>
      </rPr>
      <t>北京市</t>
    </r>
    <phoneticPr fontId="7" type="noConversion"/>
  </si>
  <si>
    <r>
      <rPr>
        <sz val="10"/>
        <color indexed="8"/>
        <rFont val="宋体"/>
        <family val="3"/>
        <charset val="134"/>
      </rPr>
      <t>现状用途</t>
    </r>
    <phoneticPr fontId="4" type="noConversion"/>
  </si>
  <si>
    <r>
      <rPr>
        <sz val="10"/>
        <color indexed="8"/>
        <rFont val="宋体"/>
        <family val="3"/>
        <charset val="134"/>
      </rPr>
      <t>土地级别</t>
    </r>
    <phoneticPr fontId="7" type="noConversion"/>
  </si>
  <si>
    <r>
      <rPr>
        <sz val="10"/>
        <color indexed="8"/>
        <rFont val="宋体"/>
        <family val="3"/>
        <charset val="134"/>
      </rPr>
      <t>格局户型</t>
    </r>
    <phoneticPr fontId="7" type="noConversion"/>
  </si>
  <si>
    <r>
      <rPr>
        <sz val="10"/>
        <color indexed="8"/>
        <rFont val="宋体"/>
        <family val="3"/>
        <charset val="134"/>
      </rPr>
      <t>区片编号</t>
    </r>
    <phoneticPr fontId="7" type="noConversion"/>
  </si>
  <si>
    <r>
      <rPr>
        <sz val="10"/>
        <color indexed="8"/>
        <rFont val="宋体"/>
        <family val="3"/>
        <charset val="134"/>
      </rPr>
      <t>维护状况</t>
    </r>
    <phoneticPr fontId="7" type="noConversion"/>
  </si>
  <si>
    <r>
      <rPr>
        <sz val="10"/>
        <color indexed="8"/>
        <rFont val="宋体"/>
        <family val="3"/>
        <charset val="134"/>
      </rPr>
      <t>建筑面积</t>
    </r>
    <phoneticPr fontId="7" type="noConversion"/>
  </si>
  <si>
    <r>
      <rPr>
        <sz val="10"/>
        <color indexed="8"/>
        <rFont val="宋体"/>
        <family val="3"/>
        <charset val="134"/>
      </rPr>
      <t>面积依据</t>
    </r>
    <phoneticPr fontId="7" type="noConversion"/>
  </si>
  <si>
    <r>
      <rPr>
        <sz val="10"/>
        <color indexed="8"/>
        <rFont val="宋体"/>
        <family val="3"/>
        <charset val="134"/>
      </rPr>
      <t>土地面积</t>
    </r>
    <phoneticPr fontId="7" type="noConversion"/>
  </si>
  <si>
    <r>
      <rPr>
        <sz val="10"/>
        <color indexed="8"/>
        <rFont val="宋体"/>
        <family val="3"/>
        <charset val="134"/>
      </rPr>
      <t>面积依据</t>
    </r>
    <phoneticPr fontId="7" type="noConversion"/>
  </si>
  <si>
    <r>
      <rPr>
        <sz val="10"/>
        <color indexed="8"/>
        <rFont val="宋体"/>
        <family val="3"/>
        <charset val="134"/>
      </rPr>
      <t>抵押情况描述</t>
    </r>
    <phoneticPr fontId="7" type="noConversion"/>
  </si>
  <si>
    <r>
      <rPr>
        <sz val="10"/>
        <color indexed="8"/>
        <rFont val="宋体"/>
        <family val="3"/>
        <charset val="134"/>
      </rPr>
      <t>容积率</t>
    </r>
    <phoneticPr fontId="7" type="noConversion"/>
  </si>
  <si>
    <r>
      <rPr>
        <sz val="10"/>
        <color indexed="8"/>
        <rFont val="宋体"/>
        <family val="3"/>
        <charset val="134"/>
      </rPr>
      <t>权利状况（抵押）</t>
    </r>
    <phoneticPr fontId="7" type="noConversion"/>
  </si>
  <si>
    <r>
      <rPr>
        <sz val="10"/>
        <color indexed="8"/>
        <rFont val="宋体"/>
        <family val="3"/>
        <charset val="134"/>
      </rPr>
      <t>是否抵押</t>
    </r>
    <phoneticPr fontId="7" type="noConversion"/>
  </si>
  <si>
    <r>
      <rPr>
        <sz val="10"/>
        <color indexed="8"/>
        <rFont val="宋体"/>
        <family val="3"/>
        <charset val="134"/>
      </rPr>
      <t>权属证件是否登记权利价值</t>
    </r>
    <phoneticPr fontId="7" type="noConversion"/>
  </si>
  <si>
    <r>
      <rPr>
        <sz val="10"/>
        <color indexed="8"/>
        <rFont val="宋体"/>
        <family val="3"/>
        <charset val="134"/>
      </rPr>
      <t>依据</t>
    </r>
    <phoneticPr fontId="7" type="noConversion"/>
  </si>
  <si>
    <r>
      <rPr>
        <sz val="10"/>
        <color indexed="8"/>
        <rFont val="宋体"/>
        <family val="3"/>
        <charset val="134"/>
      </rPr>
      <t>权属文件</t>
    </r>
    <phoneticPr fontId="7" type="noConversion"/>
  </si>
  <si>
    <r>
      <rPr>
        <sz val="10"/>
        <color indexed="8"/>
        <rFont val="宋体"/>
        <family val="3"/>
        <charset val="134"/>
      </rPr>
      <t>他项权证</t>
    </r>
    <phoneticPr fontId="7" type="noConversion"/>
  </si>
  <si>
    <r>
      <rPr>
        <sz val="10"/>
        <color indexed="8"/>
        <rFont val="宋体"/>
        <family val="3"/>
        <charset val="134"/>
      </rPr>
      <t>其他资料</t>
    </r>
    <phoneticPr fontId="7" type="noConversion"/>
  </si>
  <si>
    <r>
      <rPr>
        <sz val="10"/>
        <color indexed="8"/>
        <rFont val="宋体"/>
        <family val="3"/>
        <charset val="134"/>
      </rPr>
      <t>《房屋他项权利证书》</t>
    </r>
    <phoneticPr fontId="7" type="noConversion"/>
  </si>
  <si>
    <r>
      <rPr>
        <sz val="10"/>
        <color indexed="8"/>
        <rFont val="宋体"/>
        <family val="3"/>
        <charset val="134"/>
      </rPr>
      <t>抵押信息</t>
    </r>
    <phoneticPr fontId="7" type="noConversion"/>
  </si>
  <si>
    <r>
      <rPr>
        <sz val="10"/>
        <color indexed="8"/>
        <rFont val="宋体"/>
        <family val="3"/>
        <charset val="134"/>
      </rPr>
      <t>设定日期</t>
    </r>
    <phoneticPr fontId="7" type="noConversion"/>
  </si>
  <si>
    <r>
      <rPr>
        <sz val="10"/>
        <color indexed="8"/>
        <rFont val="宋体"/>
        <family val="3"/>
        <charset val="134"/>
      </rPr>
      <t>权利人</t>
    </r>
    <phoneticPr fontId="7" type="noConversion"/>
  </si>
  <si>
    <r>
      <rPr>
        <sz val="10"/>
        <color indexed="8"/>
        <rFont val="宋体"/>
        <family val="3"/>
        <charset val="134"/>
      </rPr>
      <t>权利范围</t>
    </r>
    <phoneticPr fontId="7" type="noConversion"/>
  </si>
  <si>
    <r>
      <rPr>
        <sz val="10"/>
        <color indexed="8"/>
        <rFont val="宋体"/>
        <family val="3"/>
        <charset val="134"/>
      </rPr>
      <t>权利价值</t>
    </r>
    <phoneticPr fontId="7" type="noConversion"/>
  </si>
  <si>
    <r>
      <rPr>
        <sz val="10"/>
        <color indexed="8"/>
        <rFont val="宋体"/>
        <family val="3"/>
        <charset val="134"/>
      </rPr>
      <t>权利价值</t>
    </r>
    <phoneticPr fontId="7" type="noConversion"/>
  </si>
  <si>
    <r>
      <rPr>
        <b/>
        <sz val="10"/>
        <color indexed="8"/>
        <rFont val="宋体"/>
        <family val="3"/>
        <charset val="134"/>
      </rPr>
      <t>权属登记状况</t>
    </r>
    <phoneticPr fontId="7" type="noConversion"/>
  </si>
  <si>
    <r>
      <rPr>
        <b/>
        <sz val="10"/>
        <color indexed="8"/>
        <rFont val="宋体"/>
        <family val="3"/>
        <charset val="134"/>
      </rPr>
      <t>房屋所有权证</t>
    </r>
    <phoneticPr fontId="7" type="noConversion"/>
  </si>
  <si>
    <r>
      <rPr>
        <b/>
        <sz val="10"/>
        <color indexed="8"/>
        <rFont val="宋体"/>
        <family val="3"/>
        <charset val="134"/>
      </rPr>
      <t>不动产权证书</t>
    </r>
    <phoneticPr fontId="7" type="noConversion"/>
  </si>
  <si>
    <r>
      <rPr>
        <b/>
        <sz val="10"/>
        <color indexed="8"/>
        <rFont val="宋体"/>
        <family val="3"/>
        <charset val="134"/>
      </rPr>
      <t>国有土地使用证</t>
    </r>
    <phoneticPr fontId="7" type="noConversion"/>
  </si>
  <si>
    <r>
      <rPr>
        <sz val="10"/>
        <color indexed="8"/>
        <rFont val="宋体"/>
        <family val="3"/>
        <charset val="134"/>
      </rPr>
      <t>证号</t>
    </r>
    <phoneticPr fontId="7" type="noConversion"/>
  </si>
  <si>
    <r>
      <rPr>
        <sz val="10"/>
        <color indexed="8"/>
        <rFont val="宋体"/>
        <family val="3"/>
        <charset val="134"/>
      </rPr>
      <t>房屋坐落</t>
    </r>
    <phoneticPr fontId="7" type="noConversion"/>
  </si>
  <si>
    <r>
      <rPr>
        <sz val="10"/>
        <color indexed="8"/>
        <rFont val="宋体"/>
        <family val="3"/>
        <charset val="134"/>
      </rPr>
      <t>坐落</t>
    </r>
    <phoneticPr fontId="7" type="noConversion"/>
  </si>
  <si>
    <r>
      <rPr>
        <sz val="10"/>
        <color indexed="8"/>
        <rFont val="宋体"/>
        <family val="3"/>
        <charset val="134"/>
      </rPr>
      <t>共有情况</t>
    </r>
    <phoneticPr fontId="7" type="noConversion"/>
  </si>
  <si>
    <r>
      <rPr>
        <sz val="10"/>
        <color indexed="8"/>
        <rFont val="宋体"/>
        <family val="3"/>
        <charset val="134"/>
      </rPr>
      <t>地号</t>
    </r>
    <phoneticPr fontId="7" type="noConversion"/>
  </si>
  <si>
    <r>
      <rPr>
        <sz val="10"/>
        <color indexed="8"/>
        <rFont val="宋体"/>
        <family val="3"/>
        <charset val="134"/>
      </rPr>
      <t>产别</t>
    </r>
    <phoneticPr fontId="7" type="noConversion"/>
  </si>
  <si>
    <r>
      <rPr>
        <sz val="10"/>
        <color indexed="8"/>
        <rFont val="宋体"/>
        <family val="3"/>
        <charset val="134"/>
      </rPr>
      <t>不动产单元号</t>
    </r>
    <phoneticPr fontId="7" type="noConversion"/>
  </si>
  <si>
    <r>
      <rPr>
        <sz val="10"/>
        <color indexed="8"/>
        <rFont val="宋体"/>
        <family val="3"/>
        <charset val="134"/>
      </rPr>
      <t>图号</t>
    </r>
    <phoneticPr fontId="7" type="noConversion"/>
  </si>
  <si>
    <r>
      <rPr>
        <sz val="10"/>
        <color indexed="8"/>
        <rFont val="宋体"/>
        <family val="3"/>
        <charset val="134"/>
      </rPr>
      <t>登记时间</t>
    </r>
    <phoneticPr fontId="7" type="noConversion"/>
  </si>
  <si>
    <r>
      <rPr>
        <sz val="10"/>
        <color indexed="8"/>
        <rFont val="宋体"/>
        <family val="3"/>
        <charset val="134"/>
      </rPr>
      <t>所在行政区划</t>
    </r>
    <phoneticPr fontId="7" type="noConversion"/>
  </si>
  <si>
    <r>
      <rPr>
        <sz val="10"/>
        <color indexed="8"/>
        <rFont val="宋体"/>
        <family val="3"/>
        <charset val="134"/>
      </rPr>
      <t>地类（用途）</t>
    </r>
    <phoneticPr fontId="7" type="noConversion"/>
  </si>
  <si>
    <r>
      <rPr>
        <sz val="10"/>
        <color indexed="8"/>
        <rFont val="宋体"/>
        <family val="3"/>
        <charset val="134"/>
      </rPr>
      <t>房屋性质</t>
    </r>
    <phoneticPr fontId="7" type="noConversion"/>
  </si>
  <si>
    <r>
      <rPr>
        <sz val="10"/>
        <color indexed="8"/>
        <rFont val="宋体"/>
        <family val="3"/>
        <charset val="134"/>
      </rPr>
      <t>地籍区和地籍子区</t>
    </r>
    <phoneticPr fontId="7" type="noConversion"/>
  </si>
  <si>
    <r>
      <rPr>
        <sz val="10"/>
        <color indexed="8"/>
        <rFont val="宋体"/>
        <family val="3"/>
        <charset val="134"/>
      </rPr>
      <t>取得价格</t>
    </r>
    <phoneticPr fontId="7" type="noConversion"/>
  </si>
  <si>
    <r>
      <rPr>
        <sz val="10"/>
        <color indexed="8"/>
        <rFont val="宋体"/>
        <family val="3"/>
        <charset val="134"/>
      </rPr>
      <t>规划用途</t>
    </r>
    <r>
      <rPr>
        <sz val="10"/>
        <color indexed="8"/>
        <rFont val="Arial"/>
        <family val="2"/>
      </rPr>
      <t>/</t>
    </r>
    <r>
      <rPr>
        <sz val="10"/>
        <color indexed="8"/>
        <rFont val="宋体"/>
        <family val="3"/>
        <charset val="134"/>
      </rPr>
      <t>设计用途</t>
    </r>
    <phoneticPr fontId="7" type="noConversion"/>
  </si>
  <si>
    <r>
      <rPr>
        <sz val="10"/>
        <color indexed="8"/>
        <rFont val="宋体"/>
        <family val="3"/>
        <charset val="134"/>
      </rPr>
      <t>宗地号</t>
    </r>
    <phoneticPr fontId="7" type="noConversion"/>
  </si>
  <si>
    <r>
      <rPr>
        <sz val="10"/>
        <color indexed="8"/>
        <rFont val="宋体"/>
        <family val="3"/>
        <charset val="134"/>
      </rPr>
      <t>使用权类型</t>
    </r>
    <phoneticPr fontId="7" type="noConversion"/>
  </si>
  <si>
    <r>
      <rPr>
        <sz val="10"/>
        <color indexed="8"/>
        <rFont val="宋体"/>
        <family val="3"/>
        <charset val="134"/>
      </rPr>
      <t>房屋用途</t>
    </r>
    <phoneticPr fontId="7" type="noConversion"/>
  </si>
  <si>
    <r>
      <rPr>
        <sz val="10"/>
        <color indexed="8"/>
        <rFont val="宋体"/>
        <family val="3"/>
        <charset val="134"/>
      </rPr>
      <t>定作物编码</t>
    </r>
    <phoneticPr fontId="7" type="noConversion"/>
  </si>
  <si>
    <r>
      <rPr>
        <sz val="10"/>
        <color indexed="8"/>
        <rFont val="宋体"/>
        <family val="3"/>
        <charset val="134"/>
      </rPr>
      <t>终止日期</t>
    </r>
    <phoneticPr fontId="7" type="noConversion"/>
  </si>
  <si>
    <r>
      <rPr>
        <sz val="10"/>
        <color indexed="8"/>
        <rFont val="宋体"/>
        <family val="3"/>
        <charset val="134"/>
      </rPr>
      <t>权利类型</t>
    </r>
    <phoneticPr fontId="7" type="noConversion"/>
  </si>
  <si>
    <r>
      <rPr>
        <sz val="10"/>
        <color indexed="8"/>
        <rFont val="宋体"/>
        <family val="3"/>
        <charset val="134"/>
      </rPr>
      <t>使用权面积</t>
    </r>
    <phoneticPr fontId="7" type="noConversion"/>
  </si>
  <si>
    <r>
      <rPr>
        <sz val="10"/>
        <color indexed="8"/>
        <rFont val="宋体"/>
        <family val="3"/>
        <charset val="134"/>
      </rPr>
      <t>套内建筑面积（含阳台）</t>
    </r>
    <phoneticPr fontId="7" type="noConversion"/>
  </si>
  <si>
    <r>
      <rPr>
        <sz val="10"/>
        <color indexed="8"/>
        <rFont val="宋体"/>
        <family val="3"/>
        <charset val="134"/>
      </rPr>
      <t>权利性质</t>
    </r>
    <phoneticPr fontId="7" type="noConversion"/>
  </si>
  <si>
    <r>
      <rPr>
        <sz val="10"/>
        <color indexed="8"/>
        <rFont val="宋体"/>
        <family val="3"/>
        <charset val="134"/>
      </rPr>
      <t>独用面积</t>
    </r>
    <phoneticPr fontId="7" type="noConversion"/>
  </si>
  <si>
    <r>
      <rPr>
        <sz val="10"/>
        <color indexed="8"/>
        <rFont val="宋体"/>
        <family val="3"/>
        <charset val="134"/>
      </rPr>
      <t>使用面积</t>
    </r>
    <phoneticPr fontId="7" type="noConversion"/>
  </si>
  <si>
    <r>
      <rPr>
        <sz val="10"/>
        <color indexed="8"/>
        <rFont val="宋体"/>
        <family val="3"/>
        <charset val="134"/>
      </rPr>
      <t>用途</t>
    </r>
    <phoneticPr fontId="7" type="noConversion"/>
  </si>
  <si>
    <r>
      <rPr>
        <sz val="10"/>
        <color indexed="8"/>
        <rFont val="宋体"/>
        <family val="3"/>
        <charset val="134"/>
      </rPr>
      <t>分摊面积</t>
    </r>
    <phoneticPr fontId="7" type="noConversion"/>
  </si>
  <si>
    <r>
      <rPr>
        <sz val="10"/>
        <color indexed="8"/>
        <rFont val="宋体"/>
        <family val="3"/>
        <charset val="134"/>
      </rPr>
      <t>房屋总层数</t>
    </r>
    <phoneticPr fontId="7" type="noConversion"/>
  </si>
  <si>
    <r>
      <rPr>
        <sz val="10"/>
        <color indexed="8"/>
        <rFont val="宋体"/>
        <family val="3"/>
        <charset val="134"/>
      </rPr>
      <t>宗地总面积</t>
    </r>
    <phoneticPr fontId="7" type="noConversion"/>
  </si>
  <si>
    <r>
      <rPr>
        <sz val="10"/>
        <color indexed="8"/>
        <rFont val="宋体"/>
        <family val="3"/>
        <charset val="134"/>
      </rPr>
      <t>所在层数</t>
    </r>
    <phoneticPr fontId="7" type="noConversion"/>
  </si>
  <si>
    <r>
      <rPr>
        <sz val="10"/>
        <color indexed="8"/>
        <rFont val="宋体"/>
        <family val="3"/>
        <charset val="134"/>
      </rPr>
      <t>面积</t>
    </r>
    <phoneticPr fontId="7" type="noConversion"/>
  </si>
  <si>
    <r>
      <rPr>
        <sz val="10"/>
        <color indexed="8"/>
        <rFont val="宋体"/>
        <family val="3"/>
        <charset val="134"/>
      </rPr>
      <t>宗地总建筑面积</t>
    </r>
    <phoneticPr fontId="7" type="noConversion"/>
  </si>
  <si>
    <r>
      <rPr>
        <sz val="10"/>
        <color indexed="8"/>
        <rFont val="宋体"/>
        <family val="3"/>
        <charset val="134"/>
      </rPr>
      <t>建成年份</t>
    </r>
    <phoneticPr fontId="7" type="noConversion"/>
  </si>
  <si>
    <r>
      <rPr>
        <sz val="10"/>
        <color indexed="8"/>
        <rFont val="宋体"/>
        <family val="3"/>
        <charset val="134"/>
      </rPr>
      <t>本户建筑面积</t>
    </r>
    <phoneticPr fontId="7" type="noConversion"/>
  </si>
  <si>
    <r>
      <rPr>
        <sz val="10"/>
        <color indexed="8"/>
        <rFont val="宋体"/>
        <family val="3"/>
        <charset val="134"/>
      </rPr>
      <t>附记（抵押情况）</t>
    </r>
    <phoneticPr fontId="7" type="noConversion"/>
  </si>
  <si>
    <r>
      <rPr>
        <sz val="10"/>
        <color indexed="8"/>
        <rFont val="宋体"/>
        <family val="3"/>
        <charset val="134"/>
      </rPr>
      <t>记事（抵押情况）</t>
    </r>
    <phoneticPr fontId="7" type="noConversion"/>
  </si>
  <si>
    <r>
      <rPr>
        <sz val="10"/>
        <color indexed="8"/>
        <rFont val="宋体"/>
        <family val="3"/>
        <charset val="134"/>
      </rPr>
      <t>来源</t>
    </r>
    <phoneticPr fontId="7" type="noConversion"/>
  </si>
  <si>
    <r>
      <rPr>
        <sz val="10"/>
        <color indexed="8"/>
        <rFont val="宋体"/>
        <family val="3"/>
        <charset val="134"/>
      </rPr>
      <t>附记（其他）</t>
    </r>
    <phoneticPr fontId="7" type="noConversion"/>
  </si>
  <si>
    <r>
      <rPr>
        <sz val="10"/>
        <color indexed="8"/>
        <rFont val="宋体"/>
        <family val="3"/>
        <charset val="134"/>
      </rPr>
      <t>记事（其他）</t>
    </r>
    <phoneticPr fontId="7" type="noConversion"/>
  </si>
  <si>
    <r>
      <rPr>
        <sz val="10"/>
        <color indexed="8"/>
        <rFont val="宋体"/>
        <family val="3"/>
        <charset val="134"/>
      </rPr>
      <t>土地证号</t>
    </r>
    <phoneticPr fontId="7" type="noConversion"/>
  </si>
  <si>
    <r>
      <rPr>
        <sz val="10"/>
        <color indexed="8"/>
        <rFont val="宋体"/>
        <family val="3"/>
        <charset val="134"/>
      </rPr>
      <t>使用期限（终止日期）</t>
    </r>
    <phoneticPr fontId="7" type="noConversion"/>
  </si>
  <si>
    <r>
      <rPr>
        <sz val="10"/>
        <color indexed="8"/>
        <rFont val="宋体"/>
        <family val="3"/>
        <charset val="134"/>
      </rPr>
      <t>取得方式</t>
    </r>
    <r>
      <rPr>
        <sz val="10"/>
        <color indexed="8"/>
        <rFont val="Arial"/>
        <family val="2"/>
      </rPr>
      <t>/</t>
    </r>
    <r>
      <rPr>
        <sz val="10"/>
        <color indexed="8"/>
        <rFont val="宋体"/>
        <family val="3"/>
        <charset val="134"/>
      </rPr>
      <t>权属性质</t>
    </r>
    <phoneticPr fontId="7" type="noConversion"/>
  </si>
  <si>
    <r>
      <rPr>
        <sz val="10"/>
        <color indexed="8"/>
        <rFont val="宋体"/>
        <family val="3"/>
        <charset val="134"/>
      </rPr>
      <t>权利其他状况</t>
    </r>
    <phoneticPr fontId="7" type="noConversion"/>
  </si>
  <si>
    <r>
      <rPr>
        <sz val="10"/>
        <color indexed="8"/>
        <rFont val="宋体"/>
        <family val="3"/>
        <charset val="134"/>
      </rPr>
      <t>土地使用年期（终止日期）</t>
    </r>
    <phoneticPr fontId="7" type="noConversion"/>
  </si>
  <si>
    <r>
      <rPr>
        <b/>
        <sz val="14"/>
        <color rgb="FFFF0000"/>
        <rFont val="宋体"/>
        <family val="3"/>
        <charset val="134"/>
      </rPr>
      <t>数据取费表</t>
    </r>
    <phoneticPr fontId="4" type="noConversion"/>
  </si>
  <si>
    <r>
      <rPr>
        <b/>
        <sz val="11"/>
        <color indexed="8"/>
        <rFont val="宋体"/>
        <family val="3"/>
        <charset val="134"/>
      </rPr>
      <t>价值时点</t>
    </r>
    <r>
      <rPr>
        <b/>
        <sz val="11"/>
        <color indexed="8"/>
        <rFont val="Arial"/>
        <family val="2"/>
      </rPr>
      <t>/</t>
    </r>
    <r>
      <rPr>
        <b/>
        <sz val="11"/>
        <color indexed="8"/>
        <rFont val="宋体"/>
        <family val="3"/>
        <charset val="134"/>
      </rPr>
      <t>估价期日</t>
    </r>
    <phoneticPr fontId="4" type="noConversion"/>
  </si>
  <si>
    <r>
      <rPr>
        <b/>
        <sz val="11"/>
        <color indexed="8"/>
        <rFont val="宋体"/>
        <family val="3"/>
        <charset val="134"/>
      </rPr>
      <t>本次估价路线是否为先计算典型户型价值，再做典型户型修正求取其他估价对象价值</t>
    </r>
    <phoneticPr fontId="4" type="noConversion"/>
  </si>
  <si>
    <r>
      <rPr>
        <b/>
        <sz val="11"/>
        <color indexed="8"/>
        <rFont val="宋体"/>
        <family val="3"/>
        <charset val="134"/>
      </rPr>
      <t>估价结果单位</t>
    </r>
    <phoneticPr fontId="4" type="noConversion"/>
  </si>
  <si>
    <r>
      <rPr>
        <b/>
        <sz val="11"/>
        <color indexed="8"/>
        <rFont val="宋体"/>
        <family val="3"/>
        <charset val="134"/>
      </rPr>
      <t>估价结果为先计算</t>
    </r>
    <phoneticPr fontId="4" type="noConversion"/>
  </si>
  <si>
    <r>
      <rPr>
        <b/>
        <sz val="11"/>
        <color indexed="8"/>
        <rFont val="宋体"/>
        <family val="3"/>
        <charset val="134"/>
      </rPr>
      <t>建筑面积</t>
    </r>
    <phoneticPr fontId="4" type="noConversion"/>
  </si>
  <si>
    <r>
      <rPr>
        <b/>
        <sz val="11"/>
        <color indexed="8"/>
        <rFont val="宋体"/>
        <family val="3"/>
        <charset val="134"/>
      </rPr>
      <t>基准户型建筑面积</t>
    </r>
    <phoneticPr fontId="4" type="noConversion"/>
  </si>
  <si>
    <r>
      <rPr>
        <b/>
        <sz val="11"/>
        <color indexed="8"/>
        <rFont val="宋体"/>
        <family val="3"/>
        <charset val="134"/>
      </rPr>
      <t>土地面积</t>
    </r>
    <phoneticPr fontId="4" type="noConversion"/>
  </si>
  <si>
    <r>
      <rPr>
        <b/>
        <sz val="11"/>
        <color indexed="8"/>
        <rFont val="宋体"/>
        <family val="3"/>
        <charset val="134"/>
      </rPr>
      <t>基准户型土地面积</t>
    </r>
    <phoneticPr fontId="4" type="noConversion"/>
  </si>
  <si>
    <r>
      <rPr>
        <sz val="11"/>
        <color indexed="8"/>
        <rFont val="宋体"/>
        <family val="3"/>
        <charset val="134"/>
      </rPr>
      <t>地类判定</t>
    </r>
    <phoneticPr fontId="4" type="noConversion"/>
  </si>
  <si>
    <r>
      <rPr>
        <b/>
        <sz val="11"/>
        <color indexed="8"/>
        <rFont val="宋体"/>
        <family val="3"/>
        <charset val="134"/>
      </rPr>
      <t>其他取费</t>
    </r>
    <phoneticPr fontId="4" type="noConversion"/>
  </si>
  <si>
    <r>
      <rPr>
        <sz val="11"/>
        <color indexed="8"/>
        <rFont val="宋体"/>
        <family val="3"/>
        <charset val="134"/>
      </rPr>
      <t>取值</t>
    </r>
    <phoneticPr fontId="4" type="noConversion"/>
  </si>
  <si>
    <r>
      <rPr>
        <sz val="11"/>
        <rFont val="宋体"/>
        <family val="3"/>
        <charset val="134"/>
      </rPr>
      <t>法定最高</t>
    </r>
    <r>
      <rPr>
        <sz val="11"/>
        <rFont val="Arial"/>
        <family val="2"/>
      </rPr>
      <t>/</t>
    </r>
    <r>
      <rPr>
        <sz val="11"/>
        <rFont val="宋体"/>
        <family val="3"/>
        <charset val="134"/>
      </rPr>
      <t>出让年限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</si>
  <si>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住宅</t>
    </r>
    <phoneticPr fontId="4" type="noConversion"/>
  </si>
  <si>
    <r>
      <rPr>
        <sz val="11"/>
        <color indexed="10"/>
        <rFont val="宋体"/>
        <family val="3"/>
        <charset val="134"/>
      </rPr>
      <t>请录依据文件名称：</t>
    </r>
    <phoneticPr fontId="4" type="noConversion"/>
  </si>
  <si>
    <r>
      <rPr>
        <sz val="11"/>
        <color indexed="8"/>
        <rFont val="宋体"/>
        <family val="3"/>
        <charset val="134"/>
      </rPr>
      <t>终止日期</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</si>
  <si>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非住宅</t>
    </r>
    <phoneticPr fontId="4" type="noConversion"/>
  </si>
  <si>
    <r>
      <rPr>
        <sz val="11"/>
        <color indexed="8"/>
        <rFont val="宋体"/>
        <family val="3"/>
        <charset val="134"/>
      </rPr>
      <t>剩余土地使用年限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</si>
  <si>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凭票据已缴纳</t>
    </r>
    <phoneticPr fontId="4" type="noConversion"/>
  </si>
  <si>
    <r>
      <rPr>
        <sz val="11"/>
        <color rgb="FFFF0000"/>
        <rFont val="宋体"/>
        <family val="3"/>
        <charset val="134"/>
      </rPr>
      <t>单位：万元</t>
    </r>
    <phoneticPr fontId="4" type="noConversion"/>
  </si>
  <si>
    <r>
      <rPr>
        <sz val="11"/>
        <color indexed="8"/>
        <rFont val="宋体"/>
        <family val="3"/>
        <charset val="134"/>
      </rPr>
      <t>年期修正系数</t>
    </r>
    <phoneticPr fontId="4" type="noConversion"/>
  </si>
  <si>
    <r>
      <rPr>
        <sz val="11"/>
        <color indexed="8"/>
        <rFont val="宋体"/>
        <family val="3"/>
        <charset val="134"/>
      </rPr>
      <t>红线外市政基础设施（总）</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</si>
  <si>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土地</t>
    </r>
    <phoneticPr fontId="4" type="noConversion"/>
  </si>
  <si>
    <r>
      <rPr>
        <sz val="11"/>
        <color indexed="8"/>
        <rFont val="宋体"/>
        <family val="3"/>
        <charset val="134"/>
      </rPr>
      <t>红线外市政基础设施（现状）</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</si>
  <si>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综合</t>
    </r>
    <phoneticPr fontId="4" type="noConversion"/>
  </si>
  <si>
    <r>
      <rPr>
        <sz val="11"/>
        <color indexed="8"/>
        <rFont val="宋体"/>
        <family val="3"/>
        <charset val="134"/>
      </rPr>
      <t>红线外市政基础设施（待完成）</t>
    </r>
    <phoneticPr fontId="4" type="noConversion"/>
  </si>
  <si>
    <r>
      <rPr>
        <sz val="11"/>
        <color theme="1"/>
        <rFont val="宋体"/>
        <family val="3"/>
        <charset val="134"/>
      </rPr>
      <t>资本化率</t>
    </r>
    <r>
      <rPr>
        <sz val="11"/>
        <color theme="1"/>
        <rFont val="Arial"/>
        <family val="2"/>
      </rPr>
      <t>-</t>
    </r>
    <r>
      <rPr>
        <sz val="11"/>
        <color theme="1"/>
        <rFont val="宋体"/>
        <family val="3"/>
        <charset val="134"/>
      </rPr>
      <t>建筑物</t>
    </r>
    <phoneticPr fontId="4" type="noConversion"/>
  </si>
  <si>
    <r>
      <rPr>
        <sz val="11"/>
        <color indexed="8"/>
        <rFont val="宋体"/>
        <family val="3"/>
        <charset val="134"/>
      </rPr>
      <t>单方造价</t>
    </r>
    <phoneticPr fontId="5" type="noConversion"/>
  </si>
  <si>
    <r>
      <rPr>
        <b/>
        <sz val="11"/>
        <color indexed="8"/>
        <rFont val="宋体"/>
        <family val="3"/>
        <charset val="134"/>
      </rPr>
      <t>开发期</t>
    </r>
    <phoneticPr fontId="4" type="noConversion"/>
  </si>
  <si>
    <r>
      <rPr>
        <sz val="11"/>
        <rFont val="宋体"/>
        <family val="3"/>
        <charset val="134"/>
      </rPr>
      <t>土地开发期</t>
    </r>
  </si>
  <si>
    <r>
      <rPr>
        <sz val="11"/>
        <rFont val="宋体"/>
        <family val="3"/>
        <charset val="134"/>
      </rPr>
      <t>建设期</t>
    </r>
    <phoneticPr fontId="5" type="noConversion"/>
  </si>
  <si>
    <r>
      <rPr>
        <sz val="11"/>
        <color indexed="8"/>
        <rFont val="宋体"/>
        <family val="3"/>
        <charset val="134"/>
      </rPr>
      <t>勘察设计和前期工程费</t>
    </r>
    <phoneticPr fontId="4" type="noConversion"/>
  </si>
  <si>
    <r>
      <rPr>
        <sz val="11"/>
        <rFont val="宋体"/>
        <family val="3"/>
        <charset val="134"/>
      </rPr>
      <t>已建工期</t>
    </r>
    <phoneticPr fontId="4" type="noConversion"/>
  </si>
  <si>
    <r>
      <rPr>
        <sz val="11"/>
        <color indexed="8"/>
        <rFont val="宋体"/>
        <family val="3"/>
        <charset val="134"/>
      </rPr>
      <t>公共配套设施费用</t>
    </r>
    <phoneticPr fontId="4" type="noConversion"/>
  </si>
  <si>
    <r>
      <rPr>
        <sz val="11"/>
        <rFont val="宋体"/>
        <family val="3"/>
        <charset val="134"/>
      </rPr>
      <t>项目开发期</t>
    </r>
    <phoneticPr fontId="5" type="noConversion"/>
  </si>
  <si>
    <r>
      <rPr>
        <sz val="11"/>
        <color indexed="8"/>
        <rFont val="宋体"/>
        <family val="3"/>
        <charset val="134"/>
      </rPr>
      <t>红线内市政基础设施</t>
    </r>
    <phoneticPr fontId="4" type="noConversion"/>
  </si>
  <si>
    <r>
      <rPr>
        <sz val="11"/>
        <color indexed="8"/>
        <rFont val="宋体"/>
        <family val="3"/>
        <charset val="134"/>
      </rPr>
      <t>项目已运行</t>
    </r>
    <phoneticPr fontId="4" type="noConversion"/>
  </si>
  <si>
    <r>
      <rPr>
        <sz val="11"/>
        <color indexed="8"/>
        <rFont val="宋体"/>
        <family val="3"/>
        <charset val="134"/>
      </rPr>
      <t>建造成本中相关税费</t>
    </r>
    <phoneticPr fontId="4" type="noConversion"/>
  </si>
  <si>
    <r>
      <rPr>
        <sz val="11"/>
        <rFont val="宋体"/>
        <family val="3"/>
        <charset val="134"/>
      </rPr>
      <t>续建工期</t>
    </r>
    <phoneticPr fontId="4" type="noConversion"/>
  </si>
  <si>
    <r>
      <rPr>
        <sz val="11"/>
        <color indexed="8"/>
        <rFont val="宋体"/>
        <family val="3"/>
        <charset val="134"/>
      </rPr>
      <t>管理费用</t>
    </r>
    <phoneticPr fontId="4" type="noConversion"/>
  </si>
  <si>
    <r>
      <rPr>
        <b/>
        <sz val="11"/>
        <color indexed="8"/>
        <rFont val="宋体"/>
        <family val="3"/>
        <charset val="134"/>
      </rPr>
      <t>建成年份</t>
    </r>
    <phoneticPr fontId="4" type="noConversion"/>
  </si>
  <si>
    <r>
      <rPr>
        <sz val="11"/>
        <color indexed="8"/>
        <rFont val="宋体"/>
        <family val="3"/>
        <charset val="134"/>
      </rPr>
      <t>销售费用</t>
    </r>
    <phoneticPr fontId="4" type="noConversion"/>
  </si>
  <si>
    <r>
      <rPr>
        <sz val="11"/>
        <color indexed="8"/>
        <rFont val="宋体"/>
        <family val="3"/>
        <charset val="134"/>
      </rPr>
      <t>收益法相关参数</t>
    </r>
    <phoneticPr fontId="4" type="noConversion"/>
  </si>
  <si>
    <r>
      <rPr>
        <sz val="11"/>
        <color indexed="8"/>
        <rFont val="宋体"/>
        <family val="3"/>
        <charset val="134"/>
      </rPr>
      <t>利润</t>
    </r>
    <phoneticPr fontId="4" type="noConversion"/>
  </si>
  <si>
    <r>
      <rPr>
        <sz val="11"/>
        <color indexed="8"/>
        <rFont val="宋体"/>
        <family val="3"/>
        <charset val="134"/>
      </rPr>
      <t>销售税费</t>
    </r>
    <r>
      <rPr>
        <sz val="11"/>
        <color indexed="8"/>
        <rFont val="Arial"/>
        <family val="2"/>
      </rPr>
      <t>/</t>
    </r>
    <r>
      <rPr>
        <sz val="11"/>
        <color indexed="8"/>
        <rFont val="宋体"/>
        <family val="3"/>
        <charset val="134"/>
      </rPr>
      <t>两税两费</t>
    </r>
    <phoneticPr fontId="4" type="noConversion"/>
  </si>
  <si>
    <r>
      <rPr>
        <sz val="11"/>
        <color indexed="8"/>
        <rFont val="宋体"/>
        <family val="3"/>
        <charset val="134"/>
      </rPr>
      <t>一年期存款利率</t>
    </r>
    <phoneticPr fontId="4" type="noConversion"/>
  </si>
  <si>
    <r>
      <rPr>
        <sz val="11"/>
        <color indexed="8"/>
        <rFont val="宋体"/>
        <family val="3"/>
        <charset val="134"/>
      </rPr>
      <t>增值税</t>
    </r>
    <phoneticPr fontId="4" type="noConversion"/>
  </si>
  <si>
    <r>
      <rPr>
        <sz val="11"/>
        <color indexed="8"/>
        <rFont val="宋体"/>
        <family val="3"/>
        <charset val="134"/>
      </rPr>
      <t>年租金增长率</t>
    </r>
    <phoneticPr fontId="4" type="noConversion"/>
  </si>
  <si>
    <r>
      <rPr>
        <sz val="11"/>
        <color indexed="8"/>
        <rFont val="宋体"/>
        <family val="3"/>
        <charset val="134"/>
      </rPr>
      <t>附加税合计</t>
    </r>
    <phoneticPr fontId="4" type="noConversion"/>
  </si>
  <si>
    <r>
      <rPr>
        <sz val="11"/>
        <color indexed="8"/>
        <rFont val="宋体"/>
        <family val="3"/>
        <charset val="134"/>
      </rPr>
      <t>空置率</t>
    </r>
    <phoneticPr fontId="4" type="noConversion"/>
  </si>
  <si>
    <r>
      <rPr>
        <sz val="11"/>
        <color indexed="8"/>
        <rFont val="宋体"/>
        <family val="3"/>
        <charset val="134"/>
      </rPr>
      <t>城市维护建设税</t>
    </r>
    <phoneticPr fontId="4" type="noConversion"/>
  </si>
  <si>
    <r>
      <rPr>
        <sz val="11"/>
        <color indexed="8"/>
        <rFont val="宋体"/>
        <family val="3"/>
        <charset val="134"/>
      </rPr>
      <t>收益年期</t>
    </r>
    <r>
      <rPr>
        <sz val="11"/>
        <color indexed="8"/>
        <rFont val="Arial"/>
        <family val="2"/>
      </rPr>
      <t>(</t>
    </r>
    <r>
      <rPr>
        <sz val="11"/>
        <color indexed="8"/>
        <rFont val="宋体"/>
        <family val="3"/>
        <charset val="134"/>
      </rPr>
      <t>总</t>
    </r>
    <r>
      <rPr>
        <sz val="11"/>
        <color indexed="8"/>
        <rFont val="Arial"/>
        <family val="2"/>
      </rPr>
      <t>)</t>
    </r>
    <phoneticPr fontId="4" type="noConversion"/>
  </si>
  <si>
    <r>
      <rPr>
        <sz val="11"/>
        <color indexed="8"/>
        <rFont val="宋体"/>
        <family val="3"/>
        <charset val="134"/>
      </rPr>
      <t>教育费附加</t>
    </r>
    <phoneticPr fontId="4" type="noConversion"/>
  </si>
  <si>
    <r>
      <rPr>
        <sz val="11"/>
        <color theme="1"/>
        <rFont val="宋体"/>
        <family val="3"/>
        <charset val="134"/>
      </rPr>
      <t>北京：</t>
    </r>
    <r>
      <rPr>
        <sz val="11"/>
        <color theme="1"/>
        <rFont val="Arial"/>
        <family val="2"/>
      </rPr>
      <t>3%</t>
    </r>
    <phoneticPr fontId="4" type="noConversion"/>
  </si>
  <si>
    <r>
      <rPr>
        <sz val="11"/>
        <color indexed="8"/>
        <rFont val="宋体"/>
        <family val="3"/>
        <charset val="134"/>
      </rPr>
      <t>地方教育费附加</t>
    </r>
    <phoneticPr fontId="4" type="noConversion"/>
  </si>
  <si>
    <r>
      <rPr>
        <sz val="11"/>
        <color theme="1"/>
        <rFont val="宋体"/>
        <family val="3"/>
        <charset val="134"/>
      </rPr>
      <t>北京：</t>
    </r>
    <r>
      <rPr>
        <sz val="11"/>
        <color theme="1"/>
        <rFont val="Arial"/>
        <family val="2"/>
      </rPr>
      <t>2%</t>
    </r>
    <phoneticPr fontId="4" type="noConversion"/>
  </si>
  <si>
    <r>
      <rPr>
        <b/>
        <sz val="11"/>
        <color rgb="FFFF0000"/>
        <rFont val="宋体"/>
        <family val="3"/>
        <charset val="134"/>
      </rPr>
      <t>租期外</t>
    </r>
    <phoneticPr fontId="4" type="noConversion"/>
  </si>
  <si>
    <r>
      <rPr>
        <sz val="11"/>
        <color indexed="8"/>
        <rFont val="宋体"/>
        <family val="3"/>
        <charset val="134"/>
      </rPr>
      <t>其他税种</t>
    </r>
    <phoneticPr fontId="4" type="noConversion"/>
  </si>
  <si>
    <r>
      <rPr>
        <sz val="11"/>
        <color indexed="10"/>
        <rFont val="宋体"/>
        <family val="3"/>
        <charset val="134"/>
      </rPr>
      <t>请录依据文件名称：</t>
    </r>
    <phoneticPr fontId="4" type="noConversion"/>
  </si>
  <si>
    <r>
      <rPr>
        <sz val="11"/>
        <color indexed="8"/>
        <rFont val="宋体"/>
        <family val="3"/>
        <charset val="134"/>
      </rPr>
      <t>契税</t>
    </r>
    <phoneticPr fontId="4" type="noConversion"/>
  </si>
  <si>
    <r>
      <rPr>
        <sz val="11"/>
        <color indexed="8"/>
        <rFont val="宋体"/>
        <family val="3"/>
        <charset val="134"/>
      </rPr>
      <t>北京：</t>
    </r>
    <r>
      <rPr>
        <sz val="11"/>
        <color indexed="8"/>
        <rFont val="Arial"/>
        <family val="2"/>
      </rPr>
      <t>3%</t>
    </r>
    <phoneticPr fontId="4" type="noConversion"/>
  </si>
  <si>
    <r>
      <rPr>
        <sz val="11"/>
        <color indexed="8"/>
        <rFont val="宋体"/>
        <family val="3"/>
        <charset val="134"/>
      </rPr>
      <t>印花税</t>
    </r>
    <phoneticPr fontId="4" type="noConversion"/>
  </si>
  <si>
    <r>
      <rPr>
        <sz val="11"/>
        <color indexed="8"/>
        <rFont val="宋体"/>
        <family val="3"/>
        <charset val="134"/>
      </rPr>
      <t>北京：</t>
    </r>
    <r>
      <rPr>
        <sz val="11"/>
        <color indexed="8"/>
        <rFont val="Arial"/>
        <family val="2"/>
      </rPr>
      <t>0.05%</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</si>
  <si>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按原值计税</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</si>
  <si>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按租金计税</t>
    </r>
    <phoneticPr fontId="4" type="noConversion"/>
  </si>
  <si>
    <r>
      <rPr>
        <sz val="11"/>
        <color indexed="8"/>
        <rFont val="宋体"/>
        <family val="3"/>
        <charset val="134"/>
      </rPr>
      <t>土地使用税</t>
    </r>
    <phoneticPr fontId="4" type="noConversion"/>
  </si>
  <si>
    <r>
      <rPr>
        <sz val="11"/>
        <color indexed="8"/>
        <rFont val="宋体"/>
        <family val="3"/>
        <charset val="134"/>
      </rPr>
      <t>车位数</t>
    </r>
    <r>
      <rPr>
        <sz val="11"/>
        <color indexed="8"/>
        <rFont val="Arial"/>
        <family val="2"/>
      </rPr>
      <t>or</t>
    </r>
    <r>
      <rPr>
        <sz val="11"/>
        <color indexed="8"/>
        <rFont val="宋体"/>
        <family val="3"/>
        <charset val="134"/>
      </rPr>
      <t>套数</t>
    </r>
    <phoneticPr fontId="4" type="noConversion"/>
  </si>
  <si>
    <r>
      <rPr>
        <sz val="11"/>
        <color indexed="8"/>
        <rFont val="宋体"/>
        <family val="3"/>
        <charset val="134"/>
      </rPr>
      <t>城镇土地纳税等级分级范围</t>
    </r>
    <phoneticPr fontId="4" type="noConversion"/>
  </si>
  <si>
    <r>
      <rPr>
        <sz val="11"/>
        <color indexed="8"/>
        <rFont val="宋体"/>
        <family val="3"/>
        <charset val="134"/>
      </rPr>
      <t>北京</t>
    </r>
    <phoneticPr fontId="4" type="noConversion"/>
  </si>
  <si>
    <r>
      <rPr>
        <sz val="11"/>
        <color indexed="10"/>
        <rFont val="宋体"/>
        <family val="3"/>
        <charset val="134"/>
      </rPr>
      <t>其他省市请录依据文件名称：</t>
    </r>
    <phoneticPr fontId="4" type="noConversion"/>
  </si>
  <si>
    <r>
      <rPr>
        <sz val="11"/>
        <color indexed="8"/>
        <rFont val="宋体"/>
        <family val="3"/>
        <charset val="134"/>
      </rPr>
      <t>天</t>
    </r>
    <r>
      <rPr>
        <sz val="11"/>
        <color indexed="8"/>
        <rFont val="Arial"/>
        <family val="2"/>
      </rPr>
      <t>/</t>
    </r>
    <r>
      <rPr>
        <sz val="11"/>
        <color indexed="8"/>
        <rFont val="宋体"/>
        <family val="3"/>
        <charset val="134"/>
      </rPr>
      <t>月</t>
    </r>
    <r>
      <rPr>
        <sz val="11"/>
        <color indexed="8"/>
        <rFont val="Arial"/>
        <family val="2"/>
      </rPr>
      <t>/</t>
    </r>
    <r>
      <rPr>
        <sz val="11"/>
        <color indexed="8"/>
        <rFont val="宋体"/>
        <family val="3"/>
        <charset val="134"/>
      </rPr>
      <t>年</t>
    </r>
    <phoneticPr fontId="4" type="noConversion"/>
  </si>
  <si>
    <r>
      <rPr>
        <sz val="11"/>
        <color indexed="8"/>
        <rFont val="宋体"/>
        <family val="3"/>
        <charset val="134"/>
      </rPr>
      <t>一级</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</si>
  <si>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按票据</t>
    </r>
    <phoneticPr fontId="4" type="noConversion"/>
  </si>
  <si>
    <r>
      <rPr>
        <sz val="11"/>
        <color indexed="8"/>
        <rFont val="宋体"/>
        <family val="3"/>
        <charset val="134"/>
      </rPr>
      <t>二级</t>
    </r>
    <phoneticPr fontId="4" type="noConversion"/>
  </si>
  <si>
    <r>
      <rPr>
        <sz val="11"/>
        <color indexed="8"/>
        <rFont val="宋体"/>
        <family val="3"/>
        <charset val="134"/>
      </rPr>
      <t>维修费率</t>
    </r>
    <phoneticPr fontId="4" type="noConversion"/>
  </si>
  <si>
    <r>
      <rPr>
        <sz val="11"/>
        <color indexed="8"/>
        <rFont val="宋体"/>
        <family val="3"/>
        <charset val="134"/>
      </rPr>
      <t>三级</t>
    </r>
    <phoneticPr fontId="4" type="noConversion"/>
  </si>
  <si>
    <r>
      <rPr>
        <sz val="11"/>
        <color indexed="8"/>
        <rFont val="宋体"/>
        <family val="3"/>
        <charset val="134"/>
      </rPr>
      <t>保险费率</t>
    </r>
    <phoneticPr fontId="4" type="noConversion"/>
  </si>
  <si>
    <r>
      <rPr>
        <sz val="11"/>
        <color indexed="8"/>
        <rFont val="宋体"/>
        <family val="3"/>
        <charset val="134"/>
      </rPr>
      <t>四级</t>
    </r>
    <phoneticPr fontId="4" type="noConversion"/>
  </si>
  <si>
    <r>
      <rPr>
        <sz val="11"/>
        <color indexed="8"/>
        <rFont val="宋体"/>
        <family val="3"/>
        <charset val="134"/>
      </rPr>
      <t>管理费率</t>
    </r>
    <phoneticPr fontId="4" type="noConversion"/>
  </si>
  <si>
    <r>
      <rPr>
        <sz val="11"/>
        <color indexed="8"/>
        <rFont val="宋体"/>
        <family val="3"/>
        <charset val="134"/>
      </rPr>
      <t>六级</t>
    </r>
    <phoneticPr fontId="4" type="noConversion"/>
  </si>
  <si>
    <r>
      <rPr>
        <sz val="11"/>
        <color indexed="8"/>
        <rFont val="宋体"/>
        <family val="3"/>
        <charset val="134"/>
      </rPr>
      <t>七级</t>
    </r>
    <phoneticPr fontId="4" type="noConversion"/>
  </si>
  <si>
    <r>
      <rPr>
        <sz val="11"/>
        <color indexed="8"/>
        <rFont val="宋体"/>
        <family val="3"/>
        <charset val="134"/>
      </rPr>
      <t>八级</t>
    </r>
    <phoneticPr fontId="4" type="noConversion"/>
  </si>
  <si>
    <r>
      <rPr>
        <sz val="11"/>
        <color indexed="8"/>
        <rFont val="宋体"/>
        <family val="3"/>
        <charset val="134"/>
      </rPr>
      <t>九级</t>
    </r>
    <phoneticPr fontId="4" type="noConversion"/>
  </si>
  <si>
    <r>
      <rPr>
        <sz val="11"/>
        <color indexed="8"/>
        <rFont val="宋体"/>
        <family val="3"/>
        <charset val="134"/>
      </rPr>
      <t>十级</t>
    </r>
    <phoneticPr fontId="4" type="noConversion"/>
  </si>
  <si>
    <r>
      <rPr>
        <b/>
        <sz val="14"/>
        <color indexed="10"/>
        <rFont val="宋体"/>
        <family val="3"/>
        <charset val="134"/>
      </rPr>
      <t>房地产修正因素</t>
    </r>
    <phoneticPr fontId="4" type="noConversion"/>
  </si>
  <si>
    <r>
      <rPr>
        <sz val="11"/>
        <color indexed="8"/>
        <rFont val="宋体"/>
        <family val="3"/>
        <charset val="134"/>
      </rPr>
      <t>居住社区成熟度</t>
    </r>
  </si>
  <si>
    <r>
      <rPr>
        <sz val="11"/>
        <color indexed="8"/>
        <rFont val="宋体"/>
        <family val="3"/>
        <charset val="134"/>
      </rPr>
      <t>公共配套设施</t>
    </r>
    <phoneticPr fontId="20" type="noConversion"/>
  </si>
  <si>
    <r>
      <rPr>
        <sz val="11"/>
        <color indexed="8"/>
        <rFont val="宋体"/>
        <family val="3"/>
        <charset val="134"/>
      </rPr>
      <t>交通便捷度</t>
    </r>
  </si>
  <si>
    <r>
      <rPr>
        <sz val="11"/>
        <color indexed="8"/>
        <rFont val="宋体"/>
        <family val="3"/>
        <charset val="134"/>
      </rPr>
      <t>基础设施水平</t>
    </r>
    <phoneticPr fontId="20" type="noConversion"/>
  </si>
  <si>
    <r>
      <rPr>
        <sz val="11"/>
        <color indexed="8"/>
        <rFont val="宋体"/>
        <family val="3"/>
        <charset val="134"/>
      </rPr>
      <t>自然及人文环境</t>
    </r>
  </si>
  <si>
    <r>
      <rPr>
        <b/>
        <sz val="14"/>
        <color indexed="10"/>
        <rFont val="宋体"/>
        <family val="3"/>
        <charset val="134"/>
      </rPr>
      <t>土地修正因素</t>
    </r>
    <phoneticPr fontId="4" type="noConversion"/>
  </si>
  <si>
    <r>
      <rPr>
        <b/>
        <sz val="14"/>
        <color rgb="FFFF0000"/>
        <rFont val="宋体"/>
        <family val="3"/>
        <charset val="134"/>
      </rPr>
      <t>估价结果（过程）</t>
    </r>
    <phoneticPr fontId="8" type="noConversion"/>
  </si>
  <si>
    <r>
      <rPr>
        <sz val="10"/>
        <color indexed="8"/>
        <rFont val="宋体"/>
        <family val="3"/>
        <charset val="134"/>
      </rPr>
      <t>权重确定打分评价体系</t>
    </r>
  </si>
  <si>
    <r>
      <rPr>
        <sz val="11"/>
        <color indexed="8"/>
        <rFont val="宋体"/>
        <family val="3"/>
        <charset val="134"/>
      </rPr>
      <t>评价因素</t>
    </r>
  </si>
  <si>
    <r>
      <rPr>
        <sz val="11"/>
        <color indexed="8"/>
        <rFont val="宋体"/>
        <family val="3"/>
        <charset val="134"/>
      </rPr>
      <t>标准分值</t>
    </r>
  </si>
  <si>
    <r>
      <rPr>
        <sz val="10"/>
        <color indexed="8"/>
        <rFont val="宋体"/>
        <family val="3"/>
        <charset val="134"/>
      </rPr>
      <t>打分考虑因素</t>
    </r>
    <phoneticPr fontId="8" type="noConversion"/>
  </si>
  <si>
    <r>
      <rPr>
        <sz val="11"/>
        <color indexed="8"/>
        <rFont val="宋体"/>
        <family val="3"/>
        <charset val="134"/>
      </rPr>
      <t>估价方法的代表性</t>
    </r>
  </si>
  <si>
    <r>
      <t>1.</t>
    </r>
    <r>
      <rPr>
        <sz val="10"/>
        <color indexed="8"/>
        <rFont val="宋体"/>
        <family val="3"/>
        <charset val="134"/>
      </rPr>
      <t>估价方法选取分析</t>
    </r>
    <r>
      <rPr>
        <b/>
        <sz val="10"/>
        <color indexed="8"/>
        <rFont val="宋体"/>
        <family val="3"/>
        <charset val="134"/>
      </rPr>
      <t>充分、合理</t>
    </r>
    <r>
      <rPr>
        <sz val="10"/>
        <color indexed="8"/>
        <rFont val="宋体"/>
        <family val="3"/>
        <charset val="134"/>
      </rPr>
      <t>，取</t>
    </r>
    <r>
      <rPr>
        <sz val="10"/>
        <color indexed="8"/>
        <rFont val="Arial"/>
        <family val="2"/>
      </rPr>
      <t>20</t>
    </r>
    <r>
      <rPr>
        <sz val="10"/>
        <color indexed="8"/>
        <rFont val="宋体"/>
        <family val="3"/>
        <charset val="134"/>
      </rPr>
      <t>～</t>
    </r>
    <r>
      <rPr>
        <sz val="10"/>
        <color indexed="8"/>
        <rFont val="Arial"/>
        <family val="2"/>
      </rPr>
      <t>25</t>
    </r>
    <r>
      <rPr>
        <sz val="10"/>
        <color indexed="8"/>
        <rFont val="宋体"/>
        <family val="3"/>
        <charset val="134"/>
      </rPr>
      <t>分；</t>
    </r>
    <phoneticPr fontId="8" type="noConversion"/>
  </si>
  <si>
    <r>
      <t>2.</t>
    </r>
    <r>
      <rPr>
        <sz val="10"/>
        <color indexed="8"/>
        <rFont val="宋体"/>
        <family val="3"/>
        <charset val="134"/>
      </rPr>
      <t>估价方法选取分析</t>
    </r>
    <r>
      <rPr>
        <b/>
        <sz val="10"/>
        <color indexed="8"/>
        <rFont val="宋体"/>
        <family val="3"/>
        <charset val="134"/>
      </rPr>
      <t>较充分、合理</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</si>
  <si>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估价方法选取分析</t>
    </r>
    <r>
      <rPr>
        <b/>
        <sz val="10"/>
        <color indexed="8"/>
        <rFont val="宋体"/>
        <family val="3"/>
        <charset val="134"/>
      </rPr>
      <t>较不充分</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</si>
  <si>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估价方法所要求的估价资料的完整性</t>
    </r>
  </si>
  <si>
    <r>
      <t>1.</t>
    </r>
    <r>
      <rPr>
        <sz val="10"/>
        <color indexed="8"/>
        <rFont val="宋体"/>
        <family val="3"/>
        <charset val="134"/>
      </rPr>
      <t>估价资料</t>
    </r>
    <r>
      <rPr>
        <b/>
        <sz val="10"/>
        <color indexed="8"/>
        <rFont val="宋体"/>
        <family val="3"/>
        <charset val="134"/>
      </rPr>
      <t>完整</t>
    </r>
    <r>
      <rPr>
        <sz val="10"/>
        <color indexed="8"/>
        <rFont val="宋体"/>
        <family val="3"/>
        <charset val="134"/>
      </rPr>
      <t>，来源依据充分，取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</si>
  <si>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估价资料有</t>
    </r>
    <r>
      <rPr>
        <b/>
        <sz val="10"/>
        <color indexed="8"/>
        <rFont val="宋体"/>
        <family val="3"/>
        <charset val="134"/>
      </rPr>
      <t>欠缺</t>
    </r>
    <r>
      <rPr>
        <sz val="10"/>
        <color indexed="8"/>
        <rFont val="宋体"/>
        <family val="3"/>
        <charset val="134"/>
      </rPr>
      <t>，来源依据较不充分，取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</si>
  <si>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参数选取的客观性</t>
    </r>
  </si>
  <si>
    <r>
      <t>1.</t>
    </r>
    <r>
      <rPr>
        <sz val="10"/>
        <color indexed="8"/>
        <rFont val="宋体"/>
        <family val="3"/>
        <charset val="134"/>
      </rPr>
      <t>参数从</t>
    </r>
    <r>
      <rPr>
        <b/>
        <sz val="10"/>
        <color indexed="8"/>
        <rFont val="宋体"/>
        <family val="3"/>
        <charset val="134"/>
      </rPr>
      <t>市场上获取</t>
    </r>
    <r>
      <rPr>
        <sz val="10"/>
        <color indexed="8"/>
        <rFont val="宋体"/>
        <family val="3"/>
        <charset val="134"/>
      </rPr>
      <t>，或从权威机构发布的信息上获取，取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</si>
  <si>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部分参数为</t>
    </r>
    <r>
      <rPr>
        <b/>
        <sz val="10"/>
        <color indexed="8"/>
        <rFont val="宋体"/>
        <family val="3"/>
        <charset val="134"/>
      </rPr>
      <t>自行分析</t>
    </r>
    <r>
      <rPr>
        <sz val="10"/>
        <color indexed="8"/>
        <rFont val="宋体"/>
        <family val="3"/>
        <charset val="134"/>
      </rPr>
      <t>取得，理由较充分，取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</si>
  <si>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参数确定的时效性</t>
    </r>
  </si>
  <si>
    <r>
      <t>1.</t>
    </r>
    <r>
      <rPr>
        <sz val="10"/>
        <color indexed="8"/>
        <rFont val="宋体"/>
        <family val="3"/>
        <charset val="134"/>
      </rPr>
      <t>参数在规定的时效范围内，且距估价期日</t>
    </r>
    <r>
      <rPr>
        <b/>
        <sz val="10"/>
        <color indexed="8"/>
        <rFont val="宋体"/>
        <family val="3"/>
        <charset val="134"/>
      </rPr>
      <t>未超过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</si>
  <si>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参数在规定的时效范围内，但距估价期日</t>
    </r>
    <r>
      <rPr>
        <b/>
        <sz val="10"/>
        <color indexed="8"/>
        <rFont val="宋体"/>
        <family val="3"/>
        <charset val="134"/>
      </rPr>
      <t>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</si>
  <si>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估价结果的现势性</t>
    </r>
  </si>
  <si>
    <r>
      <t>1.</t>
    </r>
    <r>
      <rPr>
        <sz val="10"/>
        <color indexed="8"/>
        <rFont val="宋体"/>
        <family val="3"/>
        <charset val="134"/>
      </rPr>
      <t>估价结果与同类用途房地产市场</t>
    </r>
    <r>
      <rPr>
        <b/>
        <sz val="10"/>
        <color indexed="8"/>
        <rFont val="宋体"/>
        <family val="3"/>
        <charset val="134"/>
      </rPr>
      <t>价格水平一致</t>
    </r>
    <r>
      <rPr>
        <sz val="10"/>
        <color indexed="8"/>
        <rFont val="宋体"/>
        <family val="3"/>
        <charset val="134"/>
      </rPr>
      <t>，且考虑了房地产市场发展趋势，取</t>
    </r>
    <r>
      <rPr>
        <sz val="10"/>
        <color indexed="8"/>
        <rFont val="Arial"/>
        <family val="2"/>
      </rPr>
      <t>20</t>
    </r>
    <r>
      <rPr>
        <sz val="10"/>
        <color indexed="8"/>
        <rFont val="宋体"/>
        <family val="3"/>
        <charset val="134"/>
      </rPr>
      <t>～</t>
    </r>
    <r>
      <rPr>
        <sz val="10"/>
        <color indexed="8"/>
        <rFont val="Arial"/>
        <family val="2"/>
      </rPr>
      <t>30</t>
    </r>
    <r>
      <rPr>
        <sz val="10"/>
        <color indexed="8"/>
        <rFont val="宋体"/>
        <family val="3"/>
        <charset val="134"/>
      </rPr>
      <t>分；</t>
    </r>
    <phoneticPr fontId="8" type="noConversion"/>
  </si>
  <si>
    <r>
      <t>2.</t>
    </r>
    <r>
      <rPr>
        <sz val="10"/>
        <color indexed="8"/>
        <rFont val="宋体"/>
        <family val="3"/>
        <charset val="134"/>
      </rPr>
      <t>估价结果与同类用途房地产价格</t>
    </r>
    <r>
      <rPr>
        <b/>
        <sz val="10"/>
        <color indexed="8"/>
        <rFont val="宋体"/>
        <family val="3"/>
        <charset val="134"/>
      </rPr>
      <t>水平基本一致</t>
    </r>
    <r>
      <rPr>
        <sz val="10"/>
        <color indexed="8"/>
        <rFont val="宋体"/>
        <family val="3"/>
        <charset val="134"/>
      </rPr>
      <t>，且适当考虑了房地产市场发展趋势，取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</si>
  <si>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估价结果与同类用途房地产</t>
    </r>
    <r>
      <rPr>
        <b/>
        <sz val="10"/>
        <color indexed="8"/>
        <rFont val="宋体"/>
        <family val="3"/>
        <charset val="134"/>
      </rPr>
      <t>价格水平有一定差距</t>
    </r>
    <r>
      <rPr>
        <sz val="10"/>
        <color indexed="8"/>
        <rFont val="宋体"/>
        <family val="3"/>
        <charset val="134"/>
      </rPr>
      <t>，且适当考虑房地产市场发展趋势，取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</si>
  <si>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b/>
        <sz val="11"/>
        <color indexed="8"/>
        <rFont val="宋体"/>
        <family val="3"/>
        <charset val="134"/>
      </rPr>
      <t>分值</t>
    </r>
  </si>
  <si>
    <r>
      <rPr>
        <b/>
        <sz val="11"/>
        <color indexed="8"/>
        <rFont val="宋体"/>
        <family val="3"/>
        <charset val="134"/>
      </rPr>
      <t>权重</t>
    </r>
  </si>
  <si>
    <r>
      <rPr>
        <b/>
        <sz val="11"/>
        <color indexed="8"/>
        <rFont val="宋体"/>
        <family val="3"/>
        <charset val="134"/>
      </rPr>
      <t>各方法结果</t>
    </r>
    <phoneticPr fontId="9" type="noConversion"/>
  </si>
  <si>
    <r>
      <rPr>
        <sz val="11"/>
        <color indexed="8"/>
        <rFont val="宋体"/>
        <family val="3"/>
        <charset val="134"/>
      </rPr>
      <t>总价</t>
    </r>
    <phoneticPr fontId="9" type="noConversion"/>
  </si>
  <si>
    <r>
      <rPr>
        <b/>
        <sz val="11"/>
        <color indexed="8"/>
        <rFont val="宋体"/>
        <family val="3"/>
        <charset val="134"/>
      </rPr>
      <t>权重结果</t>
    </r>
    <phoneticPr fontId="9" type="noConversion"/>
  </si>
  <si>
    <r>
      <rPr>
        <sz val="11"/>
        <color indexed="8"/>
        <rFont val="宋体"/>
        <family val="3"/>
        <charset val="134"/>
      </rPr>
      <t>楼面单价</t>
    </r>
    <phoneticPr fontId="9"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</si>
  <si>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8" type="noConversion"/>
  </si>
  <si>
    <r>
      <rPr>
        <sz val="11"/>
        <color indexed="8"/>
        <rFont val="宋体"/>
        <family val="3"/>
        <charset val="134"/>
      </rPr>
      <t>各方法结果差值</t>
    </r>
    <phoneticPr fontId="8" type="noConversion"/>
  </si>
  <si>
    <r>
      <rPr>
        <b/>
        <sz val="11"/>
        <color indexed="8"/>
        <rFont val="宋体"/>
        <family val="3"/>
        <charset val="134"/>
      </rPr>
      <t>扣减项</t>
    </r>
    <r>
      <rPr>
        <b/>
        <sz val="11"/>
        <color indexed="8"/>
        <rFont val="Arial"/>
        <family val="2"/>
      </rPr>
      <t>(</t>
    </r>
    <r>
      <rPr>
        <b/>
        <sz val="11"/>
        <color indexed="8"/>
        <rFont val="宋体"/>
        <family val="3"/>
        <charset val="134"/>
      </rPr>
      <t>出让金、平整费用等</t>
    </r>
    <r>
      <rPr>
        <b/>
        <sz val="11"/>
        <color indexed="8"/>
        <rFont val="Arial"/>
        <family val="2"/>
      </rPr>
      <t>)</t>
    </r>
    <phoneticPr fontId="8" type="noConversion"/>
  </si>
  <si>
    <r>
      <rPr>
        <sz val="11"/>
        <color rgb="FFFF0000"/>
        <rFont val="宋体"/>
        <family val="3"/>
        <charset val="134"/>
      </rPr>
      <t>扣减项</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</si>
  <si>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</si>
  <si>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</si>
  <si>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总值</t>
    </r>
    <phoneticPr fontId="8" type="noConversion"/>
  </si>
  <si>
    <r>
      <rPr>
        <sz val="11"/>
        <color rgb="FFFF0000"/>
        <rFont val="宋体"/>
        <family val="3"/>
        <charset val="134"/>
      </rPr>
      <t>合计</t>
    </r>
    <phoneticPr fontId="8" type="noConversion"/>
  </si>
  <si>
    <r>
      <rPr>
        <b/>
        <sz val="11"/>
        <color indexed="8"/>
        <rFont val="宋体"/>
        <family val="3"/>
        <charset val="134"/>
      </rPr>
      <t>房地产价值</t>
    </r>
    <phoneticPr fontId="8" type="noConversion"/>
  </si>
  <si>
    <r>
      <rPr>
        <b/>
        <sz val="11"/>
        <color indexed="8"/>
        <rFont val="宋体"/>
        <family val="3"/>
        <charset val="134"/>
      </rPr>
      <t>土地与建筑物价值分配原则</t>
    </r>
    <phoneticPr fontId="8" type="noConversion"/>
  </si>
  <si>
    <r>
      <rPr>
        <sz val="10"/>
        <color indexed="8"/>
        <rFont val="宋体"/>
        <family val="3"/>
        <charset val="134"/>
      </rPr>
      <t>自定义比例设置</t>
    </r>
    <phoneticPr fontId="8" type="noConversion"/>
  </si>
  <si>
    <r>
      <rPr>
        <sz val="11"/>
        <color indexed="8"/>
        <rFont val="宋体"/>
        <family val="3"/>
        <charset val="134"/>
      </rPr>
      <t>土地价值</t>
    </r>
    <phoneticPr fontId="8" type="noConversion"/>
  </si>
  <si>
    <r>
      <rPr>
        <sz val="10"/>
        <color indexed="8"/>
        <rFont val="宋体"/>
        <family val="3"/>
        <charset val="134"/>
      </rPr>
      <t>土地价值</t>
    </r>
    <phoneticPr fontId="8" type="noConversion"/>
  </si>
  <si>
    <r>
      <rPr>
        <sz val="11"/>
        <color indexed="8"/>
        <rFont val="宋体"/>
        <family val="3"/>
        <charset val="134"/>
      </rPr>
      <t>建筑物价值</t>
    </r>
    <phoneticPr fontId="8" type="noConversion"/>
  </si>
  <si>
    <r>
      <rPr>
        <sz val="10"/>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</si>
  <si>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</si>
  <si>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</si>
  <si>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</si>
  <si>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</si>
  <si>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</si>
  <si>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</si>
  <si>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税费</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</si>
  <si>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</si>
  <si>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</si>
  <si>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</si>
  <si>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theme="1"/>
        <rFont val="宋体"/>
        <family val="3"/>
        <charset val="134"/>
      </rPr>
      <t>预计处置时需缴纳的各项地价、税费清单计算明细表</t>
    </r>
  </si>
  <si>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</si>
  <si>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</si>
  <si>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</si>
  <si>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0"/>
        <color theme="1"/>
        <rFont val="宋体"/>
        <family val="3"/>
        <charset val="134"/>
      </rPr>
      <t>估价对象基本情况</t>
    </r>
  </si>
  <si>
    <r>
      <rPr>
        <b/>
        <sz val="10"/>
        <color indexed="8"/>
        <rFont val="宋体"/>
        <family val="3"/>
        <charset val="134"/>
      </rPr>
      <t>处置时需缴纳的相关税费</t>
    </r>
    <phoneticPr fontId="8" type="noConversion"/>
  </si>
  <si>
    <r>
      <rPr>
        <b/>
        <sz val="10"/>
        <color theme="1"/>
        <rFont val="宋体"/>
        <family val="3"/>
        <charset val="134"/>
      </rPr>
      <t>估价对象</t>
    </r>
  </si>
  <si>
    <r>
      <rPr>
        <b/>
        <sz val="10"/>
        <color indexed="8"/>
        <rFont val="宋体"/>
        <family val="3"/>
        <charset val="134"/>
      </rPr>
      <t>税（费）种</t>
    </r>
    <phoneticPr fontId="8" type="noConversion"/>
  </si>
  <si>
    <r>
      <rPr>
        <sz val="10"/>
        <color indexed="8"/>
        <rFont val="宋体"/>
        <family val="3"/>
        <charset val="134"/>
      </rPr>
      <t>金额</t>
    </r>
    <phoneticPr fontId="8" type="noConversion"/>
  </si>
  <si>
    <r>
      <rPr>
        <sz val="10"/>
        <color indexed="8"/>
        <rFont val="宋体"/>
        <family val="3"/>
        <charset val="134"/>
      </rPr>
      <t>计算方法</t>
    </r>
    <phoneticPr fontId="8" type="noConversion"/>
  </si>
  <si>
    <r>
      <rPr>
        <b/>
        <sz val="10"/>
        <color indexed="8"/>
        <rFont val="宋体"/>
        <family val="3"/>
        <charset val="134"/>
      </rPr>
      <t>税（费）率</t>
    </r>
    <phoneticPr fontId="8" type="noConversion"/>
  </si>
  <si>
    <r>
      <rPr>
        <sz val="10"/>
        <color indexed="8"/>
        <rFont val="宋体"/>
        <family val="3"/>
        <charset val="134"/>
      </rPr>
      <t>备注</t>
    </r>
    <phoneticPr fontId="8" type="noConversion"/>
  </si>
  <si>
    <r>
      <rPr>
        <b/>
        <sz val="10"/>
        <color theme="1"/>
        <rFont val="宋体"/>
        <family val="3"/>
        <charset val="134"/>
      </rPr>
      <t>价值时点</t>
    </r>
  </si>
  <si>
    <r>
      <t>1.</t>
    </r>
    <r>
      <rPr>
        <sz val="10"/>
        <color indexed="8"/>
        <rFont val="宋体"/>
        <family val="3"/>
        <charset val="134"/>
      </rPr>
      <t>增值税及附加</t>
    </r>
    <phoneticPr fontId="8" type="noConversion"/>
  </si>
  <si>
    <r>
      <rPr>
        <sz val="10"/>
        <color indexed="10"/>
        <rFont val="宋体"/>
        <family val="3"/>
        <charset val="134"/>
      </rPr>
      <t>属于免缴时请录入面缴类别</t>
    </r>
    <phoneticPr fontId="8" type="noConversion"/>
  </si>
  <si>
    <r>
      <rPr>
        <sz val="10"/>
        <color indexed="8"/>
        <rFont val="宋体"/>
        <family val="3"/>
        <charset val="134"/>
      </rPr>
      <t>情况</t>
    </r>
    <r>
      <rPr>
        <sz val="10"/>
        <color indexed="8"/>
        <rFont val="Arial"/>
        <family val="2"/>
      </rPr>
      <t>3</t>
    </r>
  </si>
  <si>
    <r>
      <rPr>
        <b/>
        <sz val="10"/>
        <color theme="1"/>
        <rFont val="宋体"/>
        <family val="3"/>
        <charset val="134"/>
      </rPr>
      <t>评估总值</t>
    </r>
    <phoneticPr fontId="8" type="noConversion"/>
  </si>
  <si>
    <r>
      <rPr>
        <sz val="10"/>
        <color indexed="8"/>
        <rFont val="宋体"/>
        <family val="3"/>
        <charset val="134"/>
      </rPr>
      <t>情况</t>
    </r>
    <r>
      <rPr>
        <sz val="10"/>
        <color indexed="8"/>
        <rFont val="Arial"/>
        <family val="2"/>
      </rPr>
      <t>1</t>
    </r>
    <r>
      <rPr>
        <sz val="10"/>
        <color indexed="8"/>
        <rFont val="宋体"/>
        <family val="3"/>
        <charset val="134"/>
      </rPr>
      <t>：</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</si>
  <si>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年以上的普通住宅（北上广深）</t>
    </r>
    <phoneticPr fontId="8" type="noConversion"/>
  </si>
  <si>
    <r>
      <rPr>
        <sz val="10"/>
        <color indexed="8"/>
        <rFont val="宋体"/>
        <family val="3"/>
        <charset val="134"/>
      </rPr>
      <t>免征</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</si>
  <si>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年以上的住宅（非北上广深）</t>
    </r>
    <phoneticPr fontId="8" type="noConversion"/>
  </si>
  <si>
    <r>
      <rPr>
        <b/>
        <sz val="10"/>
        <color theme="1"/>
        <rFont val="宋体"/>
        <family val="3"/>
        <charset val="134"/>
      </rPr>
      <t>处置时需缴纳的相关税费</t>
    </r>
  </si>
  <si>
    <r>
      <rPr>
        <sz val="10"/>
        <color indexed="8"/>
        <rFont val="宋体"/>
        <family val="3"/>
        <charset val="134"/>
      </rPr>
      <t>个体工商户购买的住宅</t>
    </r>
    <phoneticPr fontId="8" type="noConversion"/>
  </si>
  <si>
    <r>
      <rPr>
        <b/>
        <sz val="10"/>
        <color theme="1"/>
        <rFont val="宋体"/>
        <family val="3"/>
        <charset val="134"/>
      </rPr>
      <t>序号</t>
    </r>
  </si>
  <si>
    <r>
      <rPr>
        <b/>
        <sz val="10"/>
        <color theme="1"/>
        <rFont val="宋体"/>
        <family val="3"/>
        <charset val="134"/>
      </rPr>
      <t>税（费）种</t>
    </r>
  </si>
  <si>
    <r>
      <rPr>
        <b/>
        <sz val="10"/>
        <color theme="1"/>
        <rFont val="宋体"/>
        <family val="3"/>
        <charset val="134"/>
      </rPr>
      <t>金额（元）</t>
    </r>
  </si>
  <si>
    <r>
      <rPr>
        <b/>
        <sz val="10"/>
        <color theme="1"/>
        <rFont val="宋体"/>
        <family val="3"/>
        <charset val="134"/>
      </rPr>
      <t>计算方法</t>
    </r>
  </si>
  <si>
    <r>
      <rPr>
        <b/>
        <sz val="10"/>
        <color theme="1"/>
        <rFont val="宋体"/>
        <family val="3"/>
        <charset val="134"/>
      </rPr>
      <t>税（费）率</t>
    </r>
  </si>
  <si>
    <r>
      <rPr>
        <sz val="10"/>
        <color indexed="8"/>
        <rFont val="宋体"/>
        <family val="3"/>
        <charset val="134"/>
      </rPr>
      <t>情况</t>
    </r>
    <r>
      <rPr>
        <sz val="10"/>
        <color indexed="8"/>
        <rFont val="Arial"/>
        <family val="2"/>
      </rPr>
      <t>2</t>
    </r>
    <r>
      <rPr>
        <sz val="10"/>
        <color indexed="8"/>
        <rFont val="宋体"/>
        <family val="3"/>
        <charset val="134"/>
      </rPr>
      <t>：</t>
    </r>
    <phoneticPr fontId="8" type="noConversion"/>
  </si>
  <si>
    <r>
      <rPr>
        <sz val="10"/>
        <color indexed="8"/>
        <rFont val="宋体"/>
        <family val="3"/>
        <charset val="134"/>
      </rPr>
      <t>个人购买的不足</t>
    </r>
    <r>
      <rPr>
        <sz val="10"/>
        <color indexed="8"/>
        <rFont val="Arial"/>
        <family val="2"/>
      </rPr>
      <t>2</t>
    </r>
    <r>
      <rPr>
        <sz val="10"/>
        <color indexed="8"/>
        <rFont val="宋体"/>
        <family val="3"/>
        <charset val="134"/>
      </rPr>
      <t>年的住宅</t>
    </r>
    <phoneticPr fontId="8" type="noConversion"/>
  </si>
  <si>
    <r>
      <rPr>
        <sz val="10"/>
        <color indexed="8"/>
        <rFont val="宋体"/>
        <family val="3"/>
        <charset val="134"/>
      </rPr>
      <t>全额计税</t>
    </r>
    <phoneticPr fontId="8" type="noConversion"/>
  </si>
  <si>
    <r>
      <rPr>
        <sz val="10"/>
        <color theme="1"/>
        <rFont val="宋体"/>
        <family val="3"/>
        <charset val="134"/>
      </rPr>
      <t>增值税及附加</t>
    </r>
    <phoneticPr fontId="8" type="noConversion"/>
  </si>
  <si>
    <r>
      <rPr>
        <sz val="10"/>
        <color indexed="8"/>
        <rFont val="宋体"/>
        <family val="3"/>
        <charset val="134"/>
      </rPr>
      <t>情况</t>
    </r>
    <r>
      <rPr>
        <sz val="10"/>
        <color indexed="8"/>
        <rFont val="Arial"/>
        <family val="2"/>
      </rPr>
      <t>3</t>
    </r>
    <r>
      <rPr>
        <sz val="10"/>
        <color indexed="8"/>
        <rFont val="宋体"/>
        <family val="3"/>
        <charset val="134"/>
      </rPr>
      <t>：</t>
    </r>
    <phoneticPr fontId="8" type="noConversion"/>
  </si>
  <si>
    <r>
      <rPr>
        <sz val="10"/>
        <color theme="1"/>
        <rFont val="宋体"/>
        <family val="3"/>
        <charset val="134"/>
      </rPr>
      <t>印花税</t>
    </r>
    <phoneticPr fontId="8" type="noConversion"/>
  </si>
  <si>
    <r>
      <rPr>
        <sz val="10"/>
        <color indexed="8"/>
        <rFont val="宋体"/>
        <family val="3"/>
        <charset val="134"/>
      </rPr>
      <t>情况</t>
    </r>
    <r>
      <rPr>
        <sz val="10"/>
        <color indexed="8"/>
        <rFont val="Arial"/>
        <family val="2"/>
      </rPr>
      <t>4</t>
    </r>
    <r>
      <rPr>
        <sz val="10"/>
        <color indexed="8"/>
        <rFont val="宋体"/>
        <family val="3"/>
        <charset val="134"/>
      </rPr>
      <t>：</t>
    </r>
    <phoneticPr fontId="8" type="noConversion"/>
  </si>
  <si>
    <r>
      <rPr>
        <sz val="10"/>
        <color indexed="8"/>
        <rFont val="宋体"/>
        <family val="3"/>
        <charset val="134"/>
      </rPr>
      <t>差额计税</t>
    </r>
    <phoneticPr fontId="8" type="noConversion"/>
  </si>
  <si>
    <r>
      <rPr>
        <sz val="10"/>
        <color theme="1"/>
        <rFont val="宋体"/>
        <family val="3"/>
        <charset val="134"/>
      </rPr>
      <t>土地增值税</t>
    </r>
    <phoneticPr fontId="8" type="noConversion"/>
  </si>
  <si>
    <r>
      <t>2.</t>
    </r>
    <r>
      <rPr>
        <sz val="10"/>
        <color indexed="8"/>
        <rFont val="宋体"/>
        <family val="3"/>
        <charset val="134"/>
      </rPr>
      <t>印花税</t>
    </r>
    <phoneticPr fontId="8" type="noConversion"/>
  </si>
  <si>
    <r>
      <rPr>
        <sz val="10"/>
        <color indexed="8"/>
        <rFont val="宋体"/>
        <family val="3"/>
        <charset val="134"/>
      </rPr>
      <t>销售额</t>
    </r>
    <r>
      <rPr>
        <sz val="10"/>
        <color indexed="8"/>
        <rFont val="Arial"/>
        <family val="2"/>
      </rPr>
      <t>×</t>
    </r>
    <r>
      <rPr>
        <sz val="10"/>
        <color indexed="8"/>
        <rFont val="宋体"/>
        <family val="3"/>
        <charset val="134"/>
      </rPr>
      <t>税（费）率</t>
    </r>
    <phoneticPr fontId="8" type="noConversion"/>
  </si>
  <si>
    <r>
      <rPr>
        <sz val="10"/>
        <color indexed="8"/>
        <rFont val="宋体"/>
        <family val="3"/>
        <charset val="134"/>
      </rPr>
      <t>正常</t>
    </r>
  </si>
  <si>
    <r>
      <t>3.</t>
    </r>
    <r>
      <rPr>
        <sz val="10"/>
        <color indexed="8"/>
        <rFont val="宋体"/>
        <family val="3"/>
        <charset val="134"/>
      </rPr>
      <t>土地增值税</t>
    </r>
    <phoneticPr fontId="8" type="noConversion"/>
  </si>
  <si>
    <r>
      <rPr>
        <sz val="10"/>
        <color indexed="8"/>
        <rFont val="宋体"/>
        <family val="3"/>
        <charset val="134"/>
      </rPr>
      <t>增值额</t>
    </r>
    <r>
      <rPr>
        <sz val="10"/>
        <color indexed="8"/>
        <rFont val="Arial"/>
        <family val="2"/>
      </rPr>
      <t>×</t>
    </r>
    <r>
      <rPr>
        <sz val="10"/>
        <color indexed="8"/>
        <rFont val="宋体"/>
        <family val="3"/>
        <charset val="134"/>
      </rPr>
      <t>税（费）率</t>
    </r>
    <phoneticPr fontId="8" type="noConversion"/>
  </si>
  <si>
    <r>
      <rPr>
        <sz val="10"/>
        <color rgb="FFFF0000"/>
        <rFont val="宋体"/>
        <family val="3"/>
        <charset val="134"/>
      </rPr>
      <t>属于免缴时请录入面缴类别</t>
    </r>
    <phoneticPr fontId="8" type="noConversion"/>
  </si>
  <si>
    <r>
      <rPr>
        <sz val="10"/>
        <color indexed="8"/>
        <rFont val="宋体"/>
        <family val="3"/>
        <charset val="134"/>
      </rPr>
      <t>个人住宅</t>
    </r>
    <phoneticPr fontId="8" type="noConversion"/>
  </si>
  <si>
    <r>
      <rPr>
        <sz val="10"/>
        <color theme="1"/>
        <rFont val="宋体"/>
        <family val="3"/>
        <charset val="134"/>
      </rPr>
      <t>合计</t>
    </r>
    <phoneticPr fontId="8" type="noConversion"/>
  </si>
  <si>
    <r>
      <rPr>
        <sz val="10"/>
        <color theme="1"/>
        <rFont val="宋体"/>
        <family val="3"/>
        <charset val="134"/>
      </rPr>
      <t>小写</t>
    </r>
  </si>
  <si>
    <r>
      <rPr>
        <sz val="10"/>
        <color indexed="8"/>
        <rFont val="宋体"/>
        <family val="3"/>
        <charset val="134"/>
      </rPr>
      <t>除情况</t>
    </r>
    <r>
      <rPr>
        <sz val="10"/>
        <color indexed="8"/>
        <rFont val="Arial"/>
        <family val="2"/>
      </rPr>
      <t>1</t>
    </r>
    <r>
      <rPr>
        <sz val="10"/>
        <color indexed="8"/>
        <rFont val="宋体"/>
        <family val="3"/>
        <charset val="134"/>
      </rPr>
      <t>以外的其他情形</t>
    </r>
    <phoneticPr fontId="8" type="noConversion"/>
  </si>
  <si>
    <r>
      <rPr>
        <sz val="10"/>
        <color indexed="8"/>
        <rFont val="宋体"/>
        <family val="3"/>
        <charset val="134"/>
      </rPr>
      <t>自行开发建设</t>
    </r>
  </si>
  <si>
    <r>
      <rPr>
        <sz val="10"/>
        <color theme="1"/>
        <rFont val="宋体"/>
        <family val="3"/>
        <charset val="134"/>
      </rPr>
      <t>大写</t>
    </r>
  </si>
  <si>
    <r>
      <t>4.</t>
    </r>
    <r>
      <rPr>
        <sz val="10"/>
        <color indexed="8"/>
        <rFont val="宋体"/>
        <family val="3"/>
        <charset val="134"/>
      </rPr>
      <t>个人所得税</t>
    </r>
    <phoneticPr fontId="8" type="noConversion"/>
  </si>
  <si>
    <r>
      <rPr>
        <sz val="10"/>
        <color theme="1"/>
        <rFont val="宋体"/>
        <family val="3"/>
        <charset val="134"/>
      </rPr>
      <t>抵押净值</t>
    </r>
    <phoneticPr fontId="8" type="noConversion"/>
  </si>
  <si>
    <r>
      <rPr>
        <b/>
        <sz val="10"/>
        <color indexed="8"/>
        <rFont val="宋体"/>
        <family val="3"/>
        <charset val="134"/>
      </rPr>
      <t>销售不动产增值税及附加计算</t>
    </r>
    <phoneticPr fontId="28" type="noConversion"/>
  </si>
  <si>
    <r>
      <rPr>
        <sz val="10"/>
        <color theme="1"/>
        <rFont val="宋体"/>
        <family val="3"/>
        <charset val="134"/>
      </rPr>
      <t>抵押净值单价</t>
    </r>
    <phoneticPr fontId="8" type="noConversion"/>
  </si>
  <si>
    <r>
      <rPr>
        <b/>
        <sz val="10"/>
        <rFont val="宋体"/>
        <family val="3"/>
        <charset val="134"/>
      </rPr>
      <t>项目</t>
    </r>
    <phoneticPr fontId="31" type="noConversion"/>
  </si>
  <si>
    <r>
      <rPr>
        <b/>
        <sz val="10"/>
        <rFont val="宋体"/>
        <family val="3"/>
        <charset val="134"/>
      </rPr>
      <t>系数</t>
    </r>
    <phoneticPr fontId="31" type="noConversion"/>
  </si>
  <si>
    <r>
      <rPr>
        <sz val="10"/>
        <color indexed="8"/>
        <rFont val="宋体"/>
        <family val="3"/>
        <charset val="134"/>
      </rPr>
      <t>备注</t>
    </r>
    <phoneticPr fontId="31" type="noConversion"/>
  </si>
  <si>
    <r>
      <rPr>
        <b/>
        <sz val="10"/>
        <rFont val="宋体"/>
        <family val="3"/>
        <charset val="134"/>
      </rPr>
      <t>销售额</t>
    </r>
    <phoneticPr fontId="28" type="noConversion"/>
  </si>
  <si>
    <r>
      <rPr>
        <sz val="10"/>
        <color rgb="FF000000"/>
        <rFont val="宋体"/>
        <family val="3"/>
        <charset val="134"/>
      </rPr>
      <t>其他处置费用</t>
    </r>
  </si>
  <si>
    <r>
      <rPr>
        <sz val="10"/>
        <color rgb="FF000000"/>
        <rFont val="宋体"/>
        <family val="3"/>
        <charset val="134"/>
      </rPr>
      <t>律师费</t>
    </r>
  </si>
  <si>
    <r>
      <rPr>
        <sz val="10"/>
        <rFont val="宋体"/>
        <family val="3"/>
        <charset val="134"/>
      </rPr>
      <t>全部价款</t>
    </r>
    <phoneticPr fontId="31" type="noConversion"/>
  </si>
  <si>
    <r>
      <rPr>
        <sz val="10"/>
        <color rgb="FF000000"/>
        <rFont val="宋体"/>
        <family val="3"/>
        <charset val="134"/>
      </rPr>
      <t>诉讼费</t>
    </r>
  </si>
  <si>
    <r>
      <rPr>
        <sz val="10"/>
        <color indexed="8"/>
        <rFont val="宋体"/>
        <family val="3"/>
        <charset val="134"/>
      </rPr>
      <t>最低</t>
    </r>
    <r>
      <rPr>
        <sz val="10"/>
        <color indexed="8"/>
        <rFont val="Arial"/>
        <family val="2"/>
      </rPr>
      <t>50</t>
    </r>
    <r>
      <rPr>
        <sz val="10"/>
        <color indexed="8"/>
        <rFont val="宋体"/>
        <family val="3"/>
        <charset val="134"/>
      </rPr>
      <t>元</t>
    </r>
    <phoneticPr fontId="4" type="noConversion"/>
  </si>
  <si>
    <r>
      <rPr>
        <sz val="10"/>
        <rFont val="宋体"/>
        <family val="3"/>
        <charset val="134"/>
      </rPr>
      <t>价外费用</t>
    </r>
    <phoneticPr fontId="28" type="noConversion"/>
  </si>
  <si>
    <r>
      <rPr>
        <sz val="10"/>
        <color rgb="FF000000"/>
        <rFont val="宋体"/>
        <family val="3"/>
        <charset val="134"/>
      </rPr>
      <t>执行费</t>
    </r>
  </si>
  <si>
    <r>
      <rPr>
        <b/>
        <sz val="10"/>
        <rFont val="宋体"/>
        <family val="3"/>
        <charset val="134"/>
      </rPr>
      <t>原购房价</t>
    </r>
    <r>
      <rPr>
        <b/>
        <sz val="10"/>
        <rFont val="Arial"/>
        <family val="2"/>
      </rPr>
      <t>/</t>
    </r>
    <r>
      <rPr>
        <b/>
        <sz val="10"/>
        <rFont val="宋体"/>
        <family val="3"/>
        <charset val="134"/>
      </rPr>
      <t>作价</t>
    </r>
    <phoneticPr fontId="31" type="noConversion"/>
  </si>
  <si>
    <r>
      <t>2016</t>
    </r>
    <r>
      <rPr>
        <sz val="10"/>
        <color rgb="FFFF0000"/>
        <rFont val="宋体"/>
        <family val="3"/>
        <charset val="134"/>
      </rPr>
      <t>年</t>
    </r>
    <r>
      <rPr>
        <sz val="10"/>
        <color rgb="FFFF0000"/>
        <rFont val="Arial"/>
        <family val="2"/>
      </rPr>
      <t>5</t>
    </r>
    <r>
      <rPr>
        <sz val="10"/>
        <color rgb="FFFF0000"/>
        <rFont val="宋体"/>
        <family val="3"/>
        <charset val="134"/>
      </rPr>
      <t>月</t>
    </r>
    <r>
      <rPr>
        <sz val="10"/>
        <color rgb="FFFF0000"/>
        <rFont val="Arial"/>
        <family val="2"/>
      </rPr>
      <t>1</t>
    </r>
    <r>
      <rPr>
        <sz val="10"/>
        <color rgb="FFFF0000"/>
        <rFont val="宋体"/>
        <family val="3"/>
        <charset val="134"/>
      </rPr>
      <t>日后购买的房地产请按原购房价</t>
    </r>
    <r>
      <rPr>
        <sz val="10"/>
        <color rgb="FFFF0000"/>
        <rFont val="Arial"/>
        <family val="2"/>
      </rPr>
      <t>/1.05</t>
    </r>
    <r>
      <rPr>
        <sz val="10"/>
        <color rgb="FFFF0000"/>
        <rFont val="宋体"/>
        <family val="3"/>
        <charset val="134"/>
      </rPr>
      <t>录入</t>
    </r>
    <phoneticPr fontId="8" type="noConversion"/>
  </si>
  <si>
    <r>
      <rPr>
        <sz val="10"/>
        <color rgb="FF000000"/>
        <rFont val="宋体"/>
        <family val="3"/>
        <charset val="134"/>
      </rPr>
      <t>诉讼保全费</t>
    </r>
  </si>
  <si>
    <r>
      <rPr>
        <sz val="10"/>
        <color indexed="8"/>
        <rFont val="宋体"/>
        <family val="3"/>
        <charset val="134"/>
      </rPr>
      <t>最高</t>
    </r>
    <r>
      <rPr>
        <sz val="10"/>
        <color indexed="8"/>
        <rFont val="Arial"/>
        <family val="2"/>
      </rPr>
      <t>5000</t>
    </r>
    <r>
      <rPr>
        <sz val="10"/>
        <color indexed="8"/>
        <rFont val="宋体"/>
        <family val="3"/>
        <charset val="134"/>
      </rPr>
      <t>元</t>
    </r>
    <phoneticPr fontId="4" type="noConversion"/>
  </si>
  <si>
    <r>
      <rPr>
        <b/>
        <sz val="10"/>
        <rFont val="宋体"/>
        <family val="3"/>
        <charset val="134"/>
      </rPr>
      <t>纳税基数</t>
    </r>
    <phoneticPr fontId="31" type="noConversion"/>
  </si>
  <si>
    <r>
      <rPr>
        <sz val="10"/>
        <color rgb="FF000000"/>
        <rFont val="宋体"/>
        <family val="3"/>
        <charset val="134"/>
      </rPr>
      <t>评估费</t>
    </r>
  </si>
  <si>
    <r>
      <rPr>
        <b/>
        <sz val="10"/>
        <rFont val="宋体"/>
        <family val="3"/>
        <charset val="134"/>
      </rPr>
      <t>纳税额</t>
    </r>
    <phoneticPr fontId="28" type="noConversion"/>
  </si>
  <si>
    <r>
      <rPr>
        <sz val="10"/>
        <color rgb="FF000000"/>
        <rFont val="宋体"/>
        <family val="3"/>
        <charset val="134"/>
      </rPr>
      <t>拍卖费</t>
    </r>
  </si>
  <si>
    <r>
      <rPr>
        <sz val="10"/>
        <color rgb="FF000000"/>
        <rFont val="宋体"/>
        <family val="3"/>
        <charset val="134"/>
      </rPr>
      <t>小计</t>
    </r>
  </si>
  <si>
    <r>
      <rPr>
        <b/>
        <sz val="10"/>
        <rFont val="宋体"/>
        <family val="3"/>
        <charset val="134"/>
      </rPr>
      <t>土地增值税（转让取得）</t>
    </r>
    <phoneticPr fontId="31" type="noConversion"/>
  </si>
  <si>
    <r>
      <rPr>
        <b/>
        <sz val="10"/>
        <rFont val="宋体"/>
        <family val="3"/>
        <charset val="134"/>
      </rPr>
      <t>转让收入</t>
    </r>
    <phoneticPr fontId="31" type="noConversion"/>
  </si>
  <si>
    <r>
      <rPr>
        <sz val="10"/>
        <color indexed="8"/>
        <rFont val="宋体"/>
        <family val="3"/>
        <charset val="134"/>
      </rPr>
      <t>应税收入，不含增值税</t>
    </r>
    <phoneticPr fontId="8" type="noConversion"/>
  </si>
  <si>
    <r>
      <rPr>
        <b/>
        <sz val="10"/>
        <color indexed="8"/>
        <rFont val="宋体"/>
        <family val="3"/>
        <charset val="134"/>
      </rPr>
      <t>扣除项合计</t>
    </r>
    <phoneticPr fontId="31" type="noConversion"/>
  </si>
  <si>
    <r>
      <rPr>
        <sz val="10"/>
        <rFont val="宋体"/>
        <family val="3"/>
        <charset val="134"/>
      </rPr>
      <t>原购房价及相关税费</t>
    </r>
    <phoneticPr fontId="31" type="noConversion"/>
  </si>
  <si>
    <r>
      <rPr>
        <sz val="10"/>
        <rFont val="宋体"/>
        <family val="3"/>
        <charset val="134"/>
      </rPr>
      <t>原购房价</t>
    </r>
    <phoneticPr fontId="31" type="noConversion"/>
  </si>
  <si>
    <r>
      <rPr>
        <sz val="11"/>
        <color indexed="8"/>
        <rFont val="宋体"/>
        <family val="3"/>
        <charset val="134"/>
      </rPr>
      <t>原购房价依据</t>
    </r>
    <phoneticPr fontId="28" type="noConversion"/>
  </si>
  <si>
    <r>
      <rPr>
        <sz val="11"/>
        <color indexed="8"/>
        <rFont val="宋体"/>
        <family val="3"/>
        <charset val="134"/>
      </rPr>
      <t>购房发票</t>
    </r>
  </si>
  <si>
    <r>
      <rPr>
        <sz val="11"/>
        <color indexed="8"/>
        <rFont val="宋体"/>
        <family val="3"/>
        <charset val="134"/>
      </rPr>
      <t>已购年限</t>
    </r>
    <phoneticPr fontId="28" type="noConversion"/>
  </si>
  <si>
    <r>
      <rPr>
        <sz val="10"/>
        <rFont val="宋体"/>
        <family val="3"/>
        <charset val="134"/>
      </rPr>
      <t>加计扣减项</t>
    </r>
    <phoneticPr fontId="28" type="noConversion"/>
  </si>
  <si>
    <r>
      <rPr>
        <sz val="10"/>
        <color indexed="8"/>
        <rFont val="宋体"/>
        <family val="3"/>
        <charset val="134"/>
      </rPr>
      <t>有购房发票的可按发票所载金额并</t>
    </r>
    <r>
      <rPr>
        <b/>
        <sz val="10"/>
        <color indexed="8"/>
        <rFont val="宋体"/>
        <family val="3"/>
        <charset val="134"/>
      </rPr>
      <t>从购买年度起至转让年度止</t>
    </r>
    <r>
      <rPr>
        <sz val="10"/>
        <color indexed="8"/>
        <rFont val="宋体"/>
        <family val="3"/>
        <charset val="134"/>
      </rPr>
      <t>每年加计</t>
    </r>
    <r>
      <rPr>
        <sz val="10"/>
        <color indexed="8"/>
        <rFont val="Arial"/>
        <family val="2"/>
      </rPr>
      <t>5%</t>
    </r>
    <r>
      <rPr>
        <sz val="10"/>
        <color indexed="8"/>
        <rFont val="宋体"/>
        <family val="3"/>
        <charset val="134"/>
      </rPr>
      <t>计算</t>
    </r>
    <phoneticPr fontId="31" type="noConversion"/>
  </si>
  <si>
    <r>
      <rPr>
        <sz val="10"/>
        <rFont val="宋体"/>
        <family val="3"/>
        <charset val="134"/>
      </rPr>
      <t>相关税费</t>
    </r>
    <phoneticPr fontId="31" type="noConversion"/>
  </si>
  <si>
    <r>
      <rPr>
        <sz val="10"/>
        <color indexed="8"/>
        <rFont val="宋体"/>
        <family val="3"/>
        <charset val="134"/>
      </rPr>
      <t>含契税及印花税</t>
    </r>
    <phoneticPr fontId="31" type="noConversion"/>
  </si>
  <si>
    <r>
      <t>2016</t>
    </r>
    <r>
      <rPr>
        <sz val="10"/>
        <color indexed="8"/>
        <rFont val="宋体"/>
        <family val="3"/>
        <charset val="134"/>
      </rPr>
      <t>年</t>
    </r>
    <r>
      <rPr>
        <sz val="10"/>
        <color indexed="8"/>
        <rFont val="Arial"/>
        <family val="2"/>
      </rPr>
      <t>5</t>
    </r>
    <r>
      <rPr>
        <sz val="10"/>
        <color indexed="8"/>
        <rFont val="宋体"/>
        <family val="3"/>
        <charset val="134"/>
      </rPr>
      <t>月</t>
    </r>
    <r>
      <rPr>
        <sz val="10"/>
        <color indexed="8"/>
        <rFont val="Arial"/>
        <family val="2"/>
      </rPr>
      <t>1</t>
    </r>
    <r>
      <rPr>
        <sz val="10"/>
        <color indexed="8"/>
        <rFont val="宋体"/>
        <family val="3"/>
        <charset val="134"/>
      </rPr>
      <t>日后购买</t>
    </r>
  </si>
  <si>
    <r>
      <rPr>
        <sz val="10"/>
        <rFont val="宋体"/>
        <family val="3"/>
        <charset val="134"/>
      </rPr>
      <t>转让税金支出</t>
    </r>
    <phoneticPr fontId="31" type="noConversion"/>
  </si>
  <si>
    <r>
      <rPr>
        <sz val="10"/>
        <color indexed="8"/>
        <rFont val="宋体"/>
        <family val="3"/>
        <charset val="134"/>
      </rPr>
      <t>不含增值税，仅附加税</t>
    </r>
    <phoneticPr fontId="28" type="noConversion"/>
  </si>
  <si>
    <r>
      <rPr>
        <b/>
        <sz val="10"/>
        <rFont val="宋体"/>
        <family val="3"/>
        <charset val="134"/>
      </rPr>
      <t>增值额</t>
    </r>
    <phoneticPr fontId="31" type="noConversion"/>
  </si>
  <si>
    <r>
      <rPr>
        <b/>
        <sz val="10"/>
        <rFont val="宋体"/>
        <family val="3"/>
        <charset val="134"/>
      </rPr>
      <t>增值额与扣除项比率</t>
    </r>
    <phoneticPr fontId="31" type="noConversion"/>
  </si>
  <si>
    <r>
      <rPr>
        <b/>
        <sz val="10"/>
        <rFont val="宋体"/>
        <family val="3"/>
        <charset val="134"/>
      </rPr>
      <t>应纳增值税税额</t>
    </r>
    <phoneticPr fontId="31" type="noConversion"/>
  </si>
  <si>
    <r>
      <rPr>
        <b/>
        <sz val="10"/>
        <rFont val="宋体"/>
        <family val="3"/>
        <charset val="134"/>
      </rPr>
      <t>土地增值税（自行开发建设）</t>
    </r>
    <phoneticPr fontId="31" type="noConversion"/>
  </si>
  <si>
    <r>
      <rPr>
        <sz val="10"/>
        <rFont val="宋体"/>
        <family val="3"/>
        <charset val="134"/>
      </rPr>
      <t>土地取得成本</t>
    </r>
    <phoneticPr fontId="31" type="noConversion"/>
  </si>
  <si>
    <r>
      <rPr>
        <sz val="10"/>
        <rFont val="宋体"/>
        <family val="3"/>
        <charset val="134"/>
      </rPr>
      <t>土地取得费用</t>
    </r>
    <phoneticPr fontId="31" type="noConversion"/>
  </si>
  <si>
    <r>
      <rPr>
        <sz val="10"/>
        <color indexed="8"/>
        <rFont val="宋体"/>
        <family val="3"/>
        <charset val="134"/>
      </rPr>
      <t>依据出让合同</t>
    </r>
    <phoneticPr fontId="28" type="noConversion"/>
  </si>
  <si>
    <r>
      <rPr>
        <sz val="9"/>
        <color indexed="8"/>
        <rFont val="宋体"/>
        <family val="3"/>
        <charset val="134"/>
      </rPr>
      <t>出让价款内涵：</t>
    </r>
    <phoneticPr fontId="28" type="noConversion"/>
  </si>
  <si>
    <r>
      <rPr>
        <sz val="10"/>
        <color indexed="8"/>
        <rFont val="宋体"/>
        <family val="3"/>
        <charset val="134"/>
      </rPr>
      <t>契税及印花税</t>
    </r>
    <phoneticPr fontId="28" type="noConversion"/>
  </si>
  <si>
    <r>
      <rPr>
        <sz val="10"/>
        <rFont val="宋体"/>
        <family val="3"/>
        <charset val="134"/>
      </rPr>
      <t>土地开发费</t>
    </r>
    <phoneticPr fontId="31" type="noConversion"/>
  </si>
  <si>
    <r>
      <rPr>
        <sz val="10"/>
        <rFont val="宋体"/>
        <family val="3"/>
        <charset val="134"/>
      </rPr>
      <t>建造成本</t>
    </r>
    <phoneticPr fontId="31" type="noConversion"/>
  </si>
  <si>
    <r>
      <rPr>
        <sz val="10"/>
        <color indexed="8"/>
        <rFont val="宋体"/>
        <family val="3"/>
        <charset val="134"/>
      </rPr>
      <t>包括前期工程费、建筑安装工程费、基础设施费和公共配套费等</t>
    </r>
    <phoneticPr fontId="28" type="noConversion"/>
  </si>
  <si>
    <r>
      <rPr>
        <sz val="10"/>
        <color indexed="8"/>
        <rFont val="宋体"/>
        <family val="3"/>
        <charset val="134"/>
      </rPr>
      <t>企业提供（在右侧录入）</t>
    </r>
  </si>
  <si>
    <r>
      <rPr>
        <sz val="10"/>
        <rFont val="宋体"/>
        <family val="3"/>
        <charset val="134"/>
      </rPr>
      <t>开发费用扣除</t>
    </r>
    <phoneticPr fontId="31" type="noConversion"/>
  </si>
  <si>
    <r>
      <rPr>
        <sz val="10"/>
        <color indexed="8"/>
        <rFont val="宋体"/>
        <family val="3"/>
        <charset val="134"/>
      </rPr>
      <t>凡不能按转让房地产项目计算分摊利息支出或不能提供金融机构证明的，按土地及建筑总投的</t>
    </r>
    <r>
      <rPr>
        <sz val="10"/>
        <color indexed="8"/>
        <rFont val="Arial"/>
        <family val="2"/>
      </rPr>
      <t>10%</t>
    </r>
    <r>
      <rPr>
        <sz val="10"/>
        <color indexed="8"/>
        <rFont val="宋体"/>
        <family val="3"/>
        <charset val="134"/>
      </rPr>
      <t>以内；含销售、管理、财务费用</t>
    </r>
    <phoneticPr fontId="28" type="noConversion"/>
  </si>
  <si>
    <r>
      <rPr>
        <sz val="10"/>
        <rFont val="宋体"/>
        <family val="3"/>
        <charset val="134"/>
      </rPr>
      <t>加计扣除金额</t>
    </r>
    <phoneticPr fontId="31" type="noConversion"/>
  </si>
  <si>
    <r>
      <rPr>
        <sz val="10"/>
        <color indexed="8"/>
        <rFont val="宋体"/>
        <family val="3"/>
        <charset val="134"/>
      </rPr>
      <t>对专门从事房地产开发的企业可以按</t>
    </r>
    <r>
      <rPr>
        <sz val="10"/>
        <color indexed="8"/>
        <rFont val="Arial"/>
        <family val="2"/>
      </rPr>
      <t>20</t>
    </r>
    <r>
      <rPr>
        <sz val="10"/>
        <color indexed="8"/>
        <rFont val="宋体"/>
        <family val="3"/>
        <charset val="134"/>
      </rPr>
      <t>％计算扣除；如为土地，则仅将土地开发费加计</t>
    </r>
    <r>
      <rPr>
        <sz val="10"/>
        <color indexed="8"/>
        <rFont val="Arial"/>
        <family val="2"/>
      </rPr>
      <t>20%</t>
    </r>
    <r>
      <rPr>
        <sz val="10"/>
        <color indexed="8"/>
        <rFont val="宋体"/>
        <family val="3"/>
        <charset val="134"/>
      </rPr>
      <t>扣减</t>
    </r>
    <phoneticPr fontId="28" type="noConversion"/>
  </si>
  <si>
    <r>
      <rPr>
        <b/>
        <sz val="14"/>
        <color rgb="FFFF0000"/>
        <rFont val="宋体"/>
        <family val="3"/>
        <charset val="134"/>
      </rPr>
      <t>估价结果</t>
    </r>
    <phoneticPr fontId="8" type="noConversion"/>
  </si>
  <si>
    <r>
      <rPr>
        <b/>
        <sz val="11"/>
        <color indexed="8"/>
        <rFont val="宋体"/>
        <family val="3"/>
        <charset val="134"/>
      </rPr>
      <t>结果表</t>
    </r>
    <r>
      <rPr>
        <b/>
        <sz val="11"/>
        <color indexed="8"/>
        <rFont val="Arial"/>
        <family val="2"/>
      </rPr>
      <t>-1</t>
    </r>
    <phoneticPr fontId="8" type="noConversion"/>
  </si>
  <si>
    <r>
      <rPr>
        <b/>
        <sz val="12"/>
        <color indexed="8"/>
        <rFont val="宋体"/>
        <family val="3"/>
        <charset val="134"/>
      </rPr>
      <t>结果表</t>
    </r>
    <r>
      <rPr>
        <b/>
        <sz val="12"/>
        <color indexed="8"/>
        <rFont val="Arial"/>
        <family val="2"/>
      </rPr>
      <t>-2</t>
    </r>
    <r>
      <rPr>
        <b/>
        <i/>
        <sz val="12"/>
        <color theme="3" tint="0.39997558519241921"/>
        <rFont val="宋体"/>
        <family val="3"/>
        <charset val="134"/>
      </rPr>
      <t>抵押专用</t>
    </r>
    <phoneticPr fontId="8" type="noConversion"/>
  </si>
  <si>
    <r>
      <t xml:space="preserve">                </t>
    </r>
    <r>
      <rPr>
        <sz val="12"/>
        <color rgb="FF000000"/>
        <rFont val="宋体"/>
        <family val="3"/>
        <charset val="134"/>
      </rPr>
      <t>估价方法相关结果</t>
    </r>
  </si>
  <si>
    <r>
      <rPr>
        <b/>
        <sz val="11"/>
        <color indexed="8"/>
        <rFont val="宋体"/>
        <family val="3"/>
        <charset val="134"/>
      </rPr>
      <t>结果表</t>
    </r>
    <r>
      <rPr>
        <b/>
        <sz val="11"/>
        <color indexed="8"/>
        <rFont val="Arial"/>
        <family val="2"/>
      </rPr>
      <t>-2</t>
    </r>
    <r>
      <rPr>
        <b/>
        <sz val="11"/>
        <color indexed="8"/>
        <rFont val="宋体"/>
        <family val="3"/>
        <charset val="134"/>
      </rPr>
      <t>（土地证版）</t>
    </r>
    <r>
      <rPr>
        <b/>
        <i/>
        <sz val="11"/>
        <color theme="3" tint="0.39997558519241921"/>
        <rFont val="宋体"/>
        <family val="3"/>
        <charset val="134"/>
      </rPr>
      <t>抵押专用</t>
    </r>
    <phoneticPr fontId="79"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</si>
  <si>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</si>
  <si>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b/>
        <sz val="12"/>
        <color rgb="FFFF0000"/>
        <rFont val="宋体"/>
        <family val="3"/>
        <charset val="134"/>
      </rPr>
      <t>测算中的特殊事项处理</t>
    </r>
    <phoneticPr fontId="8" type="noConversion"/>
  </si>
  <si>
    <r>
      <rPr>
        <b/>
        <sz val="16"/>
        <color indexed="8"/>
        <rFont val="宋体"/>
        <family val="3"/>
        <charset val="134"/>
      </rPr>
      <t>无</t>
    </r>
  </si>
  <si>
    <r>
      <rPr>
        <b/>
        <sz val="10"/>
        <color indexed="8"/>
        <rFont val="宋体"/>
        <family val="3"/>
        <charset val="134"/>
      </rPr>
      <t>测算人员：</t>
    </r>
    <r>
      <rPr>
        <b/>
        <sz val="10"/>
        <color indexed="8"/>
        <rFont val="Arial"/>
        <family val="2"/>
      </rPr>
      <t xml:space="preserve">      </t>
    </r>
    <phoneticPr fontId="4" type="noConversion"/>
  </si>
  <si>
    <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</si>
  <si>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初审意见：</t>
    </r>
    <r>
      <rPr>
        <b/>
        <sz val="10"/>
        <color indexed="8"/>
        <rFont val="Arial"/>
        <family val="2"/>
      </rPr>
      <t xml:space="preserve">      </t>
    </r>
    <phoneticPr fontId="4" type="noConversion"/>
  </si>
  <si>
    <r>
      <rPr>
        <sz val="10"/>
        <color indexed="8"/>
        <rFont val="宋体"/>
        <family val="3"/>
        <charset val="134"/>
      </rPr>
      <t>签字：</t>
    </r>
    <r>
      <rPr>
        <sz val="10"/>
        <color indexed="8"/>
        <rFont val="Arial"/>
        <family val="2"/>
      </rP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</si>
  <si>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终审意见：</t>
    </r>
    <r>
      <rPr>
        <b/>
        <sz val="10"/>
        <color indexed="8"/>
        <rFont val="Arial"/>
        <family val="2"/>
      </rPr>
      <t xml:space="preserve">      </t>
    </r>
    <phoneticPr fontId="4" type="noConversion"/>
  </si>
  <si>
    <r>
      <rPr>
        <b/>
        <sz val="14"/>
        <color rgb="FFFF0000"/>
        <rFont val="宋体"/>
        <family val="3"/>
        <charset val="134"/>
      </rPr>
      <t>估价结果（过程）</t>
    </r>
    <phoneticPr fontId="8" type="noConversion"/>
  </si>
  <si>
    <r>
      <rPr>
        <b/>
        <u/>
        <sz val="11"/>
        <color rgb="FFFF0000"/>
        <rFont val="宋体"/>
        <family val="3"/>
        <charset val="134"/>
      </rPr>
      <t>典型户型权重结果</t>
    </r>
    <phoneticPr fontId="91" type="noConversion"/>
  </si>
  <si>
    <r>
      <rPr>
        <sz val="10"/>
        <color indexed="8"/>
        <rFont val="宋体"/>
        <family val="3"/>
        <charset val="134"/>
      </rPr>
      <t>打分考虑因素</t>
    </r>
    <phoneticPr fontId="8" type="noConversion"/>
  </si>
  <si>
    <r>
      <rPr>
        <sz val="11"/>
        <color indexed="8"/>
        <rFont val="宋体"/>
        <family val="3"/>
        <charset val="134"/>
      </rPr>
      <t>标准价</t>
    </r>
  </si>
  <si>
    <r>
      <rPr>
        <sz val="11"/>
        <color rgb="FFFF0000"/>
        <rFont val="宋体"/>
        <family val="3"/>
        <charset val="134"/>
      </rPr>
      <t>合计</t>
    </r>
    <phoneticPr fontId="8" type="noConversion"/>
  </si>
  <si>
    <r>
      <rPr>
        <b/>
        <u/>
        <sz val="11"/>
        <color rgb="FFFF0000"/>
        <rFont val="宋体"/>
        <family val="3"/>
        <charset val="134"/>
      </rPr>
      <t>估价对象总值</t>
    </r>
    <phoneticPr fontId="91" type="noConversion"/>
  </si>
  <si>
    <r>
      <rPr>
        <b/>
        <sz val="11"/>
        <color indexed="8"/>
        <rFont val="宋体"/>
        <family val="3"/>
        <charset val="134"/>
      </rPr>
      <t>基准户型楼面单价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</si>
  <si>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</si>
  <si>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b/>
        <sz val="11"/>
        <color indexed="8"/>
        <rFont val="宋体"/>
        <family val="3"/>
        <charset val="134"/>
      </rPr>
      <t>房地产总值</t>
    </r>
    <phoneticPr fontId="91" type="noConversion"/>
  </si>
  <si>
    <r>
      <rPr>
        <b/>
        <sz val="11"/>
        <color indexed="8"/>
        <rFont val="宋体"/>
        <family val="3"/>
        <charset val="134"/>
      </rPr>
      <t>总价</t>
    </r>
    <phoneticPr fontId="91" type="noConversion"/>
  </si>
  <si>
    <r>
      <rPr>
        <b/>
        <sz val="11"/>
        <color indexed="8"/>
        <rFont val="宋体"/>
        <family val="3"/>
        <charset val="134"/>
      </rPr>
      <t>平均楼面单价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</si>
  <si>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</si>
  <si>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sz val="11"/>
        <color indexed="8"/>
        <rFont val="宋体"/>
        <family val="3"/>
        <charset val="134"/>
      </rPr>
      <t>土地价值</t>
    </r>
    <phoneticPr fontId="8" type="noConversion"/>
  </si>
  <si>
    <r>
      <rPr>
        <sz val="11"/>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</si>
  <si>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</si>
  <si>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</si>
  <si>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</si>
  <si>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</si>
  <si>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</si>
  <si>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</si>
  <si>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</si>
  <si>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</si>
  <si>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税费</t>
    </r>
    <phoneticPr fontId="8" type="noConversion"/>
  </si>
  <si>
    <r>
      <rPr>
        <sz val="11"/>
        <color rgb="FFFF0000"/>
        <rFont val="宋体"/>
        <family val="3"/>
        <charset val="134"/>
      </rPr>
      <t>总值</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</si>
  <si>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</si>
  <si>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</si>
  <si>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</si>
  <si>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</si>
  <si>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</si>
  <si>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</si>
  <si>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</si>
  <si>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b/>
        <sz val="16"/>
        <color indexed="10"/>
        <rFont val="宋体"/>
        <family val="3"/>
        <charset val="134"/>
      </rPr>
      <t>成本法</t>
    </r>
    <phoneticPr fontId="1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</si>
  <si>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</si>
  <si>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</si>
  <si>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2"/>
        <rFont val="宋体"/>
        <family val="3"/>
        <charset val="134"/>
      </rPr>
      <t>元</t>
    </r>
    <r>
      <rPr>
        <b/>
        <sz val="12"/>
        <rFont val="Arial"/>
        <family val="2"/>
      </rPr>
      <t>/</t>
    </r>
    <r>
      <rPr>
        <b/>
        <sz val="12"/>
        <rFont val="宋体"/>
        <family val="3"/>
        <charset val="134"/>
      </rPr>
      <t>平方米</t>
    </r>
    <phoneticPr fontId="15" type="noConversion"/>
  </si>
  <si>
    <r>
      <t>1.</t>
    </r>
    <r>
      <rPr>
        <b/>
        <sz val="12"/>
        <rFont val="宋体"/>
        <family val="3"/>
        <charset val="134"/>
      </rPr>
      <t>土地价值</t>
    </r>
    <phoneticPr fontId="14" type="noConversion"/>
  </si>
  <si>
    <r>
      <rPr>
        <b/>
        <sz val="10"/>
        <rFont val="宋体"/>
        <family val="3"/>
        <charset val="134"/>
      </rPr>
      <t>（</t>
    </r>
    <r>
      <rPr>
        <b/>
        <sz val="10"/>
        <rFont val="Arial"/>
        <family val="2"/>
      </rPr>
      <t>1</t>
    </r>
    <r>
      <rPr>
        <b/>
        <sz val="10"/>
        <rFont val="宋体"/>
        <family val="3"/>
        <charset val="134"/>
      </rPr>
      <t>）</t>
    </r>
    <phoneticPr fontId="15" type="noConversion"/>
  </si>
  <si>
    <r>
      <rPr>
        <b/>
        <sz val="10"/>
        <rFont val="宋体"/>
        <family val="3"/>
        <charset val="134"/>
      </rPr>
      <t>土地取得成本</t>
    </r>
    <phoneticPr fontId="14" type="noConversion"/>
  </si>
  <si>
    <r>
      <rPr>
        <b/>
        <sz val="10"/>
        <rFont val="宋体"/>
        <family val="3"/>
        <charset val="134"/>
      </rPr>
      <t>面积</t>
    </r>
    <phoneticPr fontId="14" type="noConversion"/>
  </si>
  <si>
    <r>
      <rPr>
        <b/>
        <sz val="10"/>
        <rFont val="宋体"/>
        <family val="3"/>
        <charset val="134"/>
      </rPr>
      <t>单价</t>
    </r>
    <phoneticPr fontId="14" type="noConversion"/>
  </si>
  <si>
    <r>
      <rPr>
        <b/>
        <sz val="10"/>
        <rFont val="宋体"/>
        <family val="3"/>
        <charset val="134"/>
      </rPr>
      <t>系数</t>
    </r>
    <phoneticPr fontId="14" type="noConversion"/>
  </si>
  <si>
    <r>
      <t>1</t>
    </r>
    <r>
      <rPr>
        <sz val="10"/>
        <rFont val="宋体"/>
        <family val="3"/>
        <charset val="134"/>
      </rPr>
      <t>）</t>
    </r>
    <phoneticPr fontId="14" type="noConversion"/>
  </si>
  <si>
    <r>
      <rPr>
        <sz val="10"/>
        <rFont val="宋体"/>
        <family val="3"/>
        <charset val="134"/>
      </rPr>
      <t>土地购买价格</t>
    </r>
    <phoneticPr fontId="15" type="noConversion"/>
  </si>
  <si>
    <r>
      <t>2</t>
    </r>
    <r>
      <rPr>
        <sz val="10"/>
        <rFont val="宋体"/>
        <family val="3"/>
        <charset val="134"/>
      </rPr>
      <t>）</t>
    </r>
  </si>
  <si>
    <r>
      <rPr>
        <sz val="10"/>
        <rFont val="宋体"/>
        <family val="3"/>
        <charset val="134"/>
      </rPr>
      <t>土地取得税费</t>
    </r>
  </si>
  <si>
    <r>
      <t>3</t>
    </r>
    <r>
      <rPr>
        <sz val="10"/>
        <rFont val="宋体"/>
        <family val="3"/>
        <charset val="134"/>
      </rPr>
      <t>）</t>
    </r>
  </si>
  <si>
    <r>
      <rPr>
        <sz val="10"/>
        <rFont val="宋体"/>
        <family val="3"/>
        <charset val="134"/>
      </rPr>
      <t>城市基础设施建设费（行政收费）</t>
    </r>
    <phoneticPr fontId="14" type="noConversion"/>
  </si>
  <si>
    <r>
      <rPr>
        <i/>
        <sz val="10"/>
        <rFont val="宋体"/>
        <family val="3"/>
        <charset val="134"/>
      </rPr>
      <t>住宅</t>
    </r>
    <phoneticPr fontId="14" type="noConversion"/>
  </si>
  <si>
    <r>
      <rPr>
        <i/>
        <sz val="10"/>
        <rFont val="宋体"/>
        <family val="3"/>
        <charset val="134"/>
      </rPr>
      <t>非住宅</t>
    </r>
    <phoneticPr fontId="14" type="noConversion"/>
  </si>
  <si>
    <r>
      <rPr>
        <sz val="10"/>
        <rFont val="宋体"/>
        <family val="3"/>
        <charset val="134"/>
      </rPr>
      <t>土地使用权出让金</t>
    </r>
    <phoneticPr fontId="14" type="noConversion"/>
  </si>
  <si>
    <r>
      <rPr>
        <sz val="10"/>
        <rFont val="宋体"/>
        <family val="3"/>
        <charset val="134"/>
      </rPr>
      <t>相关税费</t>
    </r>
    <phoneticPr fontId="14" type="noConversion"/>
  </si>
  <si>
    <r>
      <rPr>
        <sz val="10"/>
        <rFont val="宋体"/>
        <family val="3"/>
        <charset val="134"/>
      </rPr>
      <t>征地补偿安置费及其相关税费</t>
    </r>
    <phoneticPr fontId="14" type="noConversion"/>
  </si>
  <si>
    <r>
      <rPr>
        <sz val="10"/>
        <rFont val="宋体"/>
        <family val="3"/>
        <charset val="134"/>
      </rPr>
      <t>以建筑面积为计算基数，按各区发文标准</t>
    </r>
    <phoneticPr fontId="14" type="noConversion"/>
  </si>
  <si>
    <r>
      <rPr>
        <sz val="10"/>
        <rFont val="宋体"/>
        <family val="3"/>
        <charset val="134"/>
      </rPr>
      <t>出让金</t>
    </r>
    <phoneticPr fontId="14" type="noConversion"/>
  </si>
  <si>
    <r>
      <rPr>
        <sz val="10"/>
        <rFont val="宋体"/>
        <family val="3"/>
        <charset val="134"/>
      </rPr>
      <t>采用比较法求取</t>
    </r>
    <phoneticPr fontId="14" type="noConversion"/>
  </si>
  <si>
    <r>
      <rPr>
        <sz val="10"/>
        <rFont val="宋体"/>
        <family val="3"/>
        <charset val="134"/>
      </rPr>
      <t>开发补偿费用</t>
    </r>
    <phoneticPr fontId="14" type="noConversion"/>
  </si>
  <si>
    <r>
      <rPr>
        <sz val="10"/>
        <rFont val="宋体"/>
        <family val="3"/>
        <charset val="134"/>
      </rPr>
      <t>契税及印花税</t>
    </r>
    <phoneticPr fontId="14" type="noConversion"/>
  </si>
  <si>
    <r>
      <rPr>
        <sz val="10"/>
        <rFont val="宋体"/>
        <family val="3"/>
        <charset val="134"/>
      </rPr>
      <t>以上述三项为基数计算</t>
    </r>
    <phoneticPr fontId="14" type="noConversion"/>
  </si>
  <si>
    <r>
      <rPr>
        <b/>
        <sz val="10"/>
        <rFont val="宋体"/>
        <family val="3"/>
        <charset val="134"/>
      </rPr>
      <t>（</t>
    </r>
    <r>
      <rPr>
        <b/>
        <sz val="10"/>
        <rFont val="Arial"/>
        <family val="2"/>
      </rPr>
      <t>2</t>
    </r>
    <r>
      <rPr>
        <b/>
        <sz val="10"/>
        <rFont val="宋体"/>
        <family val="3"/>
        <charset val="134"/>
      </rPr>
      <t>）</t>
    </r>
    <phoneticPr fontId="15" type="noConversion"/>
  </si>
  <si>
    <r>
      <rPr>
        <b/>
        <sz val="10"/>
        <rFont val="宋体"/>
        <family val="3"/>
        <charset val="134"/>
      </rPr>
      <t>土地开发费用</t>
    </r>
    <r>
      <rPr>
        <b/>
        <sz val="10"/>
        <rFont val="Arial"/>
        <family val="2"/>
      </rPr>
      <t>-</t>
    </r>
    <r>
      <rPr>
        <b/>
        <sz val="10"/>
        <rFont val="宋体"/>
        <family val="3"/>
        <charset val="134"/>
      </rPr>
      <t>红线外</t>
    </r>
    <phoneticPr fontId="14" type="noConversion"/>
  </si>
  <si>
    <r>
      <rPr>
        <b/>
        <sz val="10"/>
        <rFont val="宋体"/>
        <family val="3"/>
        <charset val="134"/>
      </rPr>
      <t>（</t>
    </r>
    <r>
      <rPr>
        <b/>
        <sz val="10"/>
        <rFont val="Arial"/>
        <family val="2"/>
      </rPr>
      <t>3</t>
    </r>
    <r>
      <rPr>
        <b/>
        <sz val="10"/>
        <rFont val="宋体"/>
        <family val="3"/>
        <charset val="134"/>
      </rPr>
      <t>）</t>
    </r>
  </si>
  <si>
    <r>
      <rPr>
        <b/>
        <sz val="10"/>
        <rFont val="宋体"/>
        <family val="3"/>
        <charset val="134"/>
      </rPr>
      <t>管理费用</t>
    </r>
    <phoneticPr fontId="14" type="noConversion"/>
  </si>
  <si>
    <r>
      <rPr>
        <b/>
        <sz val="10"/>
        <rFont val="宋体"/>
        <family val="3"/>
        <charset val="134"/>
      </rPr>
      <t>以（</t>
    </r>
    <r>
      <rPr>
        <b/>
        <sz val="10"/>
        <rFont val="Arial"/>
        <family val="2"/>
      </rPr>
      <t>1</t>
    </r>
    <r>
      <rPr>
        <b/>
        <sz val="10"/>
        <rFont val="宋体"/>
        <family val="3"/>
        <charset val="134"/>
      </rPr>
      <t>）、（</t>
    </r>
    <r>
      <rPr>
        <b/>
        <sz val="10"/>
        <rFont val="Arial"/>
        <family val="2"/>
      </rPr>
      <t>2</t>
    </r>
    <r>
      <rPr>
        <b/>
        <sz val="10"/>
        <rFont val="宋体"/>
        <family val="3"/>
        <charset val="134"/>
      </rPr>
      <t>）项为基数</t>
    </r>
    <phoneticPr fontId="14" type="noConversion"/>
  </si>
  <si>
    <r>
      <rPr>
        <b/>
        <sz val="10"/>
        <rFont val="宋体"/>
        <family val="3"/>
        <charset val="134"/>
      </rPr>
      <t>（</t>
    </r>
    <r>
      <rPr>
        <b/>
        <sz val="10"/>
        <rFont val="Arial"/>
        <family val="2"/>
      </rPr>
      <t>4</t>
    </r>
    <r>
      <rPr>
        <b/>
        <sz val="10"/>
        <rFont val="宋体"/>
        <family val="3"/>
        <charset val="134"/>
      </rPr>
      <t>）</t>
    </r>
  </si>
  <si>
    <r>
      <rPr>
        <b/>
        <sz val="10"/>
        <rFont val="宋体"/>
        <family val="3"/>
        <charset val="134"/>
      </rPr>
      <t>销售费用</t>
    </r>
    <phoneticPr fontId="14" type="noConversion"/>
  </si>
  <si>
    <r>
      <t>V</t>
    </r>
    <r>
      <rPr>
        <b/>
        <vertAlign val="subscript"/>
        <sz val="10"/>
        <rFont val="宋体"/>
        <family val="3"/>
        <charset val="134"/>
      </rPr>
      <t>土</t>
    </r>
    <phoneticPr fontId="14" type="noConversion"/>
  </si>
  <si>
    <r>
      <rPr>
        <b/>
        <sz val="10"/>
        <rFont val="宋体"/>
        <family val="3"/>
        <charset val="134"/>
      </rPr>
      <t>以土地价值为基数</t>
    </r>
    <phoneticPr fontId="14" type="noConversion"/>
  </si>
  <si>
    <r>
      <rPr>
        <b/>
        <sz val="10"/>
        <rFont val="宋体"/>
        <family val="3"/>
        <charset val="134"/>
      </rPr>
      <t>（</t>
    </r>
    <r>
      <rPr>
        <b/>
        <sz val="10"/>
        <rFont val="Arial"/>
        <family val="2"/>
      </rPr>
      <t>5</t>
    </r>
    <r>
      <rPr>
        <b/>
        <sz val="10"/>
        <rFont val="宋体"/>
        <family val="3"/>
        <charset val="134"/>
      </rPr>
      <t>）</t>
    </r>
  </si>
  <si>
    <r>
      <rPr>
        <b/>
        <sz val="10"/>
        <rFont val="宋体"/>
        <family val="3"/>
        <charset val="134"/>
      </rPr>
      <t>贷款利息</t>
    </r>
    <phoneticPr fontId="14" type="noConversion"/>
  </si>
  <si>
    <r>
      <t>1</t>
    </r>
    <r>
      <rPr>
        <sz val="10"/>
        <rFont val="宋体"/>
        <family val="3"/>
        <charset val="134"/>
      </rPr>
      <t>）</t>
    </r>
    <phoneticPr fontId="14" type="noConversion"/>
  </si>
  <si>
    <r>
      <rPr>
        <sz val="10"/>
        <rFont val="宋体"/>
        <family val="3"/>
        <charset val="134"/>
      </rPr>
      <t>（</t>
    </r>
    <r>
      <rPr>
        <sz val="10"/>
        <rFont val="Arial"/>
        <family val="2"/>
      </rPr>
      <t>1</t>
    </r>
    <r>
      <rPr>
        <sz val="10"/>
        <rFont val="宋体"/>
        <family val="3"/>
        <charset val="134"/>
      </rPr>
      <t>）项产生的利息</t>
    </r>
    <phoneticPr fontId="14" type="noConversion"/>
  </si>
  <si>
    <r>
      <rPr>
        <sz val="10"/>
        <rFont val="宋体"/>
        <family val="3"/>
        <charset val="134"/>
      </rPr>
      <t>计项目已运行全期</t>
    </r>
    <phoneticPr fontId="14" type="noConversion"/>
  </si>
  <si>
    <r>
      <rPr>
        <sz val="10"/>
        <rFont val="宋体"/>
        <family val="3"/>
        <charset val="134"/>
      </rPr>
      <t>（</t>
    </r>
    <r>
      <rPr>
        <sz val="10"/>
        <rFont val="Arial"/>
        <family val="2"/>
      </rPr>
      <t>2</t>
    </r>
    <r>
      <rPr>
        <sz val="10"/>
        <rFont val="宋体"/>
        <family val="3"/>
        <charset val="134"/>
      </rPr>
      <t>）项产生的利息</t>
    </r>
    <phoneticPr fontId="14" type="noConversion"/>
  </si>
  <si>
    <r>
      <rPr>
        <sz val="10"/>
        <rFont val="宋体"/>
        <family val="3"/>
        <charset val="134"/>
      </rPr>
      <t>土地开发期均匀投入、已建工期计全期</t>
    </r>
    <phoneticPr fontId="14" type="noConversion"/>
  </si>
  <si>
    <r>
      <rPr>
        <sz val="10"/>
        <rFont val="宋体"/>
        <family val="3"/>
        <charset val="134"/>
      </rPr>
      <t>（</t>
    </r>
    <r>
      <rPr>
        <sz val="10"/>
        <rFont val="Arial"/>
        <family val="2"/>
      </rPr>
      <t>3</t>
    </r>
    <r>
      <rPr>
        <sz val="10"/>
        <rFont val="宋体"/>
        <family val="3"/>
        <charset val="134"/>
      </rPr>
      <t>）项产生的利息</t>
    </r>
    <phoneticPr fontId="14" type="noConversion"/>
  </si>
  <si>
    <r>
      <rPr>
        <sz val="10"/>
        <rFont val="宋体"/>
        <family val="3"/>
        <charset val="134"/>
      </rPr>
      <t>管理费用及销售费用于项目已运行期内均匀投入</t>
    </r>
    <phoneticPr fontId="14" type="noConversion"/>
  </si>
  <si>
    <r>
      <t>4</t>
    </r>
    <r>
      <rPr>
        <sz val="10"/>
        <rFont val="宋体"/>
        <family val="3"/>
        <charset val="134"/>
      </rPr>
      <t>）</t>
    </r>
  </si>
  <si>
    <r>
      <rPr>
        <sz val="10"/>
        <rFont val="宋体"/>
        <family val="3"/>
        <charset val="134"/>
      </rPr>
      <t>（</t>
    </r>
    <r>
      <rPr>
        <sz val="10"/>
        <rFont val="Arial"/>
        <family val="2"/>
      </rPr>
      <t>4</t>
    </r>
    <r>
      <rPr>
        <sz val="10"/>
        <rFont val="宋体"/>
        <family val="3"/>
        <charset val="134"/>
      </rPr>
      <t>）项产生的利息</t>
    </r>
    <phoneticPr fontId="14" type="noConversion"/>
  </si>
  <si>
    <r>
      <rPr>
        <b/>
        <sz val="10"/>
        <rFont val="宋体"/>
        <family val="3"/>
        <charset val="134"/>
      </rPr>
      <t>（</t>
    </r>
    <r>
      <rPr>
        <b/>
        <sz val="10"/>
        <rFont val="Arial"/>
        <family val="2"/>
      </rPr>
      <t>6</t>
    </r>
    <r>
      <rPr>
        <b/>
        <sz val="10"/>
        <rFont val="宋体"/>
        <family val="3"/>
        <charset val="134"/>
      </rPr>
      <t>）</t>
    </r>
    <phoneticPr fontId="15" type="noConversion"/>
  </si>
  <si>
    <r>
      <rPr>
        <b/>
        <sz val="10"/>
        <rFont val="宋体"/>
        <family val="3"/>
        <charset val="134"/>
      </rPr>
      <t>利润</t>
    </r>
    <phoneticPr fontId="14" type="noConversion"/>
  </si>
  <si>
    <r>
      <rPr>
        <b/>
        <sz val="10"/>
        <rFont val="宋体"/>
        <family val="3"/>
        <charset val="134"/>
      </rPr>
      <t>前述（</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4</t>
    </r>
    <r>
      <rPr>
        <b/>
        <sz val="10"/>
        <rFont val="宋体"/>
        <family val="3"/>
        <charset val="134"/>
      </rPr>
      <t>）项之和</t>
    </r>
    <r>
      <rPr>
        <b/>
        <sz val="10"/>
        <rFont val="Arial"/>
        <family val="2"/>
      </rPr>
      <t>*</t>
    </r>
    <r>
      <rPr>
        <b/>
        <sz val="10"/>
        <rFont val="宋体"/>
        <family val="3"/>
        <charset val="134"/>
      </rPr>
      <t>利润率</t>
    </r>
    <r>
      <rPr>
        <b/>
        <sz val="10"/>
        <rFont val="Arial"/>
        <family val="2"/>
      </rPr>
      <t>*</t>
    </r>
    <r>
      <rPr>
        <b/>
        <sz val="10"/>
        <rFont val="宋体"/>
        <family val="3"/>
        <charset val="134"/>
      </rPr>
      <t>已建工期</t>
    </r>
    <r>
      <rPr>
        <b/>
        <sz val="10"/>
        <rFont val="Arial"/>
        <family val="2"/>
      </rPr>
      <t>/</t>
    </r>
    <r>
      <rPr>
        <b/>
        <sz val="10"/>
        <rFont val="宋体"/>
        <family val="3"/>
        <charset val="134"/>
      </rPr>
      <t>建设期</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</si>
  <si>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t>
    </r>
    <r>
      <rPr>
        <sz val="10"/>
        <rFont val="宋体"/>
        <family val="3"/>
        <charset val="134"/>
      </rPr>
      <t>（</t>
    </r>
    <r>
      <rPr>
        <sz val="10"/>
        <rFont val="Arial"/>
        <family val="2"/>
      </rPr>
      <t>3</t>
    </r>
    <r>
      <rPr>
        <sz val="10"/>
        <rFont val="宋体"/>
        <family val="3"/>
        <charset val="134"/>
      </rPr>
      <t>）项产生的利润</t>
    </r>
    <phoneticPr fontId="14" type="noConversion"/>
  </si>
  <si>
    <r>
      <rPr>
        <sz val="10"/>
        <rFont val="宋体"/>
        <family val="3"/>
        <charset val="134"/>
      </rPr>
      <t>（</t>
    </r>
    <r>
      <rPr>
        <sz val="10"/>
        <rFont val="Arial"/>
        <family val="2"/>
      </rPr>
      <t>4</t>
    </r>
    <r>
      <rPr>
        <sz val="10"/>
        <rFont val="宋体"/>
        <family val="3"/>
        <charset val="134"/>
      </rPr>
      <t>）项产生的利润</t>
    </r>
    <phoneticPr fontId="14" type="noConversion"/>
  </si>
  <si>
    <r>
      <rPr>
        <b/>
        <sz val="10"/>
        <rFont val="宋体"/>
        <family val="3"/>
        <charset val="134"/>
      </rPr>
      <t>（</t>
    </r>
    <r>
      <rPr>
        <b/>
        <sz val="10"/>
        <rFont val="Arial"/>
        <family val="2"/>
      </rPr>
      <t>7</t>
    </r>
    <r>
      <rPr>
        <b/>
        <sz val="10"/>
        <rFont val="宋体"/>
        <family val="3"/>
        <charset val="134"/>
      </rPr>
      <t>）</t>
    </r>
    <phoneticPr fontId="15" type="noConversion"/>
  </si>
  <si>
    <r>
      <rPr>
        <b/>
        <sz val="10"/>
        <rFont val="宋体"/>
        <family val="3"/>
        <charset val="134"/>
      </rPr>
      <t>销售税费</t>
    </r>
  </si>
  <si>
    <r>
      <rPr>
        <b/>
        <sz val="10"/>
        <rFont val="宋体"/>
        <family val="3"/>
        <charset val="134"/>
      </rPr>
      <t>以房地产价值</t>
    </r>
    <r>
      <rPr>
        <b/>
        <sz val="10"/>
        <rFont val="Arial"/>
        <family val="2"/>
      </rPr>
      <t>/(1+5%)</t>
    </r>
    <r>
      <rPr>
        <b/>
        <sz val="10"/>
        <rFont val="宋体"/>
        <family val="3"/>
        <charset val="134"/>
      </rPr>
      <t>为基数</t>
    </r>
    <phoneticPr fontId="14" type="noConversion"/>
  </si>
  <si>
    <r>
      <rPr>
        <b/>
        <sz val="10"/>
        <rFont val="宋体"/>
        <family val="3"/>
        <charset val="134"/>
      </rPr>
      <t>土地价值</t>
    </r>
    <r>
      <rPr>
        <b/>
        <sz val="10"/>
        <rFont val="Arial"/>
        <family val="2"/>
      </rPr>
      <t>(V</t>
    </r>
    <r>
      <rPr>
        <b/>
        <vertAlign val="subscript"/>
        <sz val="10"/>
        <rFont val="宋体"/>
        <family val="3"/>
        <charset val="134"/>
      </rPr>
      <t>土</t>
    </r>
    <r>
      <rPr>
        <b/>
        <sz val="10"/>
        <rFont val="Arial"/>
        <family val="2"/>
      </rPr>
      <t>)</t>
    </r>
    <phoneticPr fontId="14" type="noConversion"/>
  </si>
  <si>
    <r>
      <rPr>
        <b/>
        <sz val="10"/>
        <rFont val="宋体"/>
        <family val="3"/>
        <charset val="134"/>
      </rPr>
      <t>前述</t>
    </r>
    <r>
      <rPr>
        <b/>
        <sz val="10"/>
        <rFont val="Arial"/>
        <family val="2"/>
      </rPr>
      <t>7</t>
    </r>
    <r>
      <rPr>
        <b/>
        <sz val="10"/>
        <rFont val="宋体"/>
        <family val="3"/>
        <charset val="134"/>
      </rPr>
      <t>项相加</t>
    </r>
    <phoneticPr fontId="14" type="noConversion"/>
  </si>
  <si>
    <r>
      <t>2.</t>
    </r>
    <r>
      <rPr>
        <b/>
        <sz val="12"/>
        <rFont val="宋体"/>
        <family val="3"/>
        <charset val="134"/>
      </rPr>
      <t>建筑物</t>
    </r>
    <r>
      <rPr>
        <b/>
        <sz val="12"/>
        <rFont val="Arial"/>
        <family val="2"/>
      </rPr>
      <t>/</t>
    </r>
    <r>
      <rPr>
        <b/>
        <sz val="12"/>
        <rFont val="宋体"/>
        <family val="3"/>
        <charset val="134"/>
      </rPr>
      <t>在建工程价值</t>
    </r>
    <phoneticPr fontId="14" type="noConversion"/>
  </si>
  <si>
    <r>
      <rPr>
        <b/>
        <sz val="10"/>
        <rFont val="宋体"/>
        <family val="3"/>
        <charset val="134"/>
      </rPr>
      <t>（</t>
    </r>
    <r>
      <rPr>
        <b/>
        <sz val="10"/>
        <rFont val="Arial"/>
        <family val="2"/>
      </rPr>
      <t>1</t>
    </r>
    <r>
      <rPr>
        <b/>
        <sz val="10"/>
        <rFont val="宋体"/>
        <family val="3"/>
        <charset val="134"/>
      </rPr>
      <t>）</t>
    </r>
    <phoneticPr fontId="14" type="noConversion"/>
  </si>
  <si>
    <r>
      <rPr>
        <b/>
        <sz val="10"/>
        <rFont val="宋体"/>
        <family val="3"/>
        <charset val="134"/>
      </rPr>
      <t>建筑物建造</t>
    </r>
    <r>
      <rPr>
        <b/>
        <sz val="10"/>
        <rFont val="Arial"/>
        <family val="2"/>
      </rPr>
      <t>/</t>
    </r>
    <r>
      <rPr>
        <b/>
        <sz val="10"/>
        <rFont val="宋体"/>
        <family val="3"/>
        <charset val="134"/>
      </rPr>
      <t>已建成本</t>
    </r>
    <phoneticPr fontId="14" type="noConversion"/>
  </si>
  <si>
    <r>
      <rPr>
        <sz val="10"/>
        <rFont val="宋体"/>
        <family val="3"/>
        <charset val="134"/>
      </rPr>
      <t>建安费用</t>
    </r>
  </si>
  <si>
    <r>
      <rPr>
        <sz val="10"/>
        <rFont val="宋体"/>
        <family val="3"/>
        <charset val="134"/>
      </rPr>
      <t>勘察设计和前期工程费</t>
    </r>
  </si>
  <si>
    <r>
      <rPr>
        <sz val="10"/>
        <rFont val="宋体"/>
        <family val="3"/>
        <charset val="134"/>
      </rPr>
      <t>以建安费用为基数计取</t>
    </r>
    <phoneticPr fontId="14" type="noConversion"/>
  </si>
  <si>
    <r>
      <rPr>
        <sz val="10"/>
        <rFont val="宋体"/>
        <family val="3"/>
        <charset val="134"/>
      </rPr>
      <t>公共配套设施费用</t>
    </r>
  </si>
  <si>
    <r>
      <rPr>
        <sz val="10"/>
        <rFont val="宋体"/>
        <family val="3"/>
        <charset val="134"/>
      </rPr>
      <t>以住宅用房建安费用为基数计取或直接等于公共配套建安费</t>
    </r>
  </si>
  <si>
    <r>
      <rPr>
        <sz val="10"/>
        <rFont val="宋体"/>
        <family val="3"/>
        <charset val="134"/>
      </rPr>
      <t>红线内市政费用</t>
    </r>
    <phoneticPr fontId="14" type="noConversion"/>
  </si>
  <si>
    <r>
      <rPr>
        <sz val="10"/>
        <rFont val="宋体"/>
        <family val="3"/>
        <charset val="134"/>
      </rPr>
      <t>按工程进度计取或按实际情况计取</t>
    </r>
    <phoneticPr fontId="14" type="noConversion"/>
  </si>
  <si>
    <r>
      <t>5</t>
    </r>
    <r>
      <rPr>
        <sz val="10"/>
        <rFont val="宋体"/>
        <family val="3"/>
        <charset val="134"/>
      </rPr>
      <t>）</t>
    </r>
  </si>
  <si>
    <r>
      <rPr>
        <sz val="10"/>
        <rFont val="宋体"/>
        <family val="3"/>
        <charset val="134"/>
      </rPr>
      <t>相关税费</t>
    </r>
  </si>
  <si>
    <r>
      <rPr>
        <b/>
        <sz val="10"/>
        <rFont val="宋体"/>
        <family val="3"/>
        <charset val="134"/>
      </rPr>
      <t>以（</t>
    </r>
    <r>
      <rPr>
        <b/>
        <sz val="10"/>
        <rFont val="Arial"/>
        <family val="2"/>
      </rPr>
      <t>1</t>
    </r>
    <r>
      <rPr>
        <b/>
        <sz val="10"/>
        <rFont val="宋体"/>
        <family val="3"/>
        <charset val="134"/>
      </rPr>
      <t>）项为基数</t>
    </r>
    <phoneticPr fontId="14" type="noConversion"/>
  </si>
  <si>
    <r>
      <t>V</t>
    </r>
    <r>
      <rPr>
        <b/>
        <vertAlign val="subscript"/>
        <sz val="10"/>
        <rFont val="宋体"/>
        <family val="3"/>
        <charset val="134"/>
      </rPr>
      <t>建</t>
    </r>
    <phoneticPr fontId="14" type="noConversion"/>
  </si>
  <si>
    <r>
      <rPr>
        <b/>
        <sz val="10"/>
        <rFont val="宋体"/>
        <family val="3"/>
        <charset val="134"/>
      </rPr>
      <t>以</t>
    </r>
    <r>
      <rPr>
        <b/>
        <sz val="10"/>
        <rFont val="Arial"/>
        <family val="2"/>
      </rPr>
      <t>V</t>
    </r>
    <r>
      <rPr>
        <b/>
        <sz val="10"/>
        <rFont val="宋体"/>
        <family val="3"/>
        <charset val="134"/>
      </rPr>
      <t>建为基数</t>
    </r>
    <phoneticPr fontId="14" type="noConversion"/>
  </si>
  <si>
    <r>
      <rPr>
        <sz val="10"/>
        <rFont val="宋体"/>
        <family val="3"/>
        <charset val="134"/>
      </rPr>
      <t>已建工期均匀投入</t>
    </r>
    <phoneticPr fontId="4" type="noConversion"/>
  </si>
  <si>
    <r>
      <rPr>
        <b/>
        <sz val="10"/>
        <rFont val="宋体"/>
        <family val="3"/>
        <charset val="134"/>
      </rPr>
      <t>（</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3</t>
    </r>
    <r>
      <rPr>
        <b/>
        <sz val="10"/>
        <rFont val="宋体"/>
        <family val="3"/>
        <charset val="134"/>
      </rPr>
      <t>）项乘利润率</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</si>
  <si>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2</t>
    </r>
    <r>
      <rPr>
        <sz val="10"/>
        <rFont val="宋体"/>
        <family val="3"/>
        <charset val="134"/>
      </rPr>
      <t>）项产生的利润</t>
    </r>
    <phoneticPr fontId="14" type="noConversion"/>
  </si>
  <si>
    <r>
      <rPr>
        <sz val="10"/>
        <rFont val="宋体"/>
        <family val="3"/>
        <charset val="134"/>
      </rPr>
      <t>（</t>
    </r>
    <r>
      <rPr>
        <sz val="10"/>
        <rFont val="Arial"/>
        <family val="2"/>
      </rPr>
      <t>3</t>
    </r>
    <r>
      <rPr>
        <sz val="10"/>
        <rFont val="宋体"/>
        <family val="3"/>
        <charset val="134"/>
      </rPr>
      <t>）项产生的利润</t>
    </r>
    <phoneticPr fontId="14" type="noConversion"/>
  </si>
  <si>
    <r>
      <rPr>
        <b/>
        <sz val="10"/>
        <rFont val="宋体"/>
        <family val="3"/>
        <charset val="134"/>
      </rPr>
      <t>销售税费</t>
    </r>
    <phoneticPr fontId="14" type="noConversion"/>
  </si>
  <si>
    <r>
      <rPr>
        <b/>
        <sz val="10"/>
        <rFont val="宋体"/>
        <family val="3"/>
        <charset val="134"/>
      </rPr>
      <t>以成本价值</t>
    </r>
    <r>
      <rPr>
        <b/>
        <sz val="10"/>
        <rFont val="Arial"/>
        <family val="2"/>
      </rPr>
      <t>/(1+5%)</t>
    </r>
    <r>
      <rPr>
        <b/>
        <sz val="10"/>
        <rFont val="宋体"/>
        <family val="3"/>
        <charset val="134"/>
      </rPr>
      <t>为基数</t>
    </r>
    <phoneticPr fontId="14" type="noConversion"/>
  </si>
  <si>
    <r>
      <rPr>
        <b/>
        <sz val="10"/>
        <rFont val="宋体"/>
        <family val="3"/>
        <charset val="134"/>
      </rPr>
      <t>（</t>
    </r>
    <r>
      <rPr>
        <b/>
        <sz val="10"/>
        <rFont val="Arial"/>
        <family val="2"/>
      </rPr>
      <t>7</t>
    </r>
    <r>
      <rPr>
        <b/>
        <sz val="10"/>
        <rFont val="宋体"/>
        <family val="3"/>
        <charset val="134"/>
      </rPr>
      <t>）</t>
    </r>
  </si>
  <si>
    <r>
      <rPr>
        <b/>
        <sz val="10"/>
        <rFont val="宋体"/>
        <family val="3"/>
        <charset val="134"/>
      </rPr>
      <t>建筑物重置价值（</t>
    </r>
    <r>
      <rPr>
        <b/>
        <sz val="10"/>
        <rFont val="Arial"/>
        <family val="2"/>
      </rPr>
      <t>V</t>
    </r>
    <r>
      <rPr>
        <b/>
        <vertAlign val="subscript"/>
        <sz val="10"/>
        <rFont val="宋体"/>
        <family val="3"/>
        <charset val="134"/>
      </rPr>
      <t>建</t>
    </r>
    <r>
      <rPr>
        <b/>
        <vertAlign val="subscript"/>
        <sz val="10"/>
        <rFont val="Arial"/>
        <family val="2"/>
      </rPr>
      <t>1</t>
    </r>
    <r>
      <rPr>
        <b/>
        <sz val="10"/>
        <rFont val="宋体"/>
        <family val="3"/>
        <charset val="134"/>
      </rPr>
      <t>）</t>
    </r>
    <phoneticPr fontId="14" type="noConversion"/>
  </si>
  <si>
    <r>
      <rPr>
        <b/>
        <sz val="10"/>
        <rFont val="宋体"/>
        <family val="3"/>
        <charset val="134"/>
      </rPr>
      <t>前述</t>
    </r>
    <r>
      <rPr>
        <b/>
        <sz val="10"/>
        <rFont val="Arial"/>
        <family val="2"/>
      </rPr>
      <t>6</t>
    </r>
    <r>
      <rPr>
        <b/>
        <sz val="10"/>
        <rFont val="宋体"/>
        <family val="3"/>
        <charset val="134"/>
      </rPr>
      <t>项相加</t>
    </r>
    <phoneticPr fontId="14" type="noConversion"/>
  </si>
  <si>
    <r>
      <rPr>
        <b/>
        <sz val="10"/>
        <rFont val="宋体"/>
        <family val="3"/>
        <charset val="134"/>
      </rPr>
      <t>（</t>
    </r>
    <r>
      <rPr>
        <b/>
        <sz val="10"/>
        <rFont val="Arial"/>
        <family val="2"/>
      </rPr>
      <t>8</t>
    </r>
    <r>
      <rPr>
        <b/>
        <sz val="10"/>
        <rFont val="宋体"/>
        <family val="3"/>
        <charset val="134"/>
      </rPr>
      <t>）</t>
    </r>
  </si>
  <si>
    <r>
      <rPr>
        <b/>
        <sz val="10"/>
        <rFont val="宋体"/>
        <family val="3"/>
        <charset val="134"/>
      </rPr>
      <t>成新率</t>
    </r>
    <phoneticPr fontId="14" type="noConversion"/>
  </si>
  <si>
    <r>
      <rPr>
        <b/>
        <sz val="10"/>
        <rFont val="宋体"/>
        <family val="3"/>
        <charset val="134"/>
      </rPr>
      <t>现房为成新率，在建依实际情况（停工）记取</t>
    </r>
    <phoneticPr fontId="15" type="noConversion"/>
  </si>
  <si>
    <r>
      <rPr>
        <b/>
        <sz val="10"/>
        <rFont val="宋体"/>
        <family val="3"/>
        <charset val="134"/>
      </rPr>
      <t>（</t>
    </r>
    <r>
      <rPr>
        <b/>
        <sz val="10"/>
        <rFont val="Arial"/>
        <family val="2"/>
      </rPr>
      <t>9</t>
    </r>
    <r>
      <rPr>
        <b/>
        <sz val="10"/>
        <rFont val="宋体"/>
        <family val="3"/>
        <charset val="134"/>
      </rPr>
      <t>）</t>
    </r>
  </si>
  <si>
    <r>
      <rPr>
        <b/>
        <sz val="10"/>
        <rFont val="宋体"/>
        <family val="3"/>
        <charset val="134"/>
      </rPr>
      <t>建筑物现值（</t>
    </r>
    <r>
      <rPr>
        <b/>
        <sz val="10"/>
        <rFont val="Arial"/>
        <family val="2"/>
      </rPr>
      <t>V</t>
    </r>
    <r>
      <rPr>
        <b/>
        <vertAlign val="subscript"/>
        <sz val="10"/>
        <rFont val="宋体"/>
        <family val="3"/>
        <charset val="134"/>
      </rPr>
      <t>建</t>
    </r>
    <r>
      <rPr>
        <b/>
        <vertAlign val="subscript"/>
        <sz val="10"/>
        <rFont val="Arial"/>
        <family val="2"/>
      </rPr>
      <t>2</t>
    </r>
    <r>
      <rPr>
        <b/>
        <sz val="10"/>
        <rFont val="宋体"/>
        <family val="3"/>
        <charset val="134"/>
      </rPr>
      <t>）</t>
    </r>
    <phoneticPr fontId="14" type="noConversion"/>
  </si>
  <si>
    <r>
      <rPr>
        <b/>
        <sz val="10"/>
        <rFont val="宋体"/>
        <family val="3"/>
        <charset val="134"/>
      </rPr>
      <t>重置价值</t>
    </r>
    <r>
      <rPr>
        <b/>
        <sz val="10"/>
        <rFont val="Arial"/>
        <family val="2"/>
      </rPr>
      <t>×</t>
    </r>
    <r>
      <rPr>
        <b/>
        <sz val="10"/>
        <rFont val="宋体"/>
        <family val="3"/>
        <charset val="134"/>
      </rPr>
      <t>成新率</t>
    </r>
    <phoneticPr fontId="14" type="noConversion"/>
  </si>
  <si>
    <r>
      <t>3.</t>
    </r>
    <r>
      <rPr>
        <b/>
        <sz val="12"/>
        <rFont val="宋体"/>
        <family val="3"/>
        <charset val="134"/>
      </rPr>
      <t>成本价值</t>
    </r>
    <phoneticPr fontId="14" type="noConversion"/>
  </si>
  <si>
    <r>
      <rPr>
        <b/>
        <sz val="10"/>
        <color indexed="10"/>
        <rFont val="宋体"/>
        <family val="3"/>
        <charset val="134"/>
      </rPr>
      <t>成本比率</t>
    </r>
    <phoneticPr fontId="4" type="noConversion"/>
  </si>
  <si>
    <r>
      <rPr>
        <sz val="10"/>
        <color indexed="8"/>
        <rFont val="宋体"/>
        <family val="3"/>
        <charset val="134"/>
      </rPr>
      <t>建筑物价值比率</t>
    </r>
    <phoneticPr fontId="4" type="noConversion"/>
  </si>
  <si>
    <r>
      <rPr>
        <sz val="10"/>
        <color indexed="8"/>
        <rFont val="宋体"/>
        <family val="3"/>
        <charset val="134"/>
      </rPr>
      <t>土地价值比率</t>
    </r>
    <phoneticPr fontId="4" type="noConversion"/>
  </si>
  <si>
    <r>
      <rPr>
        <b/>
        <sz val="16"/>
        <color indexed="10"/>
        <rFont val="宋体"/>
        <family val="3"/>
        <charset val="134"/>
      </rPr>
      <t>收益法</t>
    </r>
    <r>
      <rPr>
        <b/>
        <sz val="12"/>
        <rFont val="宋体"/>
        <family val="3"/>
        <charset val="134"/>
      </rPr>
      <t>（无租约及租期内）</t>
    </r>
    <phoneticPr fontId="4" type="noConversion"/>
  </si>
  <si>
    <r>
      <rPr>
        <sz val="12"/>
        <rFont val="宋体"/>
        <family val="3"/>
        <charset val="134"/>
      </rPr>
      <t>元</t>
    </r>
    <r>
      <rPr>
        <sz val="12"/>
        <rFont val="Arial"/>
        <family val="2"/>
      </rPr>
      <t>/</t>
    </r>
    <r>
      <rPr>
        <sz val="12"/>
        <rFont val="宋体"/>
        <family val="3"/>
        <charset val="134"/>
      </rPr>
      <t>平方米</t>
    </r>
    <phoneticPr fontId="4" type="noConversion"/>
  </si>
  <si>
    <r>
      <rPr>
        <b/>
        <sz val="16"/>
        <rFont val="宋体"/>
        <family val="3"/>
        <charset val="134"/>
      </rPr>
      <t>租约外</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</si>
  <si>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</si>
  <si>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</si>
  <si>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</si>
  <si>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</si>
  <si>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</si>
  <si>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b/>
        <sz val="10"/>
        <color indexed="8"/>
        <rFont val="宋体"/>
        <family val="3"/>
        <charset val="134"/>
      </rPr>
      <t>未来第一年年总收益</t>
    </r>
    <phoneticPr fontId="4" type="noConversion"/>
  </si>
  <si>
    <r>
      <rPr>
        <sz val="12"/>
        <rFont val="宋体"/>
        <family val="3"/>
        <charset val="134"/>
      </rPr>
      <t>年租金收入</t>
    </r>
    <r>
      <rPr>
        <sz val="12"/>
        <rFont val="Arial"/>
        <family val="2"/>
      </rPr>
      <t>+</t>
    </r>
    <r>
      <rPr>
        <sz val="12"/>
        <rFont val="宋体"/>
        <family val="3"/>
        <charset val="134"/>
      </rPr>
      <t>押金利息收入</t>
    </r>
    <r>
      <rPr>
        <sz val="12"/>
        <rFont val="Arial"/>
        <family val="2"/>
      </rPr>
      <t>+</t>
    </r>
    <r>
      <rPr>
        <sz val="12"/>
        <rFont val="宋体"/>
        <family val="3"/>
        <charset val="134"/>
      </rPr>
      <t>其他收入</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</si>
  <si>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</si>
  <si>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年租金收入（年经营收入）</t>
    </r>
    <phoneticPr fontId="4" type="noConversion"/>
  </si>
  <si>
    <r>
      <rPr>
        <sz val="10"/>
        <color indexed="8"/>
        <rFont val="宋体"/>
        <family val="3"/>
        <charset val="134"/>
      </rPr>
      <t>租金</t>
    </r>
    <phoneticPr fontId="4" type="noConversion"/>
  </si>
  <si>
    <r>
      <rPr>
        <sz val="10"/>
        <color indexed="8"/>
        <rFont val="宋体"/>
        <family val="3"/>
        <charset val="134"/>
      </rPr>
      <t>面积</t>
    </r>
    <r>
      <rPr>
        <sz val="10"/>
        <color indexed="8"/>
        <rFont val="Arial"/>
        <family val="2"/>
      </rPr>
      <t>/</t>
    </r>
    <r>
      <rPr>
        <sz val="10"/>
        <color indexed="8"/>
        <rFont val="宋体"/>
        <family val="3"/>
        <charset val="134"/>
      </rPr>
      <t>个数</t>
    </r>
    <phoneticPr fontId="4" type="noConversion"/>
  </si>
  <si>
    <r>
      <rPr>
        <sz val="10"/>
        <color indexed="8"/>
        <rFont val="宋体"/>
        <family val="3"/>
        <charset val="134"/>
      </rPr>
      <t>日</t>
    </r>
    <r>
      <rPr>
        <sz val="10"/>
        <color indexed="8"/>
        <rFont val="Arial"/>
        <family val="2"/>
      </rPr>
      <t>/</t>
    </r>
    <r>
      <rPr>
        <sz val="10"/>
        <color indexed="8"/>
        <rFont val="宋体"/>
        <family val="3"/>
        <charset val="134"/>
      </rPr>
      <t>月</t>
    </r>
    <r>
      <rPr>
        <sz val="10"/>
        <color indexed="8"/>
        <rFont val="Arial"/>
        <family val="2"/>
      </rPr>
      <t>/</t>
    </r>
    <r>
      <rPr>
        <sz val="10"/>
        <color indexed="8"/>
        <rFont val="宋体"/>
        <family val="3"/>
        <charset val="134"/>
      </rPr>
      <t>年</t>
    </r>
    <phoneticPr fontId="4" type="noConversion"/>
  </si>
  <si>
    <r>
      <rPr>
        <sz val="10"/>
        <color indexed="8"/>
        <rFont val="宋体"/>
        <family val="3"/>
        <charset val="134"/>
      </rPr>
      <t>天</t>
    </r>
    <r>
      <rPr>
        <sz val="10"/>
        <color indexed="8"/>
        <rFont val="Arial"/>
        <family val="2"/>
      </rPr>
      <t>/</t>
    </r>
    <r>
      <rPr>
        <sz val="10"/>
        <color indexed="8"/>
        <rFont val="宋体"/>
        <family val="3"/>
        <charset val="134"/>
      </rPr>
      <t>月</t>
    </r>
    <phoneticPr fontId="4" type="noConversion"/>
  </si>
  <si>
    <r>
      <rPr>
        <sz val="10"/>
        <color indexed="8"/>
        <rFont val="宋体"/>
        <family val="3"/>
        <charset val="134"/>
      </rPr>
      <t>空置率（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</si>
  <si>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</si>
  <si>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押金利息收入</t>
    </r>
    <phoneticPr fontId="4" type="noConversion"/>
  </si>
  <si>
    <r>
      <rPr>
        <sz val="10"/>
        <color indexed="8"/>
        <rFont val="宋体"/>
        <family val="3"/>
        <charset val="134"/>
      </rPr>
      <t>押金方式</t>
    </r>
    <phoneticPr fontId="4" type="noConversion"/>
  </si>
  <si>
    <r>
      <rPr>
        <sz val="12"/>
        <rFont val="宋体"/>
        <family val="3"/>
        <charset val="134"/>
      </rPr>
      <t>押一</t>
    </r>
  </si>
  <si>
    <r>
      <rPr>
        <i/>
        <sz val="10"/>
        <color indexed="8"/>
        <rFont val="宋体"/>
        <family val="3"/>
        <charset val="134"/>
      </rPr>
      <t>（合同押金）</t>
    </r>
    <phoneticPr fontId="4" type="noConversion"/>
  </si>
  <si>
    <r>
      <rPr>
        <sz val="10"/>
        <color indexed="8"/>
        <rFont val="宋体"/>
        <family val="3"/>
        <charset val="134"/>
      </rPr>
      <t>一年期存款利率</t>
    </r>
    <phoneticPr fontId="4" type="noConversion"/>
  </si>
  <si>
    <r>
      <rPr>
        <i/>
        <sz val="10"/>
        <color indexed="8"/>
        <rFont val="宋体"/>
        <family val="3"/>
        <charset val="134"/>
      </rPr>
      <t>自定义押金</t>
    </r>
    <phoneticPr fontId="4" type="noConversion"/>
  </si>
  <si>
    <r>
      <rPr>
        <sz val="10"/>
        <color indexed="8"/>
        <rFont val="宋体"/>
        <family val="3"/>
        <charset val="134"/>
      </rPr>
      <t>（</t>
    </r>
    <r>
      <rPr>
        <sz val="10"/>
        <color indexed="8"/>
        <rFont val="Arial"/>
        <family val="2"/>
      </rPr>
      <t>3</t>
    </r>
    <r>
      <rPr>
        <sz val="10"/>
        <color indexed="8"/>
        <rFont val="宋体"/>
        <family val="3"/>
        <charset val="134"/>
      </rPr>
      <t>）</t>
    </r>
    <phoneticPr fontId="4" type="noConversion"/>
  </si>
  <si>
    <r>
      <rPr>
        <sz val="10"/>
        <color indexed="8"/>
        <rFont val="宋体"/>
        <family val="3"/>
        <charset val="134"/>
      </rPr>
      <t>其他收入</t>
    </r>
    <phoneticPr fontId="4" type="noConversion"/>
  </si>
  <si>
    <r>
      <rPr>
        <b/>
        <sz val="10"/>
        <color indexed="8"/>
        <rFont val="宋体"/>
        <family val="3"/>
        <charset val="134"/>
      </rPr>
      <t>建筑物现值</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</si>
  <si>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成新度</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</si>
  <si>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</si>
  <si>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1</t>
    </r>
    <r>
      <rPr>
        <sz val="10"/>
        <color indexed="8"/>
        <rFont val="宋体"/>
        <family val="3"/>
        <charset val="134"/>
      </rPr>
      <t>）</t>
    </r>
    <phoneticPr fontId="4" type="noConversion"/>
  </si>
  <si>
    <r>
      <rPr>
        <sz val="10"/>
        <color indexed="8"/>
        <rFont val="宋体"/>
        <family val="3"/>
        <charset val="134"/>
      </rPr>
      <t>建安费用</t>
    </r>
  </si>
  <si>
    <r>
      <rPr>
        <sz val="10"/>
        <color indexed="8"/>
        <rFont val="宋体"/>
        <family val="3"/>
        <charset val="134"/>
      </rPr>
      <t>建安单价</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</si>
  <si>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建筑物重置价值</t>
    </r>
    <phoneticPr fontId="4" type="noConversion"/>
  </si>
  <si>
    <r>
      <t>2</t>
    </r>
    <r>
      <rPr>
        <sz val="10"/>
        <color indexed="8"/>
        <rFont val="宋体"/>
        <family val="3"/>
        <charset val="134"/>
      </rPr>
      <t>）</t>
    </r>
  </si>
  <si>
    <r>
      <rPr>
        <sz val="10"/>
        <color indexed="8"/>
        <rFont val="宋体"/>
        <family val="3"/>
        <charset val="134"/>
      </rPr>
      <t>勘察设计和前期工程费</t>
    </r>
  </si>
  <si>
    <r>
      <rPr>
        <sz val="10"/>
        <color indexed="8"/>
        <rFont val="宋体"/>
        <family val="3"/>
        <charset val="134"/>
      </rPr>
      <t>建安费用</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</si>
  <si>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</si>
  <si>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</si>
  <si>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</si>
  <si>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3</t>
    </r>
    <r>
      <rPr>
        <sz val="10"/>
        <color indexed="8"/>
        <rFont val="宋体"/>
        <family val="3"/>
        <charset val="134"/>
      </rPr>
      <t>）</t>
    </r>
  </si>
  <si>
    <r>
      <rPr>
        <sz val="10"/>
        <color indexed="8"/>
        <rFont val="宋体"/>
        <family val="3"/>
        <charset val="134"/>
      </rPr>
      <t>公共配套设施费用</t>
    </r>
  </si>
  <si>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</si>
  <si>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</si>
  <si>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t>4</t>
    </r>
    <r>
      <rPr>
        <sz val="10"/>
        <color indexed="8"/>
        <rFont val="宋体"/>
        <family val="3"/>
        <charset val="134"/>
      </rPr>
      <t>）</t>
    </r>
  </si>
  <si>
    <r>
      <rPr>
        <sz val="10"/>
        <color indexed="8"/>
        <rFont val="宋体"/>
        <family val="3"/>
        <charset val="134"/>
      </rPr>
      <t>基础设施建设费</t>
    </r>
  </si>
  <si>
    <r>
      <rPr>
        <sz val="10"/>
        <color indexed="8"/>
        <rFont val="宋体"/>
        <family val="3"/>
        <charset val="134"/>
      </rPr>
      <t>建筑面积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</si>
  <si>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市政费用（元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</si>
  <si>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</si>
  <si>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税</t>
    </r>
    <r>
      <rPr>
        <sz val="10"/>
        <color indexed="8"/>
        <rFont val="Arial"/>
        <family val="2"/>
      </rPr>
      <t xml:space="preserve">  </t>
    </r>
    <r>
      <rPr>
        <sz val="10"/>
        <color indexed="8"/>
        <rFont val="宋体"/>
        <family val="3"/>
        <charset val="134"/>
      </rPr>
      <t>费</t>
    </r>
  </si>
  <si>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</si>
  <si>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4" type="noConversion"/>
  </si>
  <si>
    <r>
      <t>5</t>
    </r>
    <r>
      <rPr>
        <sz val="10"/>
        <color indexed="8"/>
        <rFont val="宋体"/>
        <family val="3"/>
        <charset val="134"/>
      </rPr>
      <t>）</t>
    </r>
  </si>
  <si>
    <r>
      <rPr>
        <sz val="10"/>
        <color indexed="8"/>
        <rFont val="宋体"/>
        <family val="3"/>
        <charset val="134"/>
      </rPr>
      <t>相关税费</t>
    </r>
  </si>
  <si>
    <r>
      <t>1</t>
    </r>
    <r>
      <rPr>
        <sz val="10"/>
        <color indexed="8"/>
        <rFont val="宋体"/>
        <family val="3"/>
        <charset val="134"/>
      </rPr>
      <t>）</t>
    </r>
    <phoneticPr fontId="4" type="noConversion"/>
  </si>
  <si>
    <r>
      <rPr>
        <sz val="10"/>
        <color indexed="8"/>
        <rFont val="宋体"/>
        <family val="3"/>
        <charset val="134"/>
      </rPr>
      <t>两税两费</t>
    </r>
    <phoneticPr fontId="4" type="noConversion"/>
  </si>
  <si>
    <r>
      <rPr>
        <sz val="10"/>
        <color indexed="8"/>
        <rFont val="宋体"/>
        <family val="3"/>
        <charset val="134"/>
      </rPr>
      <t>建造成本</t>
    </r>
  </si>
  <si>
    <r>
      <rPr>
        <sz val="10"/>
        <color indexed="8"/>
        <rFont val="宋体"/>
        <family val="3"/>
        <charset val="134"/>
      </rPr>
      <t>建安费用</t>
    </r>
    <r>
      <rPr>
        <sz val="10"/>
        <color indexed="8"/>
        <rFont val="Arial"/>
        <family val="2"/>
      </rPr>
      <t>+</t>
    </r>
    <r>
      <rPr>
        <sz val="10"/>
        <color indexed="8"/>
        <rFont val="宋体"/>
        <family val="3"/>
        <charset val="134"/>
      </rPr>
      <t>公共配套设施费用</t>
    </r>
    <r>
      <rPr>
        <sz val="10"/>
        <color indexed="8"/>
        <rFont val="Arial"/>
        <family val="2"/>
      </rPr>
      <t>+</t>
    </r>
    <r>
      <rPr>
        <sz val="10"/>
        <color indexed="8"/>
        <rFont val="宋体"/>
        <family val="3"/>
        <charset val="134"/>
      </rPr>
      <t>基础设施建设费</t>
    </r>
    <r>
      <rPr>
        <sz val="10"/>
        <color indexed="8"/>
        <rFont val="Arial"/>
        <family val="2"/>
      </rPr>
      <t>+</t>
    </r>
    <r>
      <rPr>
        <sz val="10"/>
        <color indexed="8"/>
        <rFont val="宋体"/>
        <family val="3"/>
        <charset val="134"/>
      </rPr>
      <t>相关税费</t>
    </r>
    <phoneticPr fontId="4" type="noConversion"/>
  </si>
  <si>
    <r>
      <rPr>
        <sz val="10"/>
        <color indexed="8"/>
        <rFont val="宋体"/>
        <family val="3"/>
        <charset val="134"/>
      </rPr>
      <t>房产税</t>
    </r>
    <phoneticPr fontId="4" type="noConversion"/>
  </si>
  <si>
    <r>
      <rPr>
        <sz val="10"/>
        <color indexed="8"/>
        <rFont val="宋体"/>
        <family val="3"/>
        <charset val="134"/>
      </rPr>
      <t>按房产原值计税</t>
    </r>
  </si>
  <si>
    <r>
      <rPr>
        <sz val="10"/>
        <color indexed="8"/>
        <rFont val="宋体"/>
        <family val="3"/>
        <charset val="134"/>
      </rPr>
      <t>管理费用</t>
    </r>
  </si>
  <si>
    <r>
      <rPr>
        <sz val="10"/>
        <color indexed="8"/>
        <rFont val="宋体"/>
        <family val="3"/>
        <charset val="134"/>
      </rPr>
      <t>建造成本</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</si>
  <si>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</si>
  <si>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</si>
  <si>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</si>
  <si>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</si>
  <si>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3</t>
    </r>
    <r>
      <rPr>
        <sz val="10"/>
        <color indexed="8"/>
        <rFont val="宋体"/>
        <family val="3"/>
        <charset val="134"/>
      </rPr>
      <t>）</t>
    </r>
  </si>
  <si>
    <r>
      <rPr>
        <sz val="10"/>
        <color indexed="8"/>
        <rFont val="宋体"/>
        <family val="3"/>
        <charset val="134"/>
      </rPr>
      <t>销售费用</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</si>
  <si>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费率</t>
    </r>
    <phoneticPr fontId="4" type="noConversion"/>
  </si>
  <si>
    <r>
      <rPr>
        <sz val="10"/>
        <color indexed="8"/>
        <rFont val="宋体"/>
        <family val="3"/>
        <charset val="134"/>
      </rPr>
      <t>销售费率（</t>
    </r>
    <r>
      <rPr>
        <sz val="10"/>
        <color indexed="8"/>
        <rFont val="Arial"/>
        <family val="2"/>
      </rPr>
      <t>%</t>
    </r>
    <r>
      <rPr>
        <sz val="10"/>
        <color indexed="8"/>
        <rFont val="宋体"/>
        <family val="3"/>
        <charset val="134"/>
      </rPr>
      <t>）</t>
    </r>
    <phoneticPr fontId="4" type="noConversion"/>
  </si>
  <si>
    <r>
      <rPr>
        <sz val="10"/>
        <color indexed="8"/>
        <rFont val="宋体"/>
        <family val="3"/>
        <charset val="134"/>
      </rPr>
      <t>土地面积（㎡）</t>
    </r>
    <phoneticPr fontId="4" type="noConversion"/>
  </si>
  <si>
    <r>
      <rPr>
        <sz val="10"/>
        <color indexed="8"/>
        <rFont val="宋体"/>
        <family val="3"/>
        <charset val="134"/>
      </rPr>
      <t>（</t>
    </r>
    <r>
      <rPr>
        <sz val="10"/>
        <color indexed="8"/>
        <rFont val="Arial"/>
        <family val="2"/>
      </rPr>
      <t>4</t>
    </r>
    <r>
      <rPr>
        <sz val="10"/>
        <color indexed="8"/>
        <rFont val="宋体"/>
        <family val="3"/>
        <charset val="134"/>
      </rPr>
      <t>）</t>
    </r>
  </si>
  <si>
    <r>
      <rPr>
        <sz val="10"/>
        <color indexed="8"/>
        <rFont val="宋体"/>
        <family val="3"/>
        <charset val="134"/>
      </rPr>
      <t>贷款利息</t>
    </r>
    <phoneticPr fontId="4" type="noConversion"/>
  </si>
  <si>
    <r>
      <rPr>
        <sz val="10"/>
        <color indexed="8"/>
        <rFont val="宋体"/>
        <family val="3"/>
        <charset val="134"/>
      </rPr>
      <t>维修费</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</si>
  <si>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维修费率</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</si>
  <si>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）项产生的利息</t>
    </r>
    <phoneticPr fontId="4" type="noConversion"/>
  </si>
  <si>
    <r>
      <rPr>
        <sz val="10"/>
        <color indexed="8"/>
        <rFont val="宋体"/>
        <family val="3"/>
        <charset val="134"/>
      </rPr>
      <t>建设周期（年）</t>
    </r>
    <phoneticPr fontId="4" type="noConversion"/>
  </si>
  <si>
    <r>
      <rPr>
        <sz val="10"/>
        <color indexed="8"/>
        <rFont val="宋体"/>
        <family val="3"/>
        <charset val="134"/>
      </rPr>
      <t>保险费</t>
    </r>
  </si>
  <si>
    <r>
      <rPr>
        <sz val="10"/>
        <color indexed="8"/>
        <rFont val="宋体"/>
        <family val="3"/>
        <charset val="134"/>
      </rPr>
      <t>现值</t>
    </r>
    <r>
      <rPr>
        <sz val="10"/>
        <color indexed="8"/>
        <rFont val="Arial"/>
        <family val="2"/>
      </rPr>
      <t>×</t>
    </r>
    <r>
      <rPr>
        <sz val="10"/>
        <color indexed="8"/>
        <rFont val="宋体"/>
        <family val="3"/>
        <charset val="134"/>
      </rPr>
      <t>保险费率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</si>
  <si>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</si>
  <si>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</si>
  <si>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销售费用产生的利息</t>
    </r>
    <phoneticPr fontId="4" type="noConversion"/>
  </si>
  <si>
    <r>
      <rPr>
        <sz val="10"/>
        <color indexed="8"/>
        <rFont val="宋体"/>
        <family val="3"/>
        <charset val="134"/>
      </rPr>
      <t>利息（</t>
    </r>
    <r>
      <rPr>
        <sz val="10"/>
        <color indexed="8"/>
        <rFont val="Arial"/>
        <family val="2"/>
      </rPr>
      <t>%</t>
    </r>
    <r>
      <rPr>
        <sz val="10"/>
        <color indexed="8"/>
        <rFont val="宋体"/>
        <family val="3"/>
        <charset val="134"/>
      </rPr>
      <t>）</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</si>
  <si>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phoneticPr fontId="4" type="noConversion"/>
  </si>
  <si>
    <r>
      <rPr>
        <sz val="10"/>
        <color indexed="8"/>
        <rFont val="宋体"/>
        <family val="3"/>
        <charset val="134"/>
      </rPr>
      <t>（</t>
    </r>
    <r>
      <rPr>
        <sz val="10"/>
        <color indexed="8"/>
        <rFont val="Arial"/>
        <family val="2"/>
      </rPr>
      <t>5</t>
    </r>
    <r>
      <rPr>
        <sz val="10"/>
        <color indexed="8"/>
        <rFont val="宋体"/>
        <family val="3"/>
        <charset val="134"/>
      </rPr>
      <t>）</t>
    </r>
    <phoneticPr fontId="4" type="noConversion"/>
  </si>
  <si>
    <r>
      <rPr>
        <sz val="10"/>
        <color indexed="8"/>
        <rFont val="宋体"/>
        <family val="3"/>
        <charset val="134"/>
      </rPr>
      <t>利润</t>
    </r>
  </si>
  <si>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</si>
  <si>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</si>
  <si>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</si>
  <si>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）项产生的利润</t>
    </r>
    <phoneticPr fontId="4" type="noConversion"/>
  </si>
  <si>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利润率</t>
    </r>
    <phoneticPr fontId="4" type="noConversion"/>
  </si>
  <si>
    <r>
      <rPr>
        <sz val="10"/>
        <color indexed="8"/>
        <rFont val="宋体"/>
        <family val="3"/>
        <charset val="134"/>
      </rPr>
      <t>利润率（</t>
    </r>
    <r>
      <rPr>
        <sz val="10"/>
        <color indexed="8"/>
        <rFont val="Arial"/>
        <family val="2"/>
      </rPr>
      <t>%</t>
    </r>
    <r>
      <rPr>
        <sz val="10"/>
        <color indexed="8"/>
        <rFont val="宋体"/>
        <family val="3"/>
        <charset val="134"/>
      </rPr>
      <t>）</t>
    </r>
    <phoneticPr fontId="4" type="noConversion"/>
  </si>
  <si>
    <r>
      <rPr>
        <b/>
        <sz val="10"/>
        <color indexed="8"/>
        <rFont val="宋体"/>
        <family val="3"/>
        <charset val="134"/>
      </rPr>
      <t>租约外房地产收益价值</t>
    </r>
    <phoneticPr fontId="4" type="noConversion"/>
  </si>
  <si>
    <r>
      <rPr>
        <sz val="10"/>
        <color indexed="8"/>
        <rFont val="宋体"/>
        <family val="3"/>
        <charset val="134"/>
      </rPr>
      <t>房地产未来第一年净收益</t>
    </r>
    <r>
      <rPr>
        <sz val="10"/>
        <color indexed="8"/>
        <rFont val="Arial"/>
        <family val="2"/>
      </rPr>
      <t>×</t>
    </r>
    <phoneticPr fontId="4" type="noConversion"/>
  </si>
  <si>
    <r>
      <rPr>
        <sz val="10"/>
        <color indexed="8"/>
        <rFont val="宋体"/>
        <family val="3"/>
        <charset val="134"/>
      </rPr>
      <t>报酬率（</t>
    </r>
    <r>
      <rPr>
        <sz val="10"/>
        <color indexed="8"/>
        <rFont val="Arial"/>
        <family val="2"/>
      </rPr>
      <t>Y</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</si>
  <si>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</si>
  <si>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销售费用产生的利润</t>
    </r>
  </si>
  <si>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</si>
  <si>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4" type="noConversion"/>
  </si>
  <si>
    <r>
      <rPr>
        <sz val="10"/>
        <color indexed="8"/>
        <rFont val="宋体"/>
        <family val="3"/>
        <charset val="134"/>
      </rPr>
      <t>收益年期</t>
    </r>
    <r>
      <rPr>
        <sz val="10"/>
        <color indexed="8"/>
        <rFont val="Arial"/>
        <family val="2"/>
      </rPr>
      <t>(n)</t>
    </r>
    <phoneticPr fontId="4" type="noConversion"/>
  </si>
  <si>
    <r>
      <rPr>
        <sz val="10"/>
        <color indexed="8"/>
        <rFont val="宋体"/>
        <family val="3"/>
        <charset val="134"/>
      </rPr>
      <t>（</t>
    </r>
    <r>
      <rPr>
        <sz val="10"/>
        <color indexed="8"/>
        <rFont val="Arial"/>
        <family val="2"/>
      </rPr>
      <t>6</t>
    </r>
    <r>
      <rPr>
        <sz val="10"/>
        <color indexed="8"/>
        <rFont val="宋体"/>
        <family val="3"/>
        <charset val="134"/>
      </rPr>
      <t>）</t>
    </r>
    <phoneticPr fontId="4" type="noConversion"/>
  </si>
  <si>
    <r>
      <rPr>
        <sz val="10"/>
        <color indexed="8"/>
        <rFont val="宋体"/>
        <family val="3"/>
        <charset val="134"/>
      </rPr>
      <t>销售税费</t>
    </r>
  </si>
  <si>
    <r>
      <rPr>
        <sz val="10"/>
        <color indexed="8"/>
        <rFont val="宋体"/>
        <family val="3"/>
        <charset val="134"/>
      </rPr>
      <t>建筑物重置价值</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</si>
  <si>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年增长比率</t>
    </r>
    <r>
      <rPr>
        <sz val="10"/>
        <color indexed="8"/>
        <rFont val="Arial"/>
        <family val="2"/>
      </rPr>
      <t>(g)</t>
    </r>
    <phoneticPr fontId="4" type="noConversion"/>
  </si>
  <si>
    <r>
      <rPr>
        <sz val="10"/>
        <color indexed="8"/>
        <rFont val="宋体"/>
        <family val="3"/>
        <charset val="134"/>
      </rPr>
      <t>（</t>
    </r>
    <r>
      <rPr>
        <sz val="10"/>
        <color indexed="8"/>
        <rFont val="Arial"/>
        <family val="2"/>
      </rPr>
      <t>7</t>
    </r>
    <r>
      <rPr>
        <sz val="10"/>
        <color indexed="8"/>
        <rFont val="宋体"/>
        <family val="3"/>
        <charset val="134"/>
      </rPr>
      <t>）</t>
    </r>
    <phoneticPr fontId="4" type="noConversion"/>
  </si>
  <si>
    <r>
      <rPr>
        <sz val="10"/>
        <color indexed="8"/>
        <rFont val="宋体"/>
        <family val="3"/>
        <charset val="134"/>
      </rPr>
      <t>建筑物重置价值（</t>
    </r>
    <r>
      <rPr>
        <sz val="10"/>
        <color indexed="8"/>
        <rFont val="Arial"/>
        <family val="2"/>
      </rPr>
      <t>V</t>
    </r>
    <r>
      <rPr>
        <vertAlign val="subscript"/>
        <sz val="10"/>
        <color indexed="8"/>
        <rFont val="宋体"/>
        <family val="3"/>
        <charset val="134"/>
      </rPr>
      <t>建</t>
    </r>
    <r>
      <rPr>
        <sz val="10"/>
        <color indexed="8"/>
        <rFont val="宋体"/>
        <family val="3"/>
        <charset val="134"/>
      </rPr>
      <t>）</t>
    </r>
    <phoneticPr fontId="4" type="noConversion"/>
  </si>
  <si>
    <r>
      <rPr>
        <b/>
        <sz val="10"/>
        <color indexed="8"/>
        <rFont val="宋体"/>
        <family val="3"/>
        <charset val="134"/>
      </rPr>
      <t>折现价值</t>
    </r>
    <phoneticPr fontId="4" type="noConversion"/>
  </si>
  <si>
    <r>
      <rPr>
        <sz val="10"/>
        <color indexed="8"/>
        <rFont val="宋体"/>
        <family val="3"/>
        <charset val="134"/>
      </rPr>
      <t>房地产价值</t>
    </r>
    <r>
      <rPr>
        <sz val="10"/>
        <color indexed="8"/>
        <rFont val="Arial"/>
        <family val="2"/>
      </rPr>
      <t>÷</t>
    </r>
    <r>
      <rPr>
        <sz val="10"/>
        <color indexed="8"/>
        <rFont val="宋体"/>
        <family val="3"/>
        <charset val="134"/>
      </rPr>
      <t>建筑面积</t>
    </r>
    <phoneticPr fontId="4" type="noConversion"/>
  </si>
  <si>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</si>
  <si>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</si>
  <si>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</si>
  <si>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17" type="noConversion"/>
  </si>
  <si>
    <r>
      <rPr>
        <sz val="10"/>
        <color indexed="8"/>
        <rFont val="宋体"/>
        <family val="3"/>
        <charset val="134"/>
      </rPr>
      <t>两税两费</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</si>
  <si>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</si>
  <si>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1"/>
        <color indexed="8"/>
        <rFont val="宋体"/>
        <family val="3"/>
        <charset val="134"/>
      </rPr>
      <t>分摊土地</t>
    </r>
    <r>
      <rPr>
        <sz val="11"/>
        <color indexed="8"/>
        <rFont val="Arial"/>
        <family val="2"/>
      </rPr>
      <t>/</t>
    </r>
    <r>
      <rPr>
        <sz val="11"/>
        <color indexed="8"/>
        <rFont val="宋体"/>
        <family val="3"/>
        <charset val="134"/>
      </rPr>
      <t>建筑物价值</t>
    </r>
    <phoneticPr fontId="4" type="noConversion"/>
  </si>
  <si>
    <r>
      <rPr>
        <sz val="10"/>
        <rFont val="宋体"/>
        <family val="3"/>
        <charset val="134"/>
      </rPr>
      <t>房屋年纯收益</t>
    </r>
    <phoneticPr fontId="4" type="noConversion"/>
  </si>
  <si>
    <r>
      <rPr>
        <sz val="10"/>
        <rFont val="宋体"/>
        <family val="3"/>
        <charset val="134"/>
      </rPr>
      <t>建筑物资本化率</t>
    </r>
    <phoneticPr fontId="4" type="noConversion"/>
  </si>
  <si>
    <r>
      <rPr>
        <sz val="10"/>
        <color indexed="8"/>
        <rFont val="宋体"/>
        <family val="3"/>
        <charset val="134"/>
      </rPr>
      <t>维修费</t>
    </r>
    <phoneticPr fontId="4" type="noConversion"/>
  </si>
  <si>
    <r>
      <rPr>
        <sz val="10"/>
        <color indexed="8"/>
        <rFont val="宋体"/>
        <family val="3"/>
        <charset val="134"/>
      </rPr>
      <t>建筑物重置价格</t>
    </r>
    <r>
      <rPr>
        <sz val="10"/>
        <color indexed="8"/>
        <rFont val="Arial"/>
        <family val="2"/>
      </rPr>
      <t>×</t>
    </r>
    <r>
      <rPr>
        <sz val="10"/>
        <color indexed="8"/>
        <rFont val="宋体"/>
        <family val="3"/>
        <charset val="134"/>
      </rPr>
      <t>维修费率</t>
    </r>
    <phoneticPr fontId="4" type="noConversion"/>
  </si>
  <si>
    <r>
      <rPr>
        <b/>
        <sz val="10"/>
        <color indexed="8"/>
        <rFont val="宋体"/>
        <family val="3"/>
        <charset val="134"/>
      </rPr>
      <t>确定合理的建筑物与土地价值比例</t>
    </r>
    <phoneticPr fontId="4" type="noConversion"/>
  </si>
  <si>
    <r>
      <t>1.</t>
    </r>
    <r>
      <rPr>
        <b/>
        <sz val="10"/>
        <color indexed="10"/>
        <rFont val="宋体"/>
        <family val="3"/>
        <charset val="134"/>
      </rPr>
      <t>收益比率</t>
    </r>
    <phoneticPr fontId="4" type="noConversion"/>
  </si>
  <si>
    <r>
      <rPr>
        <sz val="10"/>
        <rFont val="宋体"/>
        <family val="3"/>
        <charset val="134"/>
      </rPr>
      <t>建筑物年收益比率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</si>
  <si>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</si>
  <si>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</si>
  <si>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rFont val="宋体"/>
        <family val="3"/>
        <charset val="134"/>
      </rPr>
      <t>土地年收益比率</t>
    </r>
    <phoneticPr fontId="4" type="noConversion"/>
  </si>
  <si>
    <r>
      <rPr>
        <b/>
        <sz val="10"/>
        <color indexed="8"/>
        <rFont val="宋体"/>
        <family val="3"/>
        <charset val="134"/>
      </rPr>
      <t>收益价值</t>
    </r>
    <phoneticPr fontId="4" type="noConversion"/>
  </si>
  <si>
    <r>
      <t>2.</t>
    </r>
    <r>
      <rPr>
        <b/>
        <sz val="10"/>
        <color indexed="10"/>
        <rFont val="宋体"/>
        <family val="3"/>
        <charset val="134"/>
      </rPr>
      <t>成本比率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</si>
  <si>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17" type="noConversion"/>
  </si>
  <si>
    <r>
      <rPr>
        <b/>
        <sz val="10"/>
        <color indexed="8"/>
        <rFont val="宋体"/>
        <family val="3"/>
        <charset val="134"/>
      </rPr>
      <t>单价</t>
    </r>
    <r>
      <rPr>
        <b/>
        <sz val="10"/>
        <color indexed="8"/>
        <rFont val="Arial"/>
        <family val="2"/>
      </rPr>
      <t>(</t>
    </r>
    <r>
      <rPr>
        <b/>
        <sz val="10"/>
        <color indexed="8"/>
        <rFont val="宋体"/>
        <family val="3"/>
        <charset val="134"/>
      </rPr>
      <t>元</t>
    </r>
    <r>
      <rPr>
        <b/>
        <sz val="10"/>
        <color indexed="8"/>
        <rFont val="Arial"/>
        <family val="2"/>
      </rPr>
      <t>/</t>
    </r>
    <r>
      <rPr>
        <b/>
        <sz val="10"/>
        <color indexed="8"/>
        <rFont val="宋体"/>
        <family val="3"/>
        <charset val="134"/>
      </rPr>
      <t>平方米</t>
    </r>
    <r>
      <rPr>
        <b/>
        <sz val="10"/>
        <color indexed="8"/>
        <rFont val="Arial"/>
        <family val="2"/>
      </rPr>
      <t>)</t>
    </r>
    <phoneticPr fontId="4" type="noConversion"/>
  </si>
  <si>
    <r>
      <rPr>
        <sz val="10"/>
        <color indexed="8"/>
        <rFont val="宋体"/>
        <family val="3"/>
        <charset val="134"/>
      </rPr>
      <t>收益价值</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</si>
  <si>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建筑面积（㎡）</t>
    </r>
    <phoneticPr fontId="4" type="noConversion"/>
  </si>
  <si>
    <r>
      <rPr>
        <b/>
        <sz val="12"/>
        <color rgb="FFFF0000"/>
        <rFont val="宋体"/>
        <family val="3"/>
        <charset val="134"/>
      </rPr>
      <t>计算建筑物剩余价值折现</t>
    </r>
    <phoneticPr fontId="4" type="noConversion"/>
  </si>
  <si>
    <r>
      <rPr>
        <sz val="12"/>
        <color theme="1"/>
        <rFont val="宋体"/>
        <family val="3"/>
        <charset val="134"/>
      </rPr>
      <t>序号</t>
    </r>
  </si>
  <si>
    <r>
      <rPr>
        <sz val="12"/>
        <color theme="1"/>
        <rFont val="宋体"/>
        <family val="3"/>
        <charset val="134"/>
      </rPr>
      <t>项目</t>
    </r>
  </si>
  <si>
    <r>
      <rPr>
        <sz val="12"/>
        <color theme="1"/>
        <rFont val="宋体"/>
        <family val="3"/>
        <charset val="134"/>
      </rPr>
      <t>数额</t>
    </r>
  </si>
  <si>
    <r>
      <rPr>
        <sz val="12"/>
        <color theme="1"/>
        <rFont val="宋体"/>
        <family val="3"/>
        <charset val="134"/>
      </rPr>
      <t>计算公式</t>
    </r>
  </si>
  <si>
    <r>
      <rPr>
        <sz val="12"/>
        <color theme="1"/>
        <rFont val="宋体"/>
        <family val="3"/>
        <charset val="134"/>
      </rPr>
      <t>收益期内收益价值（元）</t>
    </r>
    <phoneticPr fontId="4" type="noConversion"/>
  </si>
  <si>
    <r>
      <rPr>
        <sz val="12"/>
        <color theme="1"/>
        <rFont val="宋体"/>
        <family val="3"/>
        <charset val="134"/>
      </rPr>
      <t>依前述测算</t>
    </r>
  </si>
  <si>
    <r>
      <rPr>
        <sz val="12"/>
        <color theme="1"/>
        <rFont val="宋体"/>
        <family val="3"/>
        <charset val="134"/>
      </rPr>
      <t>建筑物在收益期结束时的价值折现到价值时点的价值（元）</t>
    </r>
    <phoneticPr fontId="4" type="noConversion"/>
  </si>
  <si>
    <r>
      <rPr>
        <sz val="12"/>
        <color theme="1"/>
        <rFont val="宋体"/>
        <family val="3"/>
        <charset val="134"/>
      </rPr>
      <t>建筑物重置价值</t>
    </r>
    <r>
      <rPr>
        <sz val="12"/>
        <color theme="1"/>
        <rFont val="Arial"/>
        <family val="2"/>
      </rPr>
      <t>×</t>
    </r>
    <r>
      <rPr>
        <sz val="12"/>
        <color theme="1"/>
        <rFont val="宋体"/>
        <family val="3"/>
        <charset val="134"/>
      </rPr>
      <t>成新率</t>
    </r>
    <r>
      <rPr>
        <sz val="12"/>
        <color theme="1"/>
        <rFont val="Arial"/>
        <family val="2"/>
      </rPr>
      <t>/</t>
    </r>
    <r>
      <rPr>
        <sz val="12"/>
        <color theme="1"/>
        <rFont val="宋体"/>
        <family val="3"/>
        <charset val="134"/>
      </rPr>
      <t>（</t>
    </r>
    <r>
      <rPr>
        <sz val="12"/>
        <color theme="1"/>
        <rFont val="Arial"/>
        <family val="2"/>
      </rPr>
      <t>1+</t>
    </r>
    <r>
      <rPr>
        <sz val="12"/>
        <color theme="1"/>
        <rFont val="宋体"/>
        <family val="3"/>
        <charset val="134"/>
      </rPr>
      <t>建筑物报酬率）</t>
    </r>
    <r>
      <rPr>
        <vertAlign val="superscript"/>
        <sz val="12"/>
        <color theme="1"/>
        <rFont val="宋体"/>
        <family val="3"/>
        <charset val="134"/>
      </rPr>
      <t>折现年期</t>
    </r>
  </si>
  <si>
    <r>
      <rPr>
        <b/>
        <sz val="16"/>
        <color rgb="FFFF0000"/>
        <rFont val="宋体"/>
        <family val="3"/>
        <charset val="134"/>
      </rPr>
      <t>承租人权益价值</t>
    </r>
    <phoneticPr fontId="4" type="noConversion"/>
  </si>
  <si>
    <r>
      <rPr>
        <b/>
        <sz val="12"/>
        <color rgb="FFFF0000"/>
        <rFont val="宋体"/>
        <family val="3"/>
        <charset val="134"/>
      </rPr>
      <t>超出收益期的土地使用年限或建筑物价值折现计算</t>
    </r>
    <phoneticPr fontId="4" type="noConversion"/>
  </si>
  <si>
    <r>
      <rPr>
        <sz val="12"/>
        <color theme="1"/>
        <rFont val="宋体"/>
        <family val="3"/>
        <charset val="134"/>
      </rPr>
      <t>建筑物重置价值（元）</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</si>
  <si>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</si>
  <si>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</si>
  <si>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</si>
  <si>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</si>
  <si>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</si>
  <si>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sz val="12"/>
        <rFont val="宋体"/>
        <family val="3"/>
        <charset val="134"/>
      </rPr>
      <t>建筑物结构</t>
    </r>
    <phoneticPr fontId="4" type="noConversion"/>
  </si>
  <si>
    <r>
      <rPr>
        <sz val="12"/>
        <rFont val="宋体"/>
        <family val="3"/>
        <charset val="134"/>
      </rPr>
      <t>土地使用年限</t>
    </r>
    <phoneticPr fontId="4" type="noConversion"/>
  </si>
  <si>
    <r>
      <rPr>
        <sz val="12"/>
        <color theme="1"/>
        <rFont val="宋体"/>
        <family val="3"/>
        <charset val="134"/>
      </rPr>
      <t>成新率（</t>
    </r>
    <r>
      <rPr>
        <sz val="12"/>
        <color theme="1"/>
        <rFont val="Arial"/>
        <family val="2"/>
      </rPr>
      <t>%</t>
    </r>
    <r>
      <rPr>
        <sz val="12"/>
        <color theme="1"/>
        <rFont val="宋体"/>
        <family val="3"/>
        <charset val="134"/>
      </rPr>
      <t>）</t>
    </r>
    <phoneticPr fontId="4" type="noConversion"/>
  </si>
  <si>
    <r>
      <rPr>
        <b/>
        <sz val="10"/>
        <color indexed="8"/>
        <rFont val="宋体"/>
        <family val="3"/>
        <charset val="134"/>
      </rPr>
      <t>未来第一年年总收益</t>
    </r>
    <phoneticPr fontId="4" type="noConversion"/>
  </si>
  <si>
    <r>
      <rPr>
        <sz val="12"/>
        <rFont val="宋体"/>
        <family val="3"/>
        <charset val="134"/>
      </rPr>
      <t>建筑使用方向</t>
    </r>
    <phoneticPr fontId="4" type="noConversion"/>
  </si>
  <si>
    <r>
      <rPr>
        <sz val="12"/>
        <color theme="1"/>
        <rFont val="宋体"/>
        <family val="3"/>
        <charset val="134"/>
      </rPr>
      <t>剩余土地使用年限</t>
    </r>
    <phoneticPr fontId="4" type="noConversion"/>
  </si>
  <si>
    <r>
      <rPr>
        <sz val="12"/>
        <color theme="1"/>
        <rFont val="宋体"/>
        <family val="3"/>
        <charset val="134"/>
      </rPr>
      <t>建筑物报酬率（</t>
    </r>
    <r>
      <rPr>
        <sz val="12"/>
        <color theme="1"/>
        <rFont val="Arial"/>
        <family val="2"/>
      </rPr>
      <t>%</t>
    </r>
    <r>
      <rPr>
        <sz val="12"/>
        <color theme="1"/>
        <rFont val="宋体"/>
        <family val="3"/>
        <charset val="134"/>
      </rPr>
      <t>）</t>
    </r>
    <phoneticPr fontId="4" type="noConversion"/>
  </si>
  <si>
    <r>
      <rPr>
        <sz val="10"/>
        <color indexed="8"/>
        <rFont val="宋体"/>
        <family val="3"/>
        <charset val="134"/>
      </rPr>
      <t>租金收入</t>
    </r>
    <phoneticPr fontId="4" type="noConversion"/>
  </si>
  <si>
    <r>
      <rPr>
        <sz val="11"/>
        <color indexed="8"/>
        <rFont val="宋体"/>
        <family val="3"/>
        <charset val="134"/>
      </rPr>
      <t>市场租金</t>
    </r>
    <phoneticPr fontId="4" type="noConversion"/>
  </si>
  <si>
    <r>
      <rPr>
        <sz val="12"/>
        <rFont val="宋体"/>
        <family val="3"/>
        <charset val="134"/>
      </rPr>
      <t>建成年代</t>
    </r>
    <phoneticPr fontId="4" type="noConversion"/>
  </si>
  <si>
    <r>
      <rPr>
        <sz val="11"/>
        <color theme="1"/>
        <rFont val="宋体"/>
        <family val="3"/>
        <charset val="134"/>
      </rPr>
      <t>比较法土地结果</t>
    </r>
    <phoneticPr fontId="4" type="noConversion"/>
  </si>
  <si>
    <r>
      <rPr>
        <sz val="12"/>
        <color theme="1"/>
        <rFont val="宋体"/>
        <family val="3"/>
        <charset val="134"/>
      </rPr>
      <t>折现年期（年）</t>
    </r>
  </si>
  <si>
    <r>
      <rPr>
        <sz val="12"/>
        <color theme="1"/>
        <rFont val="宋体"/>
        <family val="3"/>
        <charset val="134"/>
      </rPr>
      <t>即收益年期</t>
    </r>
  </si>
  <si>
    <r>
      <rPr>
        <sz val="12"/>
        <rFont val="宋体"/>
        <family val="3"/>
        <charset val="134"/>
      </rPr>
      <t>建筑物耐用年限</t>
    </r>
    <phoneticPr fontId="4" type="noConversion"/>
  </si>
  <si>
    <r>
      <rPr>
        <sz val="11"/>
        <color theme="1"/>
        <rFont val="宋体"/>
        <family val="3"/>
        <charset val="134"/>
      </rPr>
      <t>基准地价土地结果</t>
    </r>
    <phoneticPr fontId="4" type="noConversion"/>
  </si>
  <si>
    <r>
      <rPr>
        <sz val="12"/>
        <rFont val="宋体"/>
        <family val="3"/>
        <charset val="134"/>
      </rPr>
      <t>建筑物剩余耐用年限</t>
    </r>
    <phoneticPr fontId="4" type="noConversion"/>
  </si>
  <si>
    <r>
      <rPr>
        <sz val="12"/>
        <rFont val="宋体"/>
        <family val="3"/>
        <charset val="134"/>
      </rPr>
      <t>收益还原法土地结果</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</si>
  <si>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比较法</t>
    </r>
    <r>
      <rPr>
        <b/>
        <sz val="12"/>
        <color rgb="FFFF0000"/>
        <rFont val="Arial"/>
        <family val="2"/>
      </rPr>
      <t>/</t>
    </r>
    <r>
      <rPr>
        <b/>
        <sz val="12"/>
        <color rgb="FFFF0000"/>
        <rFont val="宋体"/>
        <family val="3"/>
        <charset val="134"/>
      </rPr>
      <t>基准地价系数修正法</t>
    </r>
    <phoneticPr fontId="4" type="noConversion"/>
  </si>
  <si>
    <r>
      <rPr>
        <sz val="12"/>
        <rFont val="宋体"/>
        <family val="3"/>
        <charset val="134"/>
      </rPr>
      <t>建筑物报酬率</t>
    </r>
    <phoneticPr fontId="4" type="noConversion"/>
  </si>
  <si>
    <r>
      <rPr>
        <sz val="12"/>
        <rFont val="宋体"/>
        <family val="3"/>
        <charset val="134"/>
      </rPr>
      <t>土地报酬率</t>
    </r>
    <phoneticPr fontId="4" type="noConversion"/>
  </si>
  <si>
    <r>
      <rPr>
        <sz val="12"/>
        <color theme="1"/>
        <rFont val="宋体"/>
        <family val="3"/>
        <charset val="134"/>
      </rPr>
      <t>剩余土地价值折现到价值时点的价值（元）</t>
    </r>
    <phoneticPr fontId="4" type="noConversion"/>
  </si>
  <si>
    <r>
      <t>V</t>
    </r>
    <r>
      <rPr>
        <vertAlign val="subscript"/>
        <sz val="12"/>
        <color theme="1"/>
        <rFont val="Arial"/>
        <family val="2"/>
      </rPr>
      <t>n</t>
    </r>
    <r>
      <rPr>
        <sz val="12"/>
        <color theme="1"/>
        <rFont val="Arial"/>
        <family val="2"/>
      </rPr>
      <t>×</t>
    </r>
    <r>
      <rPr>
        <sz val="12"/>
        <color theme="1"/>
        <rFont val="宋体"/>
        <family val="3"/>
        <charset val="134"/>
      </rPr>
      <t>（</t>
    </r>
    <r>
      <rPr>
        <sz val="12"/>
        <color theme="1"/>
        <rFont val="Arial"/>
        <family val="2"/>
      </rPr>
      <t>K</t>
    </r>
    <r>
      <rPr>
        <vertAlign val="subscript"/>
        <sz val="12"/>
        <color theme="1"/>
        <rFont val="Arial"/>
        <family val="2"/>
      </rPr>
      <t>N</t>
    </r>
    <r>
      <rPr>
        <sz val="12"/>
        <color theme="1"/>
        <rFont val="Arial"/>
        <family val="2"/>
      </rPr>
      <t>÷K</t>
    </r>
    <r>
      <rPr>
        <vertAlign val="subscript"/>
        <sz val="12"/>
        <color theme="1"/>
        <rFont val="Arial"/>
        <family val="2"/>
      </rPr>
      <t>n</t>
    </r>
    <r>
      <rPr>
        <sz val="12"/>
        <color theme="1"/>
        <rFont val="Arial"/>
        <family val="2"/>
      </rPr>
      <t>-1</t>
    </r>
    <r>
      <rPr>
        <sz val="12"/>
        <color theme="1"/>
        <rFont val="宋体"/>
        <family val="3"/>
        <charset val="134"/>
      </rPr>
      <t>）</t>
    </r>
  </si>
  <si>
    <r>
      <rPr>
        <b/>
        <sz val="12"/>
        <rFont val="宋体"/>
        <family val="3"/>
        <charset val="134"/>
      </rPr>
      <t>建筑物计算</t>
    </r>
    <phoneticPr fontId="4" type="noConversion"/>
  </si>
  <si>
    <r>
      <rPr>
        <b/>
        <sz val="12"/>
        <rFont val="宋体"/>
        <family val="3"/>
        <charset val="134"/>
      </rPr>
      <t>土地使用权计算</t>
    </r>
    <phoneticPr fontId="4" type="noConversion"/>
  </si>
  <si>
    <r>
      <rPr>
        <sz val="12"/>
        <color theme="1"/>
        <rFont val="宋体"/>
        <family val="3"/>
        <charset val="134"/>
      </rPr>
      <t>剩余土地使用年限下的土地价值</t>
    </r>
    <r>
      <rPr>
        <sz val="12"/>
        <color theme="1"/>
        <rFont val="Arial"/>
        <family val="2"/>
      </rPr>
      <t>V</t>
    </r>
    <r>
      <rPr>
        <vertAlign val="subscript"/>
        <sz val="12"/>
        <color theme="1"/>
        <rFont val="Arial"/>
        <family val="2"/>
      </rPr>
      <t>n</t>
    </r>
    <r>
      <rPr>
        <sz val="12"/>
        <color theme="1"/>
        <rFont val="宋体"/>
        <family val="3"/>
        <charset val="134"/>
      </rPr>
      <t>（元）</t>
    </r>
    <phoneticPr fontId="4" type="noConversion"/>
  </si>
  <si>
    <r>
      <rPr>
        <sz val="12"/>
        <rFont val="宋体"/>
        <family val="3"/>
        <charset val="134"/>
      </rPr>
      <t>是否约定土地使用期结束后无偿收回房地产（非住宅）</t>
    </r>
    <phoneticPr fontId="4" type="noConversion"/>
  </si>
  <si>
    <r>
      <rPr>
        <sz val="12"/>
        <rFont val="宋体"/>
        <family val="3"/>
        <charset val="134"/>
      </rPr>
      <t>建筑物耐用年限结束后剩余土地使用年限</t>
    </r>
    <phoneticPr fontId="4" type="noConversion"/>
  </si>
  <si>
    <r>
      <rPr>
        <sz val="12"/>
        <color theme="1"/>
        <rFont val="宋体"/>
        <family val="3"/>
        <charset val="134"/>
      </rPr>
      <t>土地报酬率</t>
    </r>
    <r>
      <rPr>
        <sz val="12"/>
        <color theme="1"/>
        <rFont val="Arial"/>
        <family val="2"/>
      </rPr>
      <t>r</t>
    </r>
    <r>
      <rPr>
        <sz val="12"/>
        <color theme="1"/>
        <rFont val="宋体"/>
        <family val="3"/>
        <charset val="134"/>
      </rPr>
      <t>（</t>
    </r>
    <r>
      <rPr>
        <sz val="12"/>
        <color theme="1"/>
        <rFont val="Arial"/>
        <family val="2"/>
      </rPr>
      <t>%</t>
    </r>
    <r>
      <rPr>
        <sz val="12"/>
        <color theme="1"/>
        <rFont val="宋体"/>
        <family val="3"/>
        <charset val="134"/>
      </rPr>
      <t>）</t>
    </r>
    <phoneticPr fontId="4" type="noConversion"/>
  </si>
  <si>
    <r>
      <rPr>
        <sz val="12"/>
        <rFont val="宋体"/>
        <family val="3"/>
        <charset val="134"/>
      </rPr>
      <t>土地使用年限结束后建筑物耐用年期</t>
    </r>
    <phoneticPr fontId="4" type="noConversion"/>
  </si>
  <si>
    <r>
      <rPr>
        <sz val="12"/>
        <rFont val="宋体"/>
        <family val="3"/>
        <charset val="134"/>
      </rPr>
      <t>价值时点下的土地价值（土地购买价格）</t>
    </r>
    <phoneticPr fontId="4" type="noConversion"/>
  </si>
  <si>
    <r>
      <rPr>
        <sz val="12"/>
        <color theme="1"/>
        <rFont val="宋体"/>
        <family val="3"/>
        <charset val="134"/>
      </rPr>
      <t>剩余土地使用年期下的土地年期修正系数</t>
    </r>
    <r>
      <rPr>
        <sz val="12"/>
        <color theme="1"/>
        <rFont val="Arial"/>
        <family val="2"/>
      </rPr>
      <t>K</t>
    </r>
    <r>
      <rPr>
        <vertAlign val="subscript"/>
        <sz val="12"/>
        <color theme="1"/>
        <rFont val="Arial"/>
        <family val="2"/>
      </rPr>
      <t>N</t>
    </r>
  </si>
  <si>
    <r>
      <t>[1</t>
    </r>
    <r>
      <rPr>
        <sz val="12"/>
        <color theme="1"/>
        <rFont val="宋体"/>
        <family val="3"/>
        <charset val="134"/>
      </rPr>
      <t>－</t>
    </r>
    <r>
      <rPr>
        <sz val="12"/>
        <color theme="1"/>
        <rFont val="Arial"/>
        <family val="2"/>
      </rPr>
      <t>1÷(1+r) N]</t>
    </r>
  </si>
  <si>
    <r>
      <rPr>
        <sz val="12"/>
        <rFont val="宋体"/>
        <family val="3"/>
        <charset val="134"/>
      </rPr>
      <t>土地使用年限结束后建筑物成新度</t>
    </r>
    <phoneticPr fontId="4" type="noConversion"/>
  </si>
  <si>
    <r>
      <rPr>
        <sz val="12"/>
        <rFont val="宋体"/>
        <family val="3"/>
        <charset val="134"/>
      </rPr>
      <t>剩余土地使用年期下的土地年期修正系数</t>
    </r>
    <phoneticPr fontId="4" type="noConversion"/>
  </si>
  <si>
    <r>
      <t>[1</t>
    </r>
    <r>
      <rPr>
        <sz val="12"/>
        <color theme="1"/>
        <rFont val="宋体"/>
        <family val="3"/>
        <charset val="134"/>
      </rPr>
      <t>－</t>
    </r>
    <r>
      <rPr>
        <sz val="12"/>
        <color theme="1"/>
        <rFont val="Arial"/>
        <family val="2"/>
      </rPr>
      <t>1÷(1+r) n]</t>
    </r>
  </si>
  <si>
    <r>
      <rPr>
        <sz val="12"/>
        <rFont val="宋体"/>
        <family val="3"/>
        <charset val="134"/>
      </rPr>
      <t>土地使用年限结束后建筑物现值</t>
    </r>
    <phoneticPr fontId="4" type="noConversion"/>
  </si>
  <si>
    <r>
      <rPr>
        <b/>
        <sz val="12"/>
        <rFont val="宋体"/>
        <family val="3"/>
        <charset val="134"/>
      </rPr>
      <t>建筑物剩余价值折现值</t>
    </r>
    <phoneticPr fontId="4" type="noConversion"/>
  </si>
  <si>
    <r>
      <rPr>
        <b/>
        <sz val="12"/>
        <rFont val="宋体"/>
        <family val="3"/>
        <charset val="134"/>
      </rPr>
      <t>剩余土地价值折现值</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</si>
  <si>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收益法</t>
    </r>
    <phoneticPr fontId="4" type="noConversion"/>
  </si>
  <si>
    <r>
      <rPr>
        <sz val="10"/>
        <color indexed="8"/>
        <rFont val="宋体"/>
        <family val="3"/>
        <charset val="134"/>
      </rPr>
      <t>房产税</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</si>
  <si>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</si>
  <si>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</si>
  <si>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</si>
  <si>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2"/>
        <rFont val="宋体"/>
        <family val="3"/>
        <charset val="134"/>
      </rPr>
      <t>结构类型</t>
    </r>
  </si>
  <si>
    <r>
      <rPr>
        <sz val="12"/>
        <rFont val="宋体"/>
        <family val="3"/>
        <charset val="134"/>
      </rPr>
      <t>生产用房</t>
    </r>
  </si>
  <si>
    <r>
      <rPr>
        <sz val="12"/>
        <rFont val="宋体"/>
        <family val="3"/>
        <charset val="134"/>
      </rPr>
      <t>受腐蚀的生产用房</t>
    </r>
  </si>
  <si>
    <r>
      <rPr>
        <sz val="12"/>
        <rFont val="宋体"/>
        <family val="3"/>
        <charset val="134"/>
      </rPr>
      <t>非生产用房</t>
    </r>
  </si>
  <si>
    <r>
      <rPr>
        <sz val="12"/>
        <rFont val="宋体"/>
        <family val="3"/>
        <charset val="134"/>
      </rPr>
      <t>残值率</t>
    </r>
    <phoneticPr fontId="4" type="noConversion"/>
  </si>
  <si>
    <r>
      <rPr>
        <sz val="10"/>
        <color indexed="8"/>
        <rFont val="宋体"/>
        <family val="3"/>
        <charset val="134"/>
      </rPr>
      <t>土地面积（㎡）</t>
    </r>
    <phoneticPr fontId="4" type="noConversion"/>
  </si>
  <si>
    <r>
      <rPr>
        <sz val="12"/>
        <rFont val="宋体"/>
        <family val="3"/>
        <charset val="134"/>
      </rPr>
      <t>钢</t>
    </r>
    <phoneticPr fontId="4" type="noConversion"/>
  </si>
  <si>
    <r>
      <rPr>
        <sz val="12"/>
        <rFont val="宋体"/>
        <family val="3"/>
        <charset val="134"/>
      </rPr>
      <t>钢混</t>
    </r>
    <phoneticPr fontId="4" type="noConversion"/>
  </si>
  <si>
    <r>
      <t>(a</t>
    </r>
    <r>
      <rPr>
        <vertAlign val="subscript"/>
        <sz val="14"/>
        <color theme="1"/>
        <rFont val="Arial"/>
        <family val="2"/>
      </rPr>
      <t>t</t>
    </r>
    <r>
      <rPr>
        <sz val="14"/>
        <color theme="1"/>
        <rFont val="Arial"/>
        <family val="2"/>
      </rPr>
      <t>÷r)[1-1÷(1+r)</t>
    </r>
    <r>
      <rPr>
        <vertAlign val="superscript"/>
        <sz val="14"/>
        <color theme="1"/>
        <rFont val="Arial"/>
        <family val="2"/>
      </rPr>
      <t>N</t>
    </r>
    <r>
      <rPr>
        <sz val="14"/>
        <color theme="1"/>
        <rFont val="Arial"/>
        <family val="2"/>
      </rPr>
      <t>]</t>
    </r>
    <phoneticPr fontId="4" type="noConversion"/>
  </si>
  <si>
    <r>
      <rPr>
        <sz val="12"/>
        <rFont val="宋体"/>
        <family val="3"/>
        <charset val="134"/>
      </rPr>
      <t>砖混</t>
    </r>
    <phoneticPr fontId="4" type="noConversion"/>
  </si>
  <si>
    <r>
      <rPr>
        <sz val="12"/>
        <color rgb="FF000000"/>
        <rFont val="宋体"/>
        <family val="3"/>
        <charset val="134"/>
      </rPr>
      <t>土地纯收益</t>
    </r>
    <r>
      <rPr>
        <sz val="12"/>
        <color theme="1"/>
        <rFont val="Arial"/>
        <family val="2"/>
      </rPr>
      <t>a</t>
    </r>
    <r>
      <rPr>
        <vertAlign val="subscript"/>
        <sz val="12"/>
        <color theme="1"/>
        <rFont val="Arial"/>
        <family val="2"/>
      </rPr>
      <t>t</t>
    </r>
    <r>
      <rPr>
        <sz val="12"/>
        <color theme="1"/>
        <rFont val="宋体"/>
        <family val="3"/>
        <charset val="134"/>
      </rPr>
      <t>（元）</t>
    </r>
    <phoneticPr fontId="4" type="noConversion"/>
  </si>
  <si>
    <r>
      <rPr>
        <sz val="12"/>
        <color rgb="FF000000"/>
        <rFont val="宋体"/>
        <family val="3"/>
        <charset val="134"/>
      </rPr>
      <t>房地纯收益（元）</t>
    </r>
    <phoneticPr fontId="4" type="noConversion"/>
  </si>
  <si>
    <r>
      <rPr>
        <sz val="12"/>
        <color rgb="FF000000"/>
        <rFont val="宋体"/>
        <family val="3"/>
        <charset val="134"/>
      </rPr>
      <t>建筑物现值（元）</t>
    </r>
    <phoneticPr fontId="4" type="noConversion"/>
  </si>
  <si>
    <r>
      <rPr>
        <sz val="12"/>
        <color rgb="FF000000"/>
        <rFont val="宋体"/>
        <family val="3"/>
        <charset val="134"/>
      </rPr>
      <t>建筑物资本化率</t>
    </r>
    <r>
      <rPr>
        <sz val="12"/>
        <color rgb="FF000000"/>
        <rFont val="Arial"/>
        <family val="2"/>
      </rPr>
      <t>g</t>
    </r>
    <r>
      <rPr>
        <sz val="12"/>
        <color rgb="FF000000"/>
        <rFont val="宋体"/>
        <family val="3"/>
        <charset val="134"/>
      </rPr>
      <t>（</t>
    </r>
    <r>
      <rPr>
        <sz val="12"/>
        <color rgb="FF000000"/>
        <rFont val="Arial"/>
        <family val="2"/>
      </rPr>
      <t>%</t>
    </r>
    <r>
      <rPr>
        <sz val="12"/>
        <color rgb="FF000000"/>
        <rFont val="宋体"/>
        <family val="3"/>
        <charset val="134"/>
      </rPr>
      <t>）</t>
    </r>
    <phoneticPr fontId="4" type="noConversion"/>
  </si>
  <si>
    <r>
      <rPr>
        <b/>
        <sz val="16"/>
        <color rgb="FFFF0000"/>
        <rFont val="宋体"/>
        <family val="3"/>
        <charset val="134"/>
      </rPr>
      <t>典型户型修正</t>
    </r>
    <phoneticPr fontId="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</si>
  <si>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</si>
  <si>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</si>
  <si>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0"/>
        <color indexed="8"/>
        <rFont val="宋体"/>
        <family val="3"/>
        <charset val="134"/>
      </rPr>
      <t>元</t>
    </r>
    <r>
      <rPr>
        <b/>
        <sz val="10"/>
        <color indexed="8"/>
        <rFont val="Arial"/>
        <family val="2"/>
      </rPr>
      <t>/</t>
    </r>
    <r>
      <rPr>
        <b/>
        <sz val="10"/>
        <color indexed="8"/>
        <rFont val="宋体"/>
        <family val="3"/>
        <charset val="134"/>
      </rPr>
      <t>平方米</t>
    </r>
    <phoneticPr fontId="20" type="noConversion"/>
  </si>
  <si>
    <r>
      <rPr>
        <sz val="10"/>
        <color indexed="8"/>
        <rFont val="宋体"/>
        <family val="3"/>
        <charset val="134"/>
      </rPr>
      <t>修正项</t>
    </r>
    <phoneticPr fontId="20" type="noConversion"/>
  </si>
  <si>
    <r>
      <rPr>
        <sz val="10"/>
        <color indexed="8"/>
        <rFont val="宋体"/>
        <family val="3"/>
        <charset val="134"/>
      </rPr>
      <t>说明</t>
    </r>
    <phoneticPr fontId="20" type="noConversion"/>
  </si>
  <si>
    <r>
      <rPr>
        <sz val="10"/>
        <color indexed="8"/>
        <rFont val="宋体"/>
        <family val="3"/>
        <charset val="134"/>
      </rPr>
      <t>修正系数</t>
    </r>
    <phoneticPr fontId="20" type="noConversion"/>
  </si>
  <si>
    <r>
      <rPr>
        <sz val="10"/>
        <color indexed="8"/>
        <rFont val="宋体"/>
        <family val="3"/>
        <charset val="134"/>
      </rPr>
      <t>建筑面积</t>
    </r>
    <phoneticPr fontId="4" type="noConversion"/>
  </si>
  <si>
    <r>
      <rPr>
        <sz val="10"/>
        <color indexed="8"/>
        <rFont val="宋体"/>
        <family val="3"/>
        <charset val="134"/>
      </rPr>
      <t>修正项</t>
    </r>
    <r>
      <rPr>
        <sz val="10"/>
        <color indexed="8"/>
        <rFont val="Arial"/>
        <family val="2"/>
      </rPr>
      <t>2</t>
    </r>
    <phoneticPr fontId="20" type="noConversion"/>
  </si>
  <si>
    <r>
      <rPr>
        <sz val="10"/>
        <color indexed="8"/>
        <rFont val="宋体"/>
        <family val="3"/>
        <charset val="134"/>
      </rPr>
      <t>修正项</t>
    </r>
    <r>
      <rPr>
        <sz val="10"/>
        <color indexed="8"/>
        <rFont val="Arial"/>
        <family val="2"/>
      </rPr>
      <t>3</t>
    </r>
    <phoneticPr fontId="20" type="noConversion"/>
  </si>
  <si>
    <r>
      <rPr>
        <sz val="10"/>
        <color indexed="8"/>
        <rFont val="宋体"/>
        <family val="3"/>
        <charset val="134"/>
      </rPr>
      <t>修正项</t>
    </r>
    <r>
      <rPr>
        <sz val="10"/>
        <color indexed="8"/>
        <rFont val="Arial"/>
        <family val="2"/>
      </rPr>
      <t>4</t>
    </r>
    <phoneticPr fontId="20" type="noConversion"/>
  </si>
  <si>
    <r>
      <rPr>
        <sz val="10"/>
        <color indexed="8"/>
        <rFont val="宋体"/>
        <family val="3"/>
        <charset val="134"/>
      </rPr>
      <t>修正项</t>
    </r>
    <r>
      <rPr>
        <sz val="10"/>
        <color indexed="8"/>
        <rFont val="Arial"/>
        <family val="2"/>
      </rPr>
      <t>5</t>
    </r>
    <phoneticPr fontId="20" type="noConversion"/>
  </si>
  <si>
    <r>
      <rPr>
        <sz val="10"/>
        <color indexed="8"/>
        <rFont val="宋体"/>
        <family val="3"/>
        <charset val="134"/>
      </rPr>
      <t>修正项</t>
    </r>
    <r>
      <rPr>
        <sz val="10"/>
        <color indexed="8"/>
        <rFont val="Arial"/>
        <family val="2"/>
      </rPr>
      <t>6</t>
    </r>
    <phoneticPr fontId="20" type="noConversion"/>
  </si>
  <si>
    <r>
      <rPr>
        <sz val="10"/>
        <color indexed="8"/>
        <rFont val="宋体"/>
        <family val="3"/>
        <charset val="134"/>
      </rPr>
      <t>修正项</t>
    </r>
    <r>
      <rPr>
        <sz val="10"/>
        <color indexed="8"/>
        <rFont val="Arial"/>
        <family val="2"/>
      </rPr>
      <t>7</t>
    </r>
    <phoneticPr fontId="20" type="noConversion"/>
  </si>
  <si>
    <r>
      <rPr>
        <b/>
        <sz val="10"/>
        <color indexed="8"/>
        <rFont val="宋体"/>
        <family val="3"/>
        <charset val="134"/>
      </rPr>
      <t>修正系数</t>
    </r>
    <phoneticPr fontId="20" type="noConversion"/>
  </si>
  <si>
    <r>
      <rPr>
        <sz val="10"/>
        <color indexed="8"/>
        <rFont val="宋体"/>
        <family val="3"/>
        <charset val="134"/>
      </rPr>
      <t>楼层</t>
    </r>
    <phoneticPr fontId="20" type="noConversion"/>
  </si>
  <si>
    <r>
      <rPr>
        <b/>
        <sz val="10"/>
        <color indexed="8"/>
        <rFont val="宋体"/>
        <family val="3"/>
        <charset val="134"/>
      </rPr>
      <t>承租人权益</t>
    </r>
    <phoneticPr fontId="20" type="noConversion"/>
  </si>
  <si>
    <r>
      <rPr>
        <b/>
        <sz val="12"/>
        <rFont val="宋体"/>
        <family val="3"/>
        <charset val="134"/>
      </rPr>
      <t>总值</t>
    </r>
    <phoneticPr fontId="15" type="noConversion"/>
  </si>
  <si>
    <r>
      <rPr>
        <b/>
        <sz val="12"/>
        <color indexed="8"/>
        <rFont val="宋体"/>
        <family val="3"/>
        <charset val="134"/>
      </rPr>
      <t>单价</t>
    </r>
    <phoneticPr fontId="20" type="noConversion"/>
  </si>
  <si>
    <r>
      <rPr>
        <sz val="10"/>
        <color indexed="8"/>
        <rFont val="宋体"/>
        <family val="3"/>
        <charset val="134"/>
      </rPr>
      <t>以元计</t>
    </r>
    <phoneticPr fontId="20" type="noConversion"/>
  </si>
  <si>
    <r>
      <rPr>
        <sz val="10"/>
        <color indexed="8"/>
        <rFont val="宋体"/>
        <family val="3"/>
        <charset val="134"/>
      </rPr>
      <t>以万元计</t>
    </r>
    <phoneticPr fontId="20" type="noConversion"/>
  </si>
  <si>
    <r>
      <rPr>
        <sz val="10"/>
        <color theme="1"/>
        <rFont val="宋体"/>
        <family val="3"/>
        <charset val="134"/>
      </rPr>
      <t>土地价值</t>
    </r>
    <phoneticPr fontId="20" type="noConversion"/>
  </si>
  <si>
    <r>
      <rPr>
        <sz val="10"/>
        <color theme="1"/>
        <rFont val="宋体"/>
        <family val="3"/>
        <charset val="134"/>
      </rPr>
      <t>比例</t>
    </r>
    <phoneticPr fontId="20" type="noConversion"/>
  </si>
  <si>
    <r>
      <rPr>
        <sz val="10"/>
        <color theme="1"/>
        <rFont val="宋体"/>
        <family val="3"/>
        <charset val="134"/>
      </rPr>
      <t>建筑物价值</t>
    </r>
    <phoneticPr fontId="20" type="noConversion"/>
  </si>
  <si>
    <r>
      <rPr>
        <b/>
        <sz val="10"/>
        <color indexed="8"/>
        <rFont val="宋体"/>
        <family val="3"/>
        <charset val="134"/>
      </rPr>
      <t>合计</t>
    </r>
    <phoneticPr fontId="20" type="noConversion"/>
  </si>
  <si>
    <r>
      <rPr>
        <sz val="10"/>
        <color indexed="8"/>
        <rFont val="宋体"/>
        <family val="3"/>
        <charset val="134"/>
      </rPr>
      <t>位置</t>
    </r>
    <r>
      <rPr>
        <sz val="10"/>
        <color indexed="8"/>
        <rFont val="Arial"/>
        <family val="2"/>
      </rPr>
      <t>/</t>
    </r>
    <r>
      <rPr>
        <sz val="10"/>
        <color indexed="8"/>
        <rFont val="宋体"/>
        <family val="3"/>
        <charset val="134"/>
      </rPr>
      <t>类型</t>
    </r>
    <phoneticPr fontId="20" type="noConversion"/>
  </si>
  <si>
    <r>
      <rPr>
        <sz val="10"/>
        <color indexed="8"/>
        <rFont val="宋体"/>
        <family val="3"/>
        <charset val="134"/>
      </rPr>
      <t>建筑面积</t>
    </r>
    <phoneticPr fontId="20" type="noConversion"/>
  </si>
  <si>
    <r>
      <rPr>
        <sz val="10"/>
        <color indexed="8"/>
        <rFont val="宋体"/>
        <family val="3"/>
        <charset val="134"/>
      </rPr>
      <t>修正系数</t>
    </r>
    <phoneticPr fontId="20" type="noConversion"/>
  </si>
  <si>
    <r>
      <rPr>
        <sz val="10"/>
        <color indexed="8"/>
        <rFont val="宋体"/>
        <family val="3"/>
        <charset val="134"/>
      </rPr>
      <t>修正单价</t>
    </r>
    <phoneticPr fontId="20" type="noConversion"/>
  </si>
  <si>
    <r>
      <rPr>
        <sz val="10"/>
        <color indexed="8"/>
        <rFont val="宋体"/>
        <family val="3"/>
        <charset val="134"/>
      </rPr>
      <t>总价</t>
    </r>
    <phoneticPr fontId="20" type="noConversion"/>
  </si>
  <si>
    <r>
      <rPr>
        <sz val="10"/>
        <color theme="1"/>
        <rFont val="宋体"/>
        <family val="3"/>
        <charset val="134"/>
      </rPr>
      <t>总价（元）</t>
    </r>
    <phoneticPr fontId="20" type="noConversion"/>
  </si>
  <si>
    <r>
      <rPr>
        <sz val="10"/>
        <color theme="1"/>
        <rFont val="宋体"/>
        <family val="3"/>
        <charset val="134"/>
      </rPr>
      <t>总价（万元）</t>
    </r>
    <phoneticPr fontId="20" type="noConversion"/>
  </si>
  <si>
    <r>
      <rPr>
        <sz val="10"/>
        <color indexed="8"/>
        <rFont val="宋体"/>
        <family val="3"/>
        <charset val="134"/>
      </rPr>
      <t>单价</t>
    </r>
    <phoneticPr fontId="20" type="noConversion"/>
  </si>
  <si>
    <r>
      <rPr>
        <b/>
        <sz val="16"/>
        <color rgb="FFFF0000"/>
        <rFont val="宋体"/>
        <family val="3"/>
        <charset val="134"/>
      </rPr>
      <t>比较法</t>
    </r>
    <phoneticPr fontId="4" type="noConversion"/>
  </si>
  <si>
    <r>
      <rPr>
        <b/>
        <sz val="16"/>
        <rFont val="宋体"/>
        <family val="3"/>
        <charset val="134"/>
      </rPr>
      <t>住宅</t>
    </r>
    <phoneticPr fontId="4" type="noConversion"/>
  </si>
  <si>
    <r>
      <rPr>
        <b/>
        <sz val="16"/>
        <color indexed="10"/>
        <rFont val="宋体"/>
        <family val="3"/>
        <charset val="134"/>
      </rPr>
      <t>录入顺序：主表的空白区域</t>
    </r>
    <r>
      <rPr>
        <b/>
        <sz val="16"/>
        <color indexed="10"/>
        <rFont val="Arial"/>
        <family val="2"/>
      </rPr>
      <t>-</t>
    </r>
    <r>
      <rPr>
        <b/>
        <sz val="16"/>
        <color indexed="10"/>
        <rFont val="宋体"/>
        <family val="3"/>
        <charset val="134"/>
      </rPr>
      <t>因素表空白区域</t>
    </r>
    <r>
      <rPr>
        <b/>
        <sz val="16"/>
        <color indexed="10"/>
        <rFont val="Arial"/>
        <family val="2"/>
      </rPr>
      <t>-</t>
    </r>
    <r>
      <rPr>
        <b/>
        <sz val="16"/>
        <color indexed="10"/>
        <rFont val="宋体"/>
        <family val="3"/>
        <charset val="134"/>
      </rPr>
      <t>主表黄色选项区域</t>
    </r>
    <r>
      <rPr>
        <b/>
        <sz val="16"/>
        <color indexed="10"/>
        <rFont val="Arial"/>
        <family val="2"/>
      </rPr>
      <t>-</t>
    </r>
    <r>
      <rPr>
        <b/>
        <sz val="16"/>
        <color indexed="10"/>
        <rFont val="宋体"/>
        <family val="3"/>
        <charset val="134"/>
      </rPr>
      <t>调节修正幅度</t>
    </r>
    <r>
      <rPr>
        <b/>
        <sz val="16"/>
        <color indexed="10"/>
        <rFont val="Arial"/>
        <family val="2"/>
      </rPr>
      <t>-</t>
    </r>
    <r>
      <rPr>
        <b/>
        <sz val="16"/>
        <color indexed="10"/>
        <rFont val="宋体"/>
        <family val="3"/>
        <charset val="134"/>
      </rPr>
      <t>完成</t>
    </r>
    <phoneticPr fontId="20" type="noConversion"/>
  </si>
  <si>
    <r>
      <rPr>
        <b/>
        <sz val="12"/>
        <rFont val="宋体"/>
        <family val="3"/>
        <charset val="134"/>
      </rPr>
      <t>建筑面积</t>
    </r>
    <phoneticPr fontId="20" type="noConversion"/>
  </si>
  <si>
    <r>
      <rPr>
        <b/>
        <sz val="11"/>
        <rFont val="宋体"/>
        <family val="3"/>
        <charset val="134"/>
      </rPr>
      <t>比较因素</t>
    </r>
    <phoneticPr fontId="4" type="noConversion"/>
  </si>
  <si>
    <r>
      <rPr>
        <sz val="11"/>
        <rFont val="宋体"/>
        <family val="3"/>
        <charset val="134"/>
      </rPr>
      <t>估价对象</t>
    </r>
    <phoneticPr fontId="4" type="noConversion"/>
  </si>
  <si>
    <r>
      <rPr>
        <sz val="11"/>
        <rFont val="宋体"/>
        <family val="3"/>
        <charset val="134"/>
      </rPr>
      <t>案例</t>
    </r>
    <r>
      <rPr>
        <sz val="11"/>
        <rFont val="Arial"/>
        <family val="2"/>
      </rPr>
      <t>A</t>
    </r>
    <phoneticPr fontId="4" type="noConversion"/>
  </si>
  <si>
    <r>
      <rPr>
        <sz val="11"/>
        <rFont val="宋体"/>
        <family val="3"/>
        <charset val="134"/>
      </rPr>
      <t>案例</t>
    </r>
    <r>
      <rPr>
        <sz val="11"/>
        <rFont val="Arial"/>
        <family val="2"/>
      </rPr>
      <t>B</t>
    </r>
    <phoneticPr fontId="4" type="noConversion"/>
  </si>
  <si>
    <r>
      <rPr>
        <sz val="11"/>
        <rFont val="宋体"/>
        <family val="3"/>
        <charset val="134"/>
      </rPr>
      <t>案例</t>
    </r>
    <r>
      <rPr>
        <sz val="11"/>
        <rFont val="Arial"/>
        <family val="2"/>
      </rPr>
      <t>C</t>
    </r>
    <phoneticPr fontId="4" type="noConversion"/>
  </si>
  <si>
    <r>
      <rPr>
        <sz val="11"/>
        <color indexed="8"/>
        <rFont val="宋体"/>
        <family val="3"/>
        <charset val="134"/>
      </rPr>
      <t>修正幅度</t>
    </r>
    <phoneticPr fontId="4" type="noConversion"/>
  </si>
  <si>
    <r>
      <rPr>
        <sz val="11"/>
        <rFont val="宋体"/>
        <family val="3"/>
        <charset val="134"/>
      </rPr>
      <t>比较因素</t>
    </r>
    <phoneticPr fontId="4" type="noConversion"/>
  </si>
  <si>
    <r>
      <rPr>
        <sz val="11"/>
        <color theme="9" tint="-0.249977111117893"/>
        <rFont val="宋体"/>
        <family val="3"/>
        <charset val="134"/>
      </rPr>
      <t>估价对象名称</t>
    </r>
    <phoneticPr fontId="4" type="noConversion"/>
  </si>
  <si>
    <r>
      <rPr>
        <sz val="11"/>
        <color theme="9" tint="-0.249977111117893"/>
        <rFont val="宋体"/>
        <family val="3"/>
        <charset val="134"/>
      </rPr>
      <t>案例</t>
    </r>
    <r>
      <rPr>
        <sz val="11"/>
        <color theme="9" tint="-0.249977111117893"/>
        <rFont val="Arial"/>
        <family val="2"/>
      </rPr>
      <t>A</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</si>
  <si>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B</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</si>
  <si>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C</t>
    </r>
    <r>
      <rPr>
        <sz val="11"/>
        <color theme="9" tint="-0.249977111117893"/>
        <rFont val="宋体"/>
        <family val="3"/>
        <charset val="134"/>
      </rPr>
      <t>名称</t>
    </r>
    <phoneticPr fontId="4" type="noConversion"/>
  </si>
  <si>
    <r>
      <rPr>
        <sz val="11"/>
        <color theme="9" tint="-0.249977111117893"/>
        <rFont val="宋体"/>
        <family val="3"/>
        <charset val="134"/>
      </rPr>
      <t>项目位置</t>
    </r>
    <phoneticPr fontId="4" type="noConversion"/>
  </si>
  <si>
    <r>
      <rPr>
        <sz val="11"/>
        <color indexed="8"/>
        <rFont val="宋体"/>
        <family val="3"/>
        <charset val="134"/>
      </rPr>
      <t>系数</t>
    </r>
    <r>
      <rPr>
        <sz val="11"/>
        <color indexed="8"/>
        <rFont val="Arial"/>
        <family val="2"/>
      </rPr>
      <t>%</t>
    </r>
    <phoneticPr fontId="4" type="noConversion"/>
  </si>
  <si>
    <r>
      <rPr>
        <b/>
        <sz val="11"/>
        <color indexed="8"/>
        <rFont val="宋体"/>
        <family val="3"/>
        <charset val="134"/>
      </rPr>
      <t>交易时间</t>
    </r>
    <phoneticPr fontId="4" type="noConversion"/>
  </si>
  <si>
    <r>
      <rPr>
        <sz val="11"/>
        <color indexed="8"/>
        <rFont val="宋体"/>
        <family val="3"/>
        <charset val="134"/>
      </rPr>
      <t>交易时间</t>
    </r>
    <phoneticPr fontId="4"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</si>
  <si>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</si>
  <si>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</si>
  <si>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sz val="11"/>
        <color indexed="8"/>
        <rFont val="宋体"/>
        <family val="3"/>
        <charset val="134"/>
      </rPr>
      <t>交易情况</t>
    </r>
    <phoneticPr fontId="4" type="noConversion"/>
  </si>
  <si>
    <r>
      <rPr>
        <b/>
        <sz val="11"/>
        <color indexed="8"/>
        <rFont val="宋体"/>
        <family val="3"/>
        <charset val="134"/>
      </rPr>
      <t>权益状况</t>
    </r>
    <phoneticPr fontId="4" type="noConversion"/>
  </si>
  <si>
    <r>
      <rPr>
        <sz val="11"/>
        <color indexed="8"/>
        <rFont val="宋体"/>
        <family val="3"/>
        <charset val="134"/>
      </rPr>
      <t>用途</t>
    </r>
    <phoneticPr fontId="4" type="noConversion"/>
  </si>
  <si>
    <r>
      <rPr>
        <sz val="11"/>
        <rFont val="宋体"/>
        <family val="3"/>
        <charset val="134"/>
      </rPr>
      <t>权益状况</t>
    </r>
    <phoneticPr fontId="4" type="noConversion"/>
  </si>
  <si>
    <r>
      <rPr>
        <sz val="11"/>
        <color indexed="8"/>
        <rFont val="宋体"/>
        <family val="3"/>
        <charset val="134"/>
      </rPr>
      <t>权益状况</t>
    </r>
    <phoneticPr fontId="4" type="noConversion"/>
  </si>
  <si>
    <r>
      <rPr>
        <sz val="11"/>
        <color indexed="8"/>
        <rFont val="宋体"/>
        <family val="3"/>
        <charset val="134"/>
      </rPr>
      <t>土地使用年限（年）</t>
    </r>
    <phoneticPr fontId="4" type="noConversion"/>
  </si>
  <si>
    <r>
      <rPr>
        <sz val="11"/>
        <color indexed="8"/>
        <rFont val="宋体"/>
        <family val="3"/>
        <charset val="134"/>
      </rPr>
      <t>容积率</t>
    </r>
    <phoneticPr fontId="4" type="noConversion"/>
  </si>
  <si>
    <r>
      <rPr>
        <b/>
        <sz val="11"/>
        <rFont val="宋体"/>
        <family val="3"/>
        <charset val="134"/>
      </rPr>
      <t>区位状况</t>
    </r>
    <phoneticPr fontId="4" type="noConversion"/>
  </si>
  <si>
    <r>
      <rPr>
        <sz val="11"/>
        <rFont val="宋体"/>
        <family val="3"/>
        <charset val="134"/>
      </rPr>
      <t>区位状况</t>
    </r>
    <phoneticPr fontId="4" type="noConversion"/>
  </si>
  <si>
    <r>
      <rPr>
        <sz val="11"/>
        <color indexed="8"/>
        <rFont val="宋体"/>
        <family val="3"/>
        <charset val="134"/>
      </rPr>
      <t>楼层</t>
    </r>
    <r>
      <rPr>
        <sz val="11"/>
        <color indexed="8"/>
        <rFont val="Arial"/>
        <family val="2"/>
      </rPr>
      <t>-1</t>
    </r>
    <phoneticPr fontId="20" type="noConversion"/>
  </si>
  <si>
    <r>
      <rPr>
        <sz val="11"/>
        <color indexed="8"/>
        <rFont val="宋体"/>
        <family val="3"/>
        <charset val="134"/>
      </rPr>
      <t>朝向</t>
    </r>
  </si>
  <si>
    <r>
      <rPr>
        <sz val="11"/>
        <color indexed="8"/>
        <rFont val="宋体"/>
        <family val="3"/>
        <charset val="134"/>
      </rPr>
      <t>道路级别</t>
    </r>
    <phoneticPr fontId="20" type="noConversion"/>
  </si>
  <si>
    <r>
      <rPr>
        <b/>
        <sz val="11"/>
        <rFont val="宋体"/>
        <family val="3"/>
        <charset val="134"/>
      </rPr>
      <t>实物状况</t>
    </r>
    <phoneticPr fontId="4" type="noConversion"/>
  </si>
  <si>
    <r>
      <rPr>
        <sz val="11"/>
        <color indexed="8"/>
        <rFont val="宋体"/>
        <family val="3"/>
        <charset val="134"/>
      </rPr>
      <t>建筑类型</t>
    </r>
  </si>
  <si>
    <r>
      <rPr>
        <sz val="11"/>
        <rFont val="宋体"/>
        <family val="3"/>
        <charset val="134"/>
      </rPr>
      <t>实物状况</t>
    </r>
    <phoneticPr fontId="4" type="noConversion"/>
  </si>
  <si>
    <r>
      <rPr>
        <sz val="11"/>
        <color indexed="8"/>
        <rFont val="宋体"/>
        <family val="3"/>
        <charset val="134"/>
      </rPr>
      <t>项目建筑规模</t>
    </r>
  </si>
  <si>
    <r>
      <rPr>
        <sz val="11"/>
        <color indexed="8"/>
        <rFont val="宋体"/>
        <family val="3"/>
        <charset val="134"/>
      </rPr>
      <t>建筑结构</t>
    </r>
  </si>
  <si>
    <r>
      <rPr>
        <sz val="11"/>
        <color indexed="8"/>
        <rFont val="宋体"/>
        <family val="3"/>
        <charset val="134"/>
      </rPr>
      <t>建筑品质</t>
    </r>
  </si>
  <si>
    <r>
      <rPr>
        <sz val="11"/>
        <color indexed="8"/>
        <rFont val="宋体"/>
        <family val="3"/>
        <charset val="134"/>
      </rPr>
      <t>公共部分装修</t>
    </r>
  </si>
  <si>
    <r>
      <rPr>
        <sz val="11"/>
        <color indexed="8"/>
        <rFont val="宋体"/>
        <family val="3"/>
        <charset val="134"/>
      </rPr>
      <t>成新度</t>
    </r>
  </si>
  <si>
    <r>
      <rPr>
        <sz val="11"/>
        <color indexed="8"/>
        <rFont val="宋体"/>
        <family val="3"/>
        <charset val="134"/>
      </rPr>
      <t>物业管理</t>
    </r>
  </si>
  <si>
    <r>
      <rPr>
        <sz val="11"/>
        <color indexed="8"/>
        <rFont val="宋体"/>
        <family val="3"/>
        <charset val="134"/>
      </rPr>
      <t>市政基础设施</t>
    </r>
    <phoneticPr fontId="20" type="noConversion"/>
  </si>
  <si>
    <r>
      <rPr>
        <sz val="11"/>
        <color indexed="8"/>
        <rFont val="宋体"/>
        <family val="3"/>
        <charset val="134"/>
      </rPr>
      <t>房型</t>
    </r>
  </si>
  <si>
    <r>
      <rPr>
        <sz val="11"/>
        <color indexed="8"/>
        <rFont val="宋体"/>
        <family val="3"/>
        <charset val="134"/>
      </rPr>
      <t>单套</t>
    </r>
    <r>
      <rPr>
        <sz val="11"/>
        <color indexed="8"/>
        <rFont val="Arial"/>
        <family val="2"/>
      </rPr>
      <t>/</t>
    </r>
    <r>
      <rPr>
        <sz val="11"/>
        <color indexed="8"/>
        <rFont val="宋体"/>
        <family val="3"/>
        <charset val="134"/>
      </rPr>
      <t>主力户型建筑面积</t>
    </r>
    <phoneticPr fontId="4" type="noConversion"/>
  </si>
  <si>
    <r>
      <rPr>
        <sz val="11"/>
        <color indexed="8"/>
        <rFont val="宋体"/>
        <family val="3"/>
        <charset val="134"/>
      </rPr>
      <t>内部装修</t>
    </r>
  </si>
  <si>
    <r>
      <rPr>
        <sz val="11"/>
        <color indexed="8"/>
        <rFont val="宋体"/>
        <family val="3"/>
        <charset val="134"/>
      </rPr>
      <t>内部装修维护情况</t>
    </r>
  </si>
  <si>
    <r>
      <rPr>
        <b/>
        <sz val="11"/>
        <rFont val="宋体"/>
        <family val="3"/>
        <charset val="134"/>
      </rPr>
      <t>成交单价（元</t>
    </r>
    <r>
      <rPr>
        <b/>
        <sz val="11"/>
        <rFont val="Arial"/>
        <family val="2"/>
      </rPr>
      <t>/</t>
    </r>
    <r>
      <rPr>
        <b/>
        <sz val="11"/>
        <rFont val="宋体"/>
        <family val="3"/>
        <charset val="134"/>
      </rPr>
      <t>平方米）</t>
    </r>
    <phoneticPr fontId="4"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</si>
  <si>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</si>
  <si>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</si>
  <si>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</si>
  <si>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</si>
  <si>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</si>
  <si>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</si>
  <si>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</si>
  <si>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b/>
        <sz val="11"/>
        <color indexed="8"/>
        <rFont val="宋体"/>
        <family val="3"/>
        <charset val="134"/>
      </rPr>
      <t>官方公布的价格指数</t>
    </r>
    <r>
      <rPr>
        <b/>
        <sz val="11"/>
        <color indexed="8"/>
        <rFont val="Arial"/>
        <family val="2"/>
      </rPr>
      <t>/</t>
    </r>
    <r>
      <rPr>
        <b/>
        <sz val="11"/>
        <color indexed="8"/>
        <rFont val="宋体"/>
        <family val="3"/>
        <charset val="134"/>
      </rPr>
      <t>增幅</t>
    </r>
    <phoneticPr fontId="20"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</si>
  <si>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</si>
  <si>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</si>
  <si>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b/>
        <sz val="11"/>
        <rFont val="宋体"/>
        <family val="3"/>
        <charset val="134"/>
      </rPr>
      <t>权益状况</t>
    </r>
    <phoneticPr fontId="4" type="noConversion"/>
  </si>
  <si>
    <r>
      <t>60-70</t>
    </r>
    <r>
      <rPr>
        <sz val="11"/>
        <rFont val="宋体"/>
        <family val="3"/>
        <charset val="134"/>
      </rPr>
      <t>（含）</t>
    </r>
    <phoneticPr fontId="20" type="noConversion"/>
  </si>
  <si>
    <r>
      <t>50-60</t>
    </r>
    <r>
      <rPr>
        <sz val="11"/>
        <rFont val="宋体"/>
        <family val="3"/>
        <charset val="134"/>
      </rPr>
      <t>（含）</t>
    </r>
    <phoneticPr fontId="20" type="noConversion"/>
  </si>
  <si>
    <r>
      <t>40-50</t>
    </r>
    <r>
      <rPr>
        <sz val="11"/>
        <rFont val="宋体"/>
        <family val="3"/>
        <charset val="134"/>
      </rPr>
      <t>（含）</t>
    </r>
    <phoneticPr fontId="20" type="noConversion"/>
  </si>
  <si>
    <r>
      <t>30-40</t>
    </r>
    <r>
      <rPr>
        <sz val="11"/>
        <rFont val="宋体"/>
        <family val="3"/>
        <charset val="134"/>
      </rPr>
      <t>（含）</t>
    </r>
    <phoneticPr fontId="20" type="noConversion"/>
  </si>
  <si>
    <r>
      <t>20-30</t>
    </r>
    <r>
      <rPr>
        <sz val="11"/>
        <rFont val="宋体"/>
        <family val="3"/>
        <charset val="134"/>
      </rPr>
      <t>（含）</t>
    </r>
    <phoneticPr fontId="20" type="noConversion"/>
  </si>
  <si>
    <r>
      <t>10-20</t>
    </r>
    <r>
      <rPr>
        <sz val="11"/>
        <rFont val="宋体"/>
        <family val="3"/>
        <charset val="134"/>
      </rPr>
      <t>（含）</t>
    </r>
    <phoneticPr fontId="20" type="noConversion"/>
  </si>
  <si>
    <r>
      <t>0-10</t>
    </r>
    <r>
      <rPr>
        <sz val="11"/>
        <rFont val="宋体"/>
        <family val="3"/>
        <charset val="134"/>
      </rPr>
      <t>（含）</t>
    </r>
    <phoneticPr fontId="20" type="noConversion"/>
  </si>
  <si>
    <r>
      <rPr>
        <sz val="11"/>
        <color indexed="8"/>
        <rFont val="宋体"/>
        <family val="3"/>
        <charset val="134"/>
      </rPr>
      <t>居住社区成熟度</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</si>
  <si>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</si>
  <si>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</si>
  <si>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</si>
  <si>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</si>
  <si>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</si>
  <si>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rPr>
        <sz val="11"/>
        <color indexed="8"/>
        <rFont val="宋体"/>
        <family val="3"/>
        <charset val="134"/>
      </rPr>
      <t>交通便捷度</t>
    </r>
    <phoneticPr fontId="4" type="noConversion"/>
  </si>
  <si>
    <r>
      <rPr>
        <sz val="11"/>
        <color indexed="8"/>
        <rFont val="宋体"/>
        <family val="3"/>
        <charset val="134"/>
      </rPr>
      <t>公共配套设施</t>
    </r>
    <phoneticPr fontId="4" type="noConversion"/>
  </si>
  <si>
    <r>
      <rPr>
        <sz val="11"/>
        <rFont val="宋体"/>
        <family val="3"/>
        <charset val="134"/>
      </rPr>
      <t>七通</t>
    </r>
    <phoneticPr fontId="4" type="noConversion"/>
  </si>
  <si>
    <r>
      <rPr>
        <sz val="11"/>
        <rFont val="宋体"/>
        <family val="3"/>
        <charset val="134"/>
      </rPr>
      <t>六通</t>
    </r>
    <phoneticPr fontId="4" type="noConversion"/>
  </si>
  <si>
    <r>
      <rPr>
        <sz val="11"/>
        <rFont val="宋体"/>
        <family val="3"/>
        <charset val="134"/>
      </rPr>
      <t>五通</t>
    </r>
    <phoneticPr fontId="4" type="noConversion"/>
  </si>
  <si>
    <r>
      <rPr>
        <sz val="11"/>
        <rFont val="宋体"/>
        <family val="3"/>
        <charset val="134"/>
      </rPr>
      <t>四通</t>
    </r>
    <phoneticPr fontId="4" type="noConversion"/>
  </si>
  <si>
    <r>
      <rPr>
        <sz val="11"/>
        <rFont val="宋体"/>
        <family val="3"/>
        <charset val="134"/>
      </rPr>
      <t>三通</t>
    </r>
    <phoneticPr fontId="4" type="noConversion"/>
  </si>
  <si>
    <r>
      <rPr>
        <sz val="11"/>
        <color indexed="8"/>
        <rFont val="宋体"/>
        <family val="3"/>
        <charset val="134"/>
      </rPr>
      <t>自然及人文环境</t>
    </r>
    <phoneticPr fontId="4" type="noConversion"/>
  </si>
  <si>
    <r>
      <rPr>
        <sz val="11"/>
        <color indexed="8"/>
        <rFont val="宋体"/>
        <family val="3"/>
        <charset val="134"/>
      </rPr>
      <t>楼层</t>
    </r>
    <r>
      <rPr>
        <sz val="11"/>
        <color indexed="8"/>
        <rFont val="Arial"/>
        <family val="2"/>
      </rPr>
      <t>-1</t>
    </r>
    <phoneticPr fontId="4" type="noConversion"/>
  </si>
  <si>
    <r>
      <rPr>
        <sz val="11"/>
        <color indexed="8"/>
        <rFont val="宋体"/>
        <family val="3"/>
        <charset val="134"/>
      </rPr>
      <t>朝向</t>
    </r>
    <phoneticPr fontId="4" type="noConversion"/>
  </si>
  <si>
    <r>
      <rPr>
        <sz val="11"/>
        <color indexed="8"/>
        <rFont val="宋体"/>
        <family val="3"/>
        <charset val="134"/>
      </rPr>
      <t>建筑类型</t>
    </r>
    <phoneticPr fontId="4" type="noConversion"/>
  </si>
  <si>
    <r>
      <rPr>
        <sz val="11"/>
        <color indexed="8"/>
        <rFont val="宋体"/>
        <family val="3"/>
        <charset val="134"/>
      </rPr>
      <t>项目建筑规模</t>
    </r>
    <phoneticPr fontId="4" type="noConversion"/>
  </si>
  <si>
    <r>
      <rPr>
        <sz val="11"/>
        <color indexed="8"/>
        <rFont val="宋体"/>
        <family val="3"/>
        <charset val="134"/>
      </rPr>
      <t>建筑结构</t>
    </r>
    <phoneticPr fontId="4" type="noConversion"/>
  </si>
  <si>
    <r>
      <rPr>
        <sz val="11"/>
        <color indexed="8"/>
        <rFont val="宋体"/>
        <family val="3"/>
        <charset val="134"/>
      </rPr>
      <t>建筑品质</t>
    </r>
    <phoneticPr fontId="4" type="noConversion"/>
  </si>
  <si>
    <r>
      <rPr>
        <sz val="11"/>
        <color indexed="8"/>
        <rFont val="宋体"/>
        <family val="3"/>
        <charset val="134"/>
      </rPr>
      <t>公共部分装修</t>
    </r>
    <phoneticPr fontId="4" type="noConversion"/>
  </si>
  <si>
    <r>
      <rPr>
        <sz val="11"/>
        <color indexed="8"/>
        <rFont val="宋体"/>
        <family val="3"/>
        <charset val="134"/>
      </rPr>
      <t>成新度</t>
    </r>
    <phoneticPr fontId="4" type="noConversion"/>
  </si>
  <si>
    <r>
      <rPr>
        <sz val="11"/>
        <color indexed="8"/>
        <rFont val="宋体"/>
        <family val="3"/>
        <charset val="134"/>
      </rPr>
      <t>物业管理</t>
    </r>
    <phoneticPr fontId="4" type="noConversion"/>
  </si>
  <si>
    <r>
      <rPr>
        <sz val="11"/>
        <color indexed="8"/>
        <rFont val="宋体"/>
        <family val="3"/>
        <charset val="134"/>
      </rPr>
      <t>市政基础设施</t>
    </r>
    <phoneticPr fontId="4" type="noConversion"/>
  </si>
  <si>
    <r>
      <rPr>
        <sz val="11"/>
        <color indexed="8"/>
        <rFont val="宋体"/>
        <family val="3"/>
        <charset val="134"/>
      </rPr>
      <t>房型</t>
    </r>
    <phoneticPr fontId="4" type="noConversion"/>
  </si>
  <si>
    <r>
      <rPr>
        <sz val="11"/>
        <color indexed="8"/>
        <rFont val="宋体"/>
        <family val="3"/>
        <charset val="134"/>
      </rPr>
      <t>内部装修</t>
    </r>
    <phoneticPr fontId="4" type="noConversion"/>
  </si>
  <si>
    <r>
      <rPr>
        <sz val="11"/>
        <color indexed="8"/>
        <rFont val="宋体"/>
        <family val="3"/>
        <charset val="134"/>
      </rPr>
      <t>内部装修维护情况</t>
    </r>
    <phoneticPr fontId="4" type="noConversion"/>
  </si>
  <si>
    <r>
      <rPr>
        <sz val="11"/>
        <color rgb="FFFF0000"/>
        <rFont val="宋体"/>
        <family val="3"/>
        <charset val="134"/>
      </rPr>
      <t>楼层修正</t>
    </r>
    <r>
      <rPr>
        <sz val="11"/>
        <color rgb="FFFF0000"/>
        <rFont val="Arial"/>
        <family val="2"/>
      </rPr>
      <t>-2</t>
    </r>
    <r>
      <rPr>
        <sz val="11"/>
        <color rgb="FFFF0000"/>
        <rFont val="宋体"/>
        <family val="3"/>
        <charset val="134"/>
      </rPr>
      <t>：多层及高层同时修正时的处理，以普通无电梯多层为基准</t>
    </r>
    <phoneticPr fontId="20" type="noConversion"/>
  </si>
  <si>
    <r>
      <rPr>
        <sz val="11"/>
        <color theme="1"/>
        <rFont val="宋体"/>
        <family val="3"/>
        <charset val="134"/>
      </rPr>
      <t>多层</t>
    </r>
    <phoneticPr fontId="88" type="noConversion"/>
  </si>
  <si>
    <r>
      <rPr>
        <sz val="11"/>
        <color theme="1"/>
        <rFont val="宋体"/>
        <family val="3"/>
        <charset val="134"/>
      </rPr>
      <t>高层</t>
    </r>
    <phoneticPr fontId="88" type="noConversion"/>
  </si>
  <si>
    <r>
      <rPr>
        <sz val="11"/>
        <color theme="1"/>
        <rFont val="宋体"/>
        <family val="3"/>
        <charset val="134"/>
      </rPr>
      <t>无电梯</t>
    </r>
    <phoneticPr fontId="88" type="noConversion"/>
  </si>
  <si>
    <r>
      <rPr>
        <sz val="11"/>
        <color theme="1"/>
        <rFont val="宋体"/>
        <family val="3"/>
        <charset val="134"/>
      </rPr>
      <t>增值项</t>
    </r>
    <phoneticPr fontId="88" type="noConversion"/>
  </si>
  <si>
    <r>
      <rPr>
        <sz val="11"/>
        <color theme="1"/>
        <rFont val="宋体"/>
        <family val="3"/>
        <charset val="134"/>
      </rPr>
      <t>系数</t>
    </r>
    <phoneticPr fontId="88" type="noConversion"/>
  </si>
  <si>
    <r>
      <rPr>
        <sz val="11"/>
        <color theme="1"/>
        <rFont val="宋体"/>
        <family val="3"/>
        <charset val="134"/>
      </rPr>
      <t>有电梯</t>
    </r>
    <phoneticPr fontId="88" type="noConversion"/>
  </si>
  <si>
    <r>
      <rPr>
        <sz val="11"/>
        <color theme="1"/>
        <rFont val="宋体"/>
        <family val="3"/>
        <charset val="134"/>
      </rPr>
      <t>楼层数</t>
    </r>
    <r>
      <rPr>
        <sz val="11"/>
        <color theme="1"/>
        <rFont val="Arial"/>
        <family val="2"/>
      </rPr>
      <t>/</t>
    </r>
    <r>
      <rPr>
        <sz val="11"/>
        <color theme="1"/>
        <rFont val="宋体"/>
        <family val="3"/>
        <charset val="134"/>
      </rPr>
      <t>位置</t>
    </r>
    <phoneticPr fontId="88" type="noConversion"/>
  </si>
  <si>
    <r>
      <rPr>
        <sz val="11"/>
        <color theme="1"/>
        <rFont val="宋体"/>
        <family val="3"/>
        <charset val="134"/>
      </rPr>
      <t>层差</t>
    </r>
    <r>
      <rPr>
        <sz val="11"/>
        <color theme="1"/>
        <rFont val="Arial"/>
        <family val="2"/>
      </rPr>
      <t>/</t>
    </r>
    <r>
      <rPr>
        <sz val="11"/>
        <color theme="1"/>
        <rFont val="宋体"/>
        <family val="3"/>
        <charset val="134"/>
      </rPr>
      <t>系数</t>
    </r>
    <phoneticPr fontId="88" type="noConversion"/>
  </si>
  <si>
    <r>
      <rPr>
        <sz val="11"/>
        <color theme="1"/>
        <rFont val="宋体"/>
        <family val="3"/>
        <charset val="134"/>
      </rPr>
      <t>露台</t>
    </r>
    <phoneticPr fontId="88" type="noConversion"/>
  </si>
  <si>
    <r>
      <rPr>
        <sz val="11"/>
        <color theme="1"/>
        <rFont val="宋体"/>
        <family val="3"/>
        <charset val="134"/>
      </rPr>
      <t>总层数</t>
    </r>
    <phoneticPr fontId="88" type="noConversion"/>
  </si>
  <si>
    <r>
      <rPr>
        <sz val="11"/>
        <color theme="1"/>
        <rFont val="宋体"/>
        <family val="3"/>
        <charset val="134"/>
      </rPr>
      <t>中间层</t>
    </r>
    <phoneticPr fontId="88" type="noConversion"/>
  </si>
  <si>
    <r>
      <rPr>
        <sz val="11"/>
        <color theme="1"/>
        <rFont val="宋体"/>
        <family val="3"/>
        <charset val="134"/>
      </rPr>
      <t>首层</t>
    </r>
    <phoneticPr fontId="88" type="noConversion"/>
  </si>
  <si>
    <r>
      <rPr>
        <sz val="11"/>
        <color theme="1"/>
        <rFont val="宋体"/>
        <family val="3"/>
        <charset val="134"/>
      </rPr>
      <t>顶层</t>
    </r>
    <phoneticPr fontId="88" type="noConversion"/>
  </si>
  <si>
    <r>
      <rPr>
        <sz val="11"/>
        <color theme="1"/>
        <rFont val="宋体"/>
        <family val="3"/>
        <charset val="134"/>
      </rPr>
      <t>所在楼层</t>
    </r>
    <phoneticPr fontId="88" type="noConversion"/>
  </si>
  <si>
    <r>
      <rPr>
        <sz val="11"/>
        <color theme="1"/>
        <rFont val="宋体"/>
        <family val="3"/>
        <charset val="134"/>
      </rPr>
      <t>花园</t>
    </r>
    <phoneticPr fontId="88" type="noConversion"/>
  </si>
  <si>
    <r>
      <rPr>
        <sz val="11"/>
        <color theme="1"/>
        <rFont val="宋体"/>
        <family val="3"/>
        <charset val="134"/>
      </rPr>
      <t>最高最低差</t>
    </r>
    <phoneticPr fontId="88" type="noConversion"/>
  </si>
  <si>
    <r>
      <rPr>
        <sz val="12"/>
        <rFont val="宋体"/>
        <family val="3"/>
        <charset val="134"/>
      </rPr>
      <t>注意于无电梯多层的价值匹配</t>
    </r>
    <phoneticPr fontId="20" type="noConversion"/>
  </si>
  <si>
    <r>
      <rPr>
        <sz val="11"/>
        <color rgb="FFFF0000"/>
        <rFont val="宋体"/>
        <family val="3"/>
        <charset val="134"/>
      </rPr>
      <t>修正体系描述方式：</t>
    </r>
    <phoneticPr fontId="20" type="noConversion"/>
  </si>
  <si>
    <r>
      <rPr>
        <sz val="11"/>
        <color rgb="FFFF0000"/>
        <rFont val="宋体"/>
        <family val="3"/>
        <charset val="134"/>
      </rPr>
      <t>估价对象及比较案例的建筑类型不同，分别为多层及高层。本次评估楼层修正中，多层建筑的各层修正系数如下表，高层建筑的各楼层修正系数以多层建筑的最高最低层差系数为基准进行平均分配。</t>
    </r>
    <phoneticPr fontId="20" type="noConversion"/>
  </si>
  <si>
    <r>
      <rPr>
        <b/>
        <sz val="16"/>
        <rFont val="宋体"/>
        <family val="3"/>
        <charset val="134"/>
      </rPr>
      <t>商业</t>
    </r>
    <phoneticPr fontId="4" type="noConversion"/>
  </si>
  <si>
    <r>
      <rPr>
        <sz val="11"/>
        <color indexed="8"/>
        <rFont val="宋体"/>
        <family val="3"/>
        <charset val="134"/>
      </rPr>
      <t>商业繁华度</t>
    </r>
    <phoneticPr fontId="25" type="noConversion"/>
  </si>
  <si>
    <r>
      <rPr>
        <sz val="11"/>
        <color indexed="8"/>
        <rFont val="宋体"/>
        <family val="3"/>
        <charset val="134"/>
      </rPr>
      <t>公共配套设施</t>
    </r>
    <phoneticPr fontId="25" type="noConversion"/>
  </si>
  <si>
    <r>
      <rPr>
        <sz val="11"/>
        <color indexed="8"/>
        <rFont val="宋体"/>
        <family val="3"/>
        <charset val="134"/>
      </rPr>
      <t>基础设施水平</t>
    </r>
    <phoneticPr fontId="25" type="noConversion"/>
  </si>
  <si>
    <r>
      <rPr>
        <sz val="11"/>
        <color indexed="8"/>
        <rFont val="宋体"/>
        <family val="3"/>
        <charset val="134"/>
      </rPr>
      <t>临街状况</t>
    </r>
    <phoneticPr fontId="25" type="noConversion"/>
  </si>
  <si>
    <r>
      <rPr>
        <sz val="11"/>
        <color indexed="8"/>
        <rFont val="宋体"/>
        <family val="3"/>
        <charset val="134"/>
      </rPr>
      <t>平面位置</t>
    </r>
    <r>
      <rPr>
        <sz val="11"/>
        <color indexed="8"/>
        <rFont val="Arial"/>
        <family val="2"/>
      </rPr>
      <t>/</t>
    </r>
    <r>
      <rPr>
        <sz val="11"/>
        <color indexed="8"/>
        <rFont val="宋体"/>
        <family val="3"/>
        <charset val="134"/>
      </rPr>
      <t>可视性</t>
    </r>
    <phoneticPr fontId="25" type="noConversion"/>
  </si>
  <si>
    <r>
      <rPr>
        <sz val="11"/>
        <color indexed="8"/>
        <rFont val="宋体"/>
        <family val="3"/>
        <charset val="134"/>
      </rPr>
      <t>人流量</t>
    </r>
    <phoneticPr fontId="25" type="noConversion"/>
  </si>
  <si>
    <r>
      <rPr>
        <sz val="11"/>
        <color indexed="8"/>
        <rFont val="宋体"/>
        <family val="3"/>
        <charset val="134"/>
      </rPr>
      <t>楼层</t>
    </r>
    <phoneticPr fontId="25" type="noConversion"/>
  </si>
  <si>
    <r>
      <rPr>
        <sz val="11"/>
        <color indexed="8"/>
        <rFont val="宋体"/>
        <family val="3"/>
        <charset val="134"/>
      </rPr>
      <t>商业类型</t>
    </r>
    <phoneticPr fontId="25" type="noConversion"/>
  </si>
  <si>
    <r>
      <rPr>
        <sz val="11"/>
        <color indexed="8"/>
        <rFont val="宋体"/>
        <family val="3"/>
        <charset val="134"/>
      </rPr>
      <t>公共部分装修</t>
    </r>
    <phoneticPr fontId="25" type="noConversion"/>
  </si>
  <si>
    <r>
      <rPr>
        <sz val="11"/>
        <color indexed="8"/>
        <rFont val="宋体"/>
        <family val="3"/>
        <charset val="134"/>
      </rPr>
      <t>成新度</t>
    </r>
    <phoneticPr fontId="25" type="noConversion"/>
  </si>
  <si>
    <r>
      <rPr>
        <sz val="11"/>
        <color indexed="8"/>
        <rFont val="宋体"/>
        <family val="3"/>
        <charset val="134"/>
      </rPr>
      <t>市政基础设施</t>
    </r>
    <phoneticPr fontId="25" type="noConversion"/>
  </si>
  <si>
    <r>
      <rPr>
        <sz val="11"/>
        <color indexed="8"/>
        <rFont val="宋体"/>
        <family val="3"/>
        <charset val="134"/>
      </rPr>
      <t>业态</t>
    </r>
    <phoneticPr fontId="25" type="noConversion"/>
  </si>
  <si>
    <r>
      <rPr>
        <sz val="11"/>
        <color indexed="8"/>
        <rFont val="宋体"/>
        <family val="3"/>
        <charset val="134"/>
      </rPr>
      <t>层高</t>
    </r>
    <phoneticPr fontId="25" type="noConversion"/>
  </si>
  <si>
    <r>
      <rPr>
        <sz val="11"/>
        <color indexed="8"/>
        <rFont val="宋体"/>
        <family val="3"/>
        <charset val="134"/>
      </rPr>
      <t>单套建筑面积</t>
    </r>
    <phoneticPr fontId="25" type="noConversion"/>
  </si>
  <si>
    <r>
      <rPr>
        <sz val="11"/>
        <rFont val="宋体"/>
        <family val="3"/>
        <charset val="134"/>
      </rPr>
      <t>进深比</t>
    </r>
    <phoneticPr fontId="4" type="noConversion"/>
  </si>
  <si>
    <r>
      <rPr>
        <sz val="11"/>
        <color indexed="8"/>
        <rFont val="宋体"/>
        <family val="3"/>
        <charset val="134"/>
      </rPr>
      <t>内部装修</t>
    </r>
    <phoneticPr fontId="25"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</si>
  <si>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</si>
  <si>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indexed="10"/>
        <rFont val="Arial"/>
        <family val="2"/>
      </rPr>
      <t>XX</t>
    </r>
    <r>
      <rPr>
        <b/>
        <sz val="11"/>
        <color indexed="10"/>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</si>
  <si>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</si>
  <si>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</si>
  <si>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</si>
  <si>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</si>
  <si>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sz val="11"/>
        <color indexed="8"/>
        <rFont val="宋体"/>
        <family val="3"/>
        <charset val="134"/>
      </rPr>
      <t>临街状况</t>
    </r>
    <phoneticPr fontId="4" type="noConversion"/>
  </si>
  <si>
    <r>
      <rPr>
        <sz val="11"/>
        <color indexed="8"/>
        <rFont val="宋体"/>
        <family val="3"/>
        <charset val="134"/>
      </rPr>
      <t>商业类型</t>
    </r>
    <phoneticPr fontId="4" type="noConversion"/>
  </si>
  <si>
    <r>
      <rPr>
        <sz val="11"/>
        <color indexed="8"/>
        <rFont val="宋体"/>
        <family val="3"/>
        <charset val="134"/>
      </rPr>
      <t>业态</t>
    </r>
    <phoneticPr fontId="4" type="noConversion"/>
  </si>
  <si>
    <r>
      <rPr>
        <sz val="11"/>
        <color indexed="8"/>
        <rFont val="宋体"/>
        <family val="3"/>
        <charset val="134"/>
      </rPr>
      <t>层高</t>
    </r>
    <phoneticPr fontId="4" type="noConversion"/>
  </si>
  <si>
    <r>
      <rPr>
        <sz val="11"/>
        <color indexed="8"/>
        <rFont val="宋体"/>
        <family val="3"/>
        <charset val="134"/>
      </rPr>
      <t>单套建筑面积</t>
    </r>
    <phoneticPr fontId="4" type="noConversion"/>
  </si>
  <si>
    <r>
      <rPr>
        <sz val="11"/>
        <color indexed="8"/>
        <rFont val="宋体"/>
        <family val="3"/>
        <charset val="134"/>
      </rPr>
      <t>进深比</t>
    </r>
    <phoneticPr fontId="4" type="noConversion"/>
  </si>
  <si>
    <r>
      <rPr>
        <b/>
        <sz val="16"/>
        <rFont val="宋体"/>
        <family val="3"/>
        <charset val="134"/>
      </rPr>
      <t>办公</t>
    </r>
    <phoneticPr fontId="25" type="noConversion"/>
  </si>
  <si>
    <r>
      <rPr>
        <sz val="11"/>
        <color indexed="8"/>
        <rFont val="宋体"/>
        <family val="3"/>
        <charset val="134"/>
      </rPr>
      <t>办公集聚程度</t>
    </r>
    <phoneticPr fontId="25" type="noConversion"/>
  </si>
  <si>
    <r>
      <rPr>
        <sz val="11"/>
        <color indexed="8"/>
        <rFont val="宋体"/>
        <family val="3"/>
        <charset val="134"/>
      </rPr>
      <t>公共配套设施</t>
    </r>
    <phoneticPr fontId="26" type="noConversion"/>
  </si>
  <si>
    <r>
      <rPr>
        <sz val="11"/>
        <color indexed="8"/>
        <rFont val="宋体"/>
        <family val="3"/>
        <charset val="134"/>
      </rPr>
      <t>基础设施水平</t>
    </r>
    <phoneticPr fontId="26" type="noConversion"/>
  </si>
  <si>
    <r>
      <rPr>
        <sz val="11"/>
        <color indexed="8"/>
        <rFont val="宋体"/>
        <family val="3"/>
        <charset val="134"/>
      </rPr>
      <t>环境质量</t>
    </r>
    <phoneticPr fontId="26" type="noConversion"/>
  </si>
  <si>
    <r>
      <rPr>
        <sz val="11"/>
        <color indexed="8"/>
        <rFont val="宋体"/>
        <family val="3"/>
        <charset val="134"/>
      </rPr>
      <t>毗邻道路的类型与等级</t>
    </r>
    <phoneticPr fontId="25" type="noConversion"/>
  </si>
  <si>
    <r>
      <rPr>
        <sz val="11"/>
        <color indexed="8"/>
        <rFont val="宋体"/>
        <family val="3"/>
        <charset val="134"/>
      </rPr>
      <t>朝向</t>
    </r>
    <phoneticPr fontId="25" type="noConversion"/>
  </si>
  <si>
    <r>
      <rPr>
        <sz val="11"/>
        <color indexed="8"/>
        <rFont val="宋体"/>
        <family val="3"/>
        <charset val="134"/>
      </rPr>
      <t>建筑类型</t>
    </r>
    <phoneticPr fontId="25" type="noConversion"/>
  </si>
  <si>
    <r>
      <rPr>
        <sz val="11"/>
        <color indexed="8"/>
        <rFont val="宋体"/>
        <family val="3"/>
        <charset val="134"/>
      </rPr>
      <t>写字楼等级</t>
    </r>
    <phoneticPr fontId="25" type="noConversion"/>
  </si>
  <si>
    <r>
      <rPr>
        <sz val="11"/>
        <color indexed="8"/>
        <rFont val="宋体"/>
        <family val="3"/>
        <charset val="134"/>
      </rPr>
      <t>物业管理</t>
    </r>
    <phoneticPr fontId="25" type="noConversion"/>
  </si>
  <si>
    <r>
      <rPr>
        <sz val="11"/>
        <rFont val="宋体"/>
        <family val="3"/>
        <charset val="134"/>
      </rPr>
      <t>单套建筑面积</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</si>
  <si>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</si>
  <si>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sz val="11"/>
        <color indexed="8"/>
        <rFont val="宋体"/>
        <family val="3"/>
        <charset val="134"/>
      </rPr>
      <t>办公集聚程度</t>
    </r>
    <phoneticPr fontId="4" type="noConversion"/>
  </si>
  <si>
    <r>
      <rPr>
        <sz val="11"/>
        <color indexed="8"/>
        <rFont val="宋体"/>
        <family val="3"/>
        <charset val="134"/>
      </rPr>
      <t>环境质量</t>
    </r>
    <phoneticPr fontId="4" type="noConversion"/>
  </si>
  <si>
    <r>
      <rPr>
        <sz val="11"/>
        <color indexed="8"/>
        <rFont val="宋体"/>
        <family val="3"/>
        <charset val="134"/>
      </rPr>
      <t>毗邻道路的类型与等级</t>
    </r>
    <phoneticPr fontId="4" type="noConversion"/>
  </si>
  <si>
    <r>
      <rPr>
        <sz val="11"/>
        <color indexed="8"/>
        <rFont val="宋体"/>
        <family val="3"/>
        <charset val="134"/>
      </rPr>
      <t>写字楼等级</t>
    </r>
    <phoneticPr fontId="4" type="noConversion"/>
  </si>
  <si>
    <r>
      <rPr>
        <sz val="11"/>
        <rFont val="宋体"/>
        <family val="3"/>
        <charset val="134"/>
      </rPr>
      <t>层高</t>
    </r>
    <phoneticPr fontId="4" type="noConversion"/>
  </si>
  <si>
    <r>
      <rPr>
        <b/>
        <sz val="16"/>
        <rFont val="宋体"/>
        <family val="3"/>
        <charset val="134"/>
      </rPr>
      <t>工业</t>
    </r>
    <phoneticPr fontId="4" type="noConversion"/>
  </si>
  <si>
    <r>
      <rPr>
        <sz val="11"/>
        <color indexed="8"/>
        <rFont val="宋体"/>
        <family val="3"/>
        <charset val="134"/>
      </rPr>
      <t>产业集聚程度</t>
    </r>
    <phoneticPr fontId="25" type="noConversion"/>
  </si>
  <si>
    <r>
      <rPr>
        <sz val="11"/>
        <color indexed="8"/>
        <rFont val="宋体"/>
        <family val="3"/>
        <charset val="134"/>
      </rPr>
      <t>内部装修状况</t>
    </r>
    <phoneticPr fontId="25" type="noConversion"/>
  </si>
  <si>
    <r>
      <rPr>
        <sz val="11"/>
        <color indexed="8"/>
        <rFont val="宋体"/>
        <family val="3"/>
        <charset val="134"/>
      </rPr>
      <t>产业集聚程度</t>
    </r>
    <phoneticPr fontId="4" type="noConversion"/>
  </si>
  <si>
    <r>
      <rPr>
        <sz val="11"/>
        <rFont val="宋体"/>
        <family val="3"/>
        <charset val="134"/>
      </rPr>
      <t>内部装修维护状况</t>
    </r>
    <phoneticPr fontId="4" type="noConversion"/>
  </si>
  <si>
    <r>
      <rPr>
        <b/>
        <sz val="16"/>
        <color indexed="10"/>
        <rFont val="宋体"/>
        <family val="3"/>
        <charset val="134"/>
      </rPr>
      <t>比较法</t>
    </r>
    <phoneticPr fontId="4" type="noConversion"/>
  </si>
  <si>
    <r>
      <rPr>
        <b/>
        <sz val="12"/>
        <rFont val="宋体"/>
        <family val="3"/>
        <charset val="134"/>
      </rPr>
      <t>车位数</t>
    </r>
    <phoneticPr fontId="4" type="noConversion"/>
  </si>
  <si>
    <r>
      <rPr>
        <sz val="11"/>
        <color indexed="8"/>
        <rFont val="宋体"/>
        <family val="3"/>
        <charset val="134"/>
      </rPr>
      <t>交通便捷度</t>
    </r>
    <phoneticPr fontId="25" type="noConversion"/>
  </si>
  <si>
    <r>
      <rPr>
        <sz val="11"/>
        <color indexed="8"/>
        <rFont val="宋体"/>
        <family val="3"/>
        <charset val="134"/>
      </rPr>
      <t>自然及人文环境</t>
    </r>
    <phoneticPr fontId="26" type="noConversion"/>
  </si>
  <si>
    <r>
      <rPr>
        <sz val="11"/>
        <color indexed="8"/>
        <rFont val="宋体"/>
        <family val="3"/>
        <charset val="134"/>
      </rPr>
      <t>楼层</t>
    </r>
    <phoneticPr fontId="26" type="noConversion"/>
  </si>
  <si>
    <r>
      <rPr>
        <sz val="11"/>
        <color indexed="8"/>
        <rFont val="宋体"/>
        <family val="3"/>
        <charset val="134"/>
      </rPr>
      <t>配套类型</t>
    </r>
    <phoneticPr fontId="25" type="noConversion"/>
  </si>
  <si>
    <r>
      <rPr>
        <sz val="11"/>
        <color indexed="8"/>
        <rFont val="宋体"/>
        <family val="3"/>
        <charset val="134"/>
      </rPr>
      <t>项目停车位配比</t>
    </r>
    <phoneticPr fontId="26" type="noConversion"/>
  </si>
  <si>
    <r>
      <rPr>
        <sz val="11"/>
        <color indexed="8"/>
        <rFont val="宋体"/>
        <family val="3"/>
        <charset val="134"/>
      </rPr>
      <t>公共部分装修</t>
    </r>
    <phoneticPr fontId="26" type="noConversion"/>
  </si>
  <si>
    <r>
      <rPr>
        <sz val="11"/>
        <color indexed="8"/>
        <rFont val="宋体"/>
        <family val="3"/>
        <charset val="134"/>
      </rPr>
      <t>成新率</t>
    </r>
    <phoneticPr fontId="25" type="noConversion"/>
  </si>
  <si>
    <r>
      <rPr>
        <sz val="11"/>
        <color indexed="8"/>
        <rFont val="宋体"/>
        <family val="3"/>
        <charset val="134"/>
      </rPr>
      <t>物业等级</t>
    </r>
    <phoneticPr fontId="25" type="noConversion"/>
  </si>
  <si>
    <r>
      <rPr>
        <sz val="11"/>
        <color indexed="8"/>
        <rFont val="宋体"/>
        <family val="3"/>
        <charset val="134"/>
      </rPr>
      <t>停车位面积</t>
    </r>
    <phoneticPr fontId="25" type="noConversion"/>
  </si>
  <si>
    <r>
      <rPr>
        <sz val="11"/>
        <color indexed="8"/>
        <rFont val="宋体"/>
        <family val="3"/>
        <charset val="134"/>
      </rPr>
      <t>车位类型</t>
    </r>
    <phoneticPr fontId="25" type="noConversion"/>
  </si>
  <si>
    <r>
      <rPr>
        <sz val="11"/>
        <color indexed="8"/>
        <rFont val="宋体"/>
        <family val="3"/>
        <charset val="134"/>
      </rPr>
      <t>是否直接入户</t>
    </r>
    <phoneticPr fontId="25" type="noConversion"/>
  </si>
  <si>
    <r>
      <rPr>
        <b/>
        <sz val="11"/>
        <rFont val="宋体"/>
        <family val="3"/>
        <charset val="134"/>
      </rPr>
      <t>成交单价</t>
    </r>
    <phoneticPr fontId="4" type="noConversion"/>
  </si>
  <si>
    <r>
      <rPr>
        <b/>
        <sz val="11"/>
        <rFont val="宋体"/>
        <family val="3"/>
        <charset val="134"/>
      </rPr>
      <t>元</t>
    </r>
    <r>
      <rPr>
        <b/>
        <sz val="11"/>
        <rFont val="Arial"/>
        <family val="2"/>
      </rPr>
      <t>/</t>
    </r>
    <r>
      <rPr>
        <b/>
        <sz val="11"/>
        <rFont val="宋体"/>
        <family val="3"/>
        <charset val="134"/>
      </rPr>
      <t>平方米</t>
    </r>
  </si>
  <si>
    <r>
      <rPr>
        <b/>
        <sz val="11"/>
        <rFont val="宋体"/>
        <family val="3"/>
        <charset val="134"/>
      </rPr>
      <t>比较价值</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</si>
  <si>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</si>
  <si>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</si>
  <si>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</si>
  <si>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</si>
  <si>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</si>
  <si>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</si>
  <si>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sz val="11"/>
        <color indexed="8"/>
        <rFont val="宋体"/>
        <family val="3"/>
        <charset val="134"/>
      </rPr>
      <t>楼层</t>
    </r>
    <phoneticPr fontId="4" type="noConversion"/>
  </si>
  <si>
    <r>
      <rPr>
        <sz val="11"/>
        <color indexed="8"/>
        <rFont val="宋体"/>
        <family val="3"/>
        <charset val="134"/>
      </rPr>
      <t>配套类型（地上主用途）</t>
    </r>
    <phoneticPr fontId="4" type="noConversion"/>
  </si>
  <si>
    <r>
      <rPr>
        <sz val="11"/>
        <color indexed="8"/>
        <rFont val="宋体"/>
        <family val="3"/>
        <charset val="134"/>
      </rPr>
      <t>项目停车位配比</t>
    </r>
    <phoneticPr fontId="4" type="noConversion"/>
  </si>
  <si>
    <r>
      <rPr>
        <sz val="11"/>
        <color indexed="8"/>
        <rFont val="宋体"/>
        <family val="3"/>
        <charset val="134"/>
      </rPr>
      <t>成新率</t>
    </r>
    <phoneticPr fontId="4" type="noConversion"/>
  </si>
  <si>
    <r>
      <rPr>
        <sz val="11"/>
        <color indexed="8"/>
        <rFont val="宋体"/>
        <family val="3"/>
        <charset val="134"/>
      </rPr>
      <t>物业等级</t>
    </r>
    <phoneticPr fontId="26" type="noConversion"/>
  </si>
  <si>
    <r>
      <rPr>
        <sz val="11"/>
        <color indexed="8"/>
        <rFont val="宋体"/>
        <family val="3"/>
        <charset val="134"/>
      </rPr>
      <t>停车位面积</t>
    </r>
    <phoneticPr fontId="4" type="noConversion"/>
  </si>
  <si>
    <r>
      <rPr>
        <sz val="11"/>
        <color indexed="8"/>
        <rFont val="宋体"/>
        <family val="3"/>
        <charset val="134"/>
      </rPr>
      <t>车位类型</t>
    </r>
    <phoneticPr fontId="4" type="noConversion"/>
  </si>
  <si>
    <r>
      <rPr>
        <sz val="11"/>
        <color indexed="8"/>
        <rFont val="宋体"/>
        <family val="3"/>
        <charset val="134"/>
      </rPr>
      <t>是否直接入户</t>
    </r>
    <phoneticPr fontId="4" type="noConversion"/>
  </si>
  <si>
    <r>
      <rPr>
        <sz val="11"/>
        <color indexed="8"/>
        <rFont val="宋体"/>
        <family val="3"/>
        <charset val="134"/>
      </rPr>
      <t>有无电梯</t>
    </r>
    <phoneticPr fontId="25" type="noConversion"/>
  </si>
  <si>
    <r>
      <rPr>
        <sz val="11"/>
        <color indexed="8"/>
        <rFont val="宋体"/>
        <family val="3"/>
        <charset val="134"/>
      </rPr>
      <t>建筑面积</t>
    </r>
    <phoneticPr fontId="25" type="noConversion"/>
  </si>
  <si>
    <r>
      <rPr>
        <sz val="11"/>
        <color indexed="8"/>
        <rFont val="宋体"/>
        <family val="3"/>
        <charset val="134"/>
      </rPr>
      <t>是否封闭</t>
    </r>
    <phoneticPr fontId="25" type="noConversion"/>
  </si>
  <si>
    <r>
      <rPr>
        <sz val="11"/>
        <color indexed="8"/>
        <rFont val="宋体"/>
        <family val="3"/>
        <charset val="134"/>
      </rPr>
      <t>有无电梯</t>
    </r>
    <phoneticPr fontId="4" type="noConversion"/>
  </si>
  <si>
    <r>
      <rPr>
        <sz val="11"/>
        <color indexed="8"/>
        <rFont val="宋体"/>
        <family val="3"/>
        <charset val="134"/>
      </rPr>
      <t>建筑面积</t>
    </r>
    <phoneticPr fontId="26" type="noConversion"/>
  </si>
  <si>
    <r>
      <rPr>
        <sz val="11"/>
        <color indexed="8"/>
        <rFont val="宋体"/>
        <family val="3"/>
        <charset val="134"/>
      </rPr>
      <t>是否封闭</t>
    </r>
    <phoneticPr fontId="4" type="noConversion"/>
  </si>
  <si>
    <r>
      <rPr>
        <b/>
        <sz val="16"/>
        <color indexed="10"/>
        <rFont val="宋体"/>
        <family val="3"/>
        <charset val="134"/>
      </rPr>
      <t>套用比较法</t>
    </r>
    <phoneticPr fontId="4" type="noConversion"/>
  </si>
  <si>
    <r>
      <rPr>
        <b/>
        <sz val="16"/>
        <rFont val="宋体"/>
        <family val="3"/>
        <charset val="134"/>
      </rPr>
      <t>住宅、综合</t>
    </r>
    <phoneticPr fontId="25" type="noConversion"/>
  </si>
  <si>
    <r>
      <rPr>
        <b/>
        <sz val="12"/>
        <rFont val="宋体"/>
        <family val="3"/>
        <charset val="134"/>
      </rPr>
      <t>元</t>
    </r>
    <phoneticPr fontId="25" type="noConversion"/>
  </si>
  <si>
    <r>
      <rPr>
        <b/>
        <sz val="12"/>
        <rFont val="宋体"/>
        <family val="3"/>
        <charset val="134"/>
      </rPr>
      <t>元</t>
    </r>
    <r>
      <rPr>
        <b/>
        <sz val="12"/>
        <rFont val="Arial"/>
        <family val="2"/>
      </rPr>
      <t>/</t>
    </r>
    <r>
      <rPr>
        <b/>
        <sz val="12"/>
        <rFont val="宋体"/>
        <family val="3"/>
        <charset val="134"/>
      </rPr>
      <t>平方米</t>
    </r>
    <phoneticPr fontId="25" type="noConversion"/>
  </si>
  <si>
    <r>
      <rPr>
        <sz val="11"/>
        <color indexed="8"/>
        <rFont val="宋体"/>
        <family val="3"/>
        <charset val="134"/>
      </rPr>
      <t>正常</t>
    </r>
  </si>
  <si>
    <r>
      <rPr>
        <sz val="11"/>
        <color indexed="8"/>
        <rFont val="宋体"/>
        <family val="3"/>
        <charset val="134"/>
      </rPr>
      <t>配建</t>
    </r>
    <phoneticPr fontId="25" type="noConversion"/>
  </si>
  <si>
    <r>
      <rPr>
        <sz val="11"/>
        <color indexed="8"/>
        <rFont val="宋体"/>
        <family val="3"/>
        <charset val="134"/>
      </rPr>
      <t>区域土地利用方向</t>
    </r>
    <phoneticPr fontId="25" type="noConversion"/>
  </si>
  <si>
    <r>
      <rPr>
        <sz val="11"/>
        <color indexed="8"/>
        <rFont val="宋体"/>
        <family val="3"/>
        <charset val="134"/>
      </rPr>
      <t>自然及人文环境状况</t>
    </r>
    <phoneticPr fontId="25" type="noConversion"/>
  </si>
  <si>
    <r>
      <rPr>
        <sz val="11"/>
        <color indexed="8"/>
        <rFont val="宋体"/>
        <family val="3"/>
        <charset val="134"/>
      </rPr>
      <t>土地级别</t>
    </r>
    <phoneticPr fontId="25" type="noConversion"/>
  </si>
  <si>
    <r>
      <rPr>
        <sz val="11"/>
        <color indexed="8"/>
        <rFont val="宋体"/>
        <family val="3"/>
        <charset val="134"/>
      </rPr>
      <t>宗地面积</t>
    </r>
    <phoneticPr fontId="25" type="noConversion"/>
  </si>
  <si>
    <r>
      <rPr>
        <sz val="11"/>
        <color indexed="8"/>
        <rFont val="宋体"/>
        <family val="3"/>
        <charset val="134"/>
      </rPr>
      <t>宗地形状</t>
    </r>
    <phoneticPr fontId="25" type="noConversion"/>
  </si>
  <si>
    <r>
      <rPr>
        <sz val="11"/>
        <color indexed="8"/>
        <rFont val="宋体"/>
        <family val="3"/>
        <charset val="134"/>
      </rPr>
      <t>临街宽度及深度</t>
    </r>
    <phoneticPr fontId="25" type="noConversion"/>
  </si>
  <si>
    <r>
      <rPr>
        <sz val="11"/>
        <color indexed="8"/>
        <rFont val="宋体"/>
        <family val="3"/>
        <charset val="134"/>
      </rPr>
      <t>宗地开发程度</t>
    </r>
    <phoneticPr fontId="25" type="noConversion"/>
  </si>
  <si>
    <r>
      <rPr>
        <sz val="11"/>
        <color indexed="8"/>
        <rFont val="宋体"/>
        <family val="3"/>
        <charset val="134"/>
      </rPr>
      <t>工程地质条件</t>
    </r>
    <phoneticPr fontId="25" type="noConversion"/>
  </si>
  <si>
    <r>
      <rPr>
        <b/>
        <sz val="11"/>
        <rFont val="宋体"/>
        <family val="3"/>
        <charset val="134"/>
      </rPr>
      <t>单价内涵</t>
    </r>
  </si>
  <si>
    <r>
      <rPr>
        <sz val="11"/>
        <rFont val="宋体"/>
        <family val="3"/>
        <charset val="134"/>
      </rPr>
      <t>用途</t>
    </r>
    <r>
      <rPr>
        <sz val="11"/>
        <rFont val="Arial"/>
        <family val="2"/>
      </rPr>
      <t>/</t>
    </r>
    <r>
      <rPr>
        <sz val="11"/>
        <rFont val="宋体"/>
        <family val="3"/>
        <charset val="134"/>
      </rPr>
      <t>位置</t>
    </r>
    <phoneticPr fontId="25" type="noConversion"/>
  </si>
  <si>
    <r>
      <rPr>
        <sz val="11"/>
        <rFont val="宋体"/>
        <family val="3"/>
        <charset val="134"/>
      </rPr>
      <t>修正单价</t>
    </r>
    <phoneticPr fontId="25" type="noConversion"/>
  </si>
  <si>
    <r>
      <rPr>
        <sz val="11"/>
        <rFont val="宋体"/>
        <family val="3"/>
        <charset val="134"/>
      </rPr>
      <t>北京市系数</t>
    </r>
  </si>
  <si>
    <r>
      <rPr>
        <sz val="11"/>
        <rFont val="宋体"/>
        <family val="3"/>
        <charset val="134"/>
      </rPr>
      <t>政府土地出让收益比例</t>
    </r>
    <phoneticPr fontId="25" type="noConversion"/>
  </si>
  <si>
    <r>
      <rPr>
        <sz val="11"/>
        <rFont val="宋体"/>
        <family val="3"/>
        <charset val="134"/>
      </rPr>
      <t>建筑面积</t>
    </r>
    <phoneticPr fontId="25" type="noConversion"/>
  </si>
  <si>
    <r>
      <rPr>
        <sz val="11"/>
        <rFont val="宋体"/>
        <family val="3"/>
        <charset val="134"/>
      </rPr>
      <t>总价</t>
    </r>
    <phoneticPr fontId="25" type="noConversion"/>
  </si>
  <si>
    <r>
      <rPr>
        <sz val="11"/>
        <color theme="1"/>
        <rFont val="宋体"/>
        <family val="3"/>
        <charset val="134"/>
      </rPr>
      <t>北京市</t>
    </r>
    <phoneticPr fontId="25" type="noConversion"/>
  </si>
  <si>
    <r>
      <rPr>
        <sz val="11"/>
        <color rgb="FFFF0000"/>
        <rFont val="宋体"/>
        <family val="3"/>
        <charset val="134"/>
      </rPr>
      <t>外省市地下修正系数请自行录入</t>
    </r>
    <phoneticPr fontId="25" type="noConversion"/>
  </si>
  <si>
    <r>
      <rPr>
        <sz val="10"/>
        <rFont val="宋体"/>
        <family val="3"/>
        <charset val="134"/>
      </rPr>
      <t>地上</t>
    </r>
    <phoneticPr fontId="15" type="noConversion"/>
  </si>
  <si>
    <r>
      <rPr>
        <sz val="10"/>
        <rFont val="宋体"/>
        <family val="3"/>
        <charset val="134"/>
      </rPr>
      <t>地下商业（</t>
    </r>
    <r>
      <rPr>
        <sz val="10"/>
        <rFont val="Arial"/>
        <family val="2"/>
      </rPr>
      <t>-1</t>
    </r>
    <r>
      <rPr>
        <sz val="10"/>
        <rFont val="宋体"/>
        <family val="3"/>
        <charset val="134"/>
      </rPr>
      <t>）</t>
    </r>
    <phoneticPr fontId="14" type="noConversion"/>
  </si>
  <si>
    <r>
      <rPr>
        <sz val="10"/>
        <rFont val="宋体"/>
        <family val="3"/>
        <charset val="134"/>
      </rPr>
      <t>地下商业（</t>
    </r>
    <r>
      <rPr>
        <sz val="10"/>
        <rFont val="Arial"/>
        <family val="2"/>
      </rPr>
      <t>-2</t>
    </r>
    <r>
      <rPr>
        <sz val="10"/>
        <rFont val="宋体"/>
        <family val="3"/>
        <charset val="134"/>
      </rPr>
      <t>）</t>
    </r>
    <phoneticPr fontId="14" type="noConversion"/>
  </si>
  <si>
    <r>
      <rPr>
        <sz val="10"/>
        <rFont val="宋体"/>
        <family val="3"/>
        <charset val="134"/>
      </rPr>
      <t>地下商业（</t>
    </r>
    <r>
      <rPr>
        <sz val="10"/>
        <rFont val="Arial"/>
        <family val="2"/>
      </rPr>
      <t>-3</t>
    </r>
    <r>
      <rPr>
        <sz val="10"/>
        <rFont val="宋体"/>
        <family val="3"/>
        <charset val="134"/>
      </rPr>
      <t>）</t>
    </r>
    <phoneticPr fontId="14" type="noConversion"/>
  </si>
  <si>
    <r>
      <rPr>
        <sz val="10"/>
        <rFont val="宋体"/>
        <family val="3"/>
        <charset val="134"/>
      </rPr>
      <t>地下商业（</t>
    </r>
    <r>
      <rPr>
        <sz val="10"/>
        <rFont val="Arial"/>
        <family val="2"/>
      </rPr>
      <t>-4</t>
    </r>
    <r>
      <rPr>
        <sz val="10"/>
        <rFont val="宋体"/>
        <family val="3"/>
        <charset val="134"/>
      </rPr>
      <t>）</t>
    </r>
    <phoneticPr fontId="14" type="noConversion"/>
  </si>
  <si>
    <r>
      <rPr>
        <sz val="10"/>
        <rFont val="宋体"/>
        <family val="3"/>
        <charset val="134"/>
      </rPr>
      <t>地下办公</t>
    </r>
    <phoneticPr fontId="14" type="noConversion"/>
  </si>
  <si>
    <r>
      <rPr>
        <sz val="10"/>
        <rFont val="宋体"/>
        <family val="3"/>
        <charset val="134"/>
      </rPr>
      <t>地下仓储</t>
    </r>
    <phoneticPr fontId="14" type="noConversion"/>
  </si>
  <si>
    <r>
      <rPr>
        <sz val="10"/>
        <rFont val="宋体"/>
        <family val="3"/>
        <charset val="134"/>
      </rPr>
      <t>地下车库</t>
    </r>
    <phoneticPr fontId="14" type="noConversion"/>
  </si>
  <si>
    <r>
      <rPr>
        <sz val="10"/>
        <rFont val="宋体"/>
        <family val="3"/>
        <charset val="134"/>
      </rPr>
      <t>地下车库</t>
    </r>
    <r>
      <rPr>
        <sz val="10"/>
        <rFont val="Arial"/>
        <family val="2"/>
      </rPr>
      <t>-</t>
    </r>
    <r>
      <rPr>
        <sz val="10"/>
        <rFont val="宋体"/>
        <family val="3"/>
        <charset val="134"/>
      </rPr>
      <t>商业</t>
    </r>
    <phoneticPr fontId="14" type="noConversion"/>
  </si>
  <si>
    <r>
      <rPr>
        <sz val="10"/>
        <rFont val="宋体"/>
        <family val="3"/>
        <charset val="134"/>
      </rPr>
      <t>地下车库</t>
    </r>
    <r>
      <rPr>
        <sz val="10"/>
        <rFont val="Arial"/>
        <family val="2"/>
      </rPr>
      <t>-</t>
    </r>
    <r>
      <rPr>
        <sz val="10"/>
        <rFont val="宋体"/>
        <family val="3"/>
        <charset val="134"/>
      </rPr>
      <t>办公</t>
    </r>
    <phoneticPr fontId="14" type="noConversion"/>
  </si>
  <si>
    <r>
      <rPr>
        <b/>
        <sz val="10"/>
        <rFont val="宋体"/>
        <family val="3"/>
        <charset val="134"/>
      </rPr>
      <t>土地购买价格</t>
    </r>
    <phoneticPr fontId="14" type="noConversion"/>
  </si>
  <si>
    <r>
      <rPr>
        <b/>
        <sz val="11"/>
        <color indexed="8"/>
        <rFont val="宋体"/>
        <family val="3"/>
        <charset val="134"/>
      </rPr>
      <t>交易时间（按季度调整）</t>
    </r>
    <phoneticPr fontId="4" type="noConversion"/>
  </si>
  <si>
    <r>
      <rPr>
        <b/>
        <sz val="11"/>
        <color indexed="8"/>
        <rFont val="宋体"/>
        <family val="3"/>
        <charset val="134"/>
      </rPr>
      <t>商业</t>
    </r>
  </si>
  <si>
    <r>
      <rPr>
        <sz val="11"/>
        <color indexed="8"/>
        <rFont val="宋体"/>
        <family val="3"/>
        <charset val="134"/>
      </rPr>
      <t>商业繁华度</t>
    </r>
    <phoneticPr fontId="4" type="noConversion"/>
  </si>
  <si>
    <r>
      <rPr>
        <sz val="11"/>
        <color indexed="8"/>
        <rFont val="宋体"/>
        <family val="3"/>
        <charset val="134"/>
      </rPr>
      <t>区域土地利用方向</t>
    </r>
    <phoneticPr fontId="4" type="noConversion"/>
  </si>
  <si>
    <r>
      <rPr>
        <sz val="11"/>
        <color indexed="8"/>
        <rFont val="宋体"/>
        <family val="3"/>
        <charset val="134"/>
      </rPr>
      <t>自然及人文环境状况</t>
    </r>
    <phoneticPr fontId="4" type="noConversion"/>
  </si>
  <si>
    <r>
      <rPr>
        <sz val="11"/>
        <rFont val="宋体"/>
        <family val="3"/>
        <charset val="134"/>
      </rPr>
      <t>多面临街</t>
    </r>
    <phoneticPr fontId="25" type="noConversion"/>
  </si>
  <si>
    <r>
      <rPr>
        <sz val="11"/>
        <rFont val="宋体"/>
        <family val="3"/>
        <charset val="134"/>
      </rPr>
      <t>双面临街</t>
    </r>
    <phoneticPr fontId="25" type="noConversion"/>
  </si>
  <si>
    <r>
      <rPr>
        <sz val="11"/>
        <rFont val="宋体"/>
        <family val="3"/>
        <charset val="134"/>
      </rPr>
      <t>单面临街</t>
    </r>
    <phoneticPr fontId="25" type="noConversion"/>
  </si>
  <si>
    <r>
      <rPr>
        <sz val="11"/>
        <rFont val="宋体"/>
        <family val="3"/>
        <charset val="134"/>
      </rPr>
      <t>不临街</t>
    </r>
    <phoneticPr fontId="25" type="noConversion"/>
  </si>
  <si>
    <r>
      <rPr>
        <sz val="11"/>
        <color indexed="8"/>
        <rFont val="宋体"/>
        <family val="3"/>
        <charset val="134"/>
      </rPr>
      <t>宗地面积</t>
    </r>
    <phoneticPr fontId="4" type="noConversion"/>
  </si>
  <si>
    <r>
      <rPr>
        <sz val="11"/>
        <color indexed="8"/>
        <rFont val="宋体"/>
        <family val="3"/>
        <charset val="134"/>
      </rPr>
      <t>宗地形状</t>
    </r>
    <phoneticPr fontId="4" type="noConversion"/>
  </si>
  <si>
    <r>
      <rPr>
        <sz val="11"/>
        <color indexed="8"/>
        <rFont val="宋体"/>
        <family val="3"/>
        <charset val="134"/>
      </rPr>
      <t>临街宽度及深度</t>
    </r>
    <phoneticPr fontId="4" type="noConversion"/>
  </si>
  <si>
    <r>
      <rPr>
        <sz val="11"/>
        <color indexed="8"/>
        <rFont val="宋体"/>
        <family val="3"/>
        <charset val="134"/>
      </rPr>
      <t>宗地开发程度</t>
    </r>
    <phoneticPr fontId="4" type="noConversion"/>
  </si>
  <si>
    <r>
      <rPr>
        <sz val="11"/>
        <color indexed="8"/>
        <rFont val="宋体"/>
        <family val="3"/>
        <charset val="134"/>
      </rPr>
      <t>工程地质条件</t>
    </r>
    <phoneticPr fontId="4" type="noConversion"/>
  </si>
  <si>
    <r>
      <rPr>
        <b/>
        <sz val="16"/>
        <rFont val="宋体"/>
        <family val="3"/>
        <charset val="134"/>
      </rPr>
      <t>工业</t>
    </r>
    <phoneticPr fontId="25" type="noConversion"/>
  </si>
  <si>
    <r>
      <rPr>
        <sz val="11"/>
        <color indexed="8"/>
        <rFont val="宋体"/>
        <family val="3"/>
        <charset val="134"/>
      </rPr>
      <t>工业</t>
    </r>
  </si>
  <si>
    <r>
      <rPr>
        <sz val="11"/>
        <color indexed="8"/>
        <rFont val="宋体"/>
        <family val="3"/>
        <charset val="134"/>
      </rPr>
      <t>产业集聚程度</t>
    </r>
    <phoneticPr fontId="27" type="noConversion"/>
  </si>
  <si>
    <r>
      <rPr>
        <sz val="11"/>
        <color indexed="8"/>
        <rFont val="宋体"/>
        <family val="3"/>
        <charset val="134"/>
      </rPr>
      <t>环境状况</t>
    </r>
    <phoneticPr fontId="25" type="noConversion"/>
  </si>
  <si>
    <r>
      <rPr>
        <b/>
        <sz val="11"/>
        <rFont val="宋体"/>
        <family val="3"/>
        <charset val="134"/>
      </rPr>
      <t>楼面地价</t>
    </r>
  </si>
  <si>
    <r>
      <rPr>
        <sz val="11"/>
        <rFont val="宋体"/>
        <family val="3"/>
        <charset val="134"/>
      </rPr>
      <t>北京市</t>
    </r>
    <phoneticPr fontId="25" type="noConversion"/>
  </si>
  <si>
    <r>
      <rPr>
        <b/>
        <sz val="11"/>
        <color indexed="8"/>
        <rFont val="宋体"/>
        <family val="3"/>
        <charset val="134"/>
      </rPr>
      <t>工业</t>
    </r>
    <phoneticPr fontId="27" type="noConversion"/>
  </si>
  <si>
    <r>
      <rPr>
        <b/>
        <sz val="16"/>
        <color indexed="10"/>
        <rFont val="宋体"/>
        <family val="3"/>
        <charset val="134"/>
      </rPr>
      <t>基准地价系数修正法</t>
    </r>
    <phoneticPr fontId="4" type="noConversion"/>
  </si>
  <si>
    <r>
      <rPr>
        <b/>
        <sz val="12"/>
        <rFont val="宋体"/>
        <family val="3"/>
        <charset val="134"/>
      </rPr>
      <t>建筑面积</t>
    </r>
    <phoneticPr fontId="74" type="noConversion"/>
  </si>
  <si>
    <r>
      <rPr>
        <sz val="11"/>
        <color theme="1"/>
        <rFont val="宋体"/>
        <family val="3"/>
        <charset val="134"/>
      </rPr>
      <t>一级</t>
    </r>
  </si>
  <si>
    <r>
      <rPr>
        <sz val="12"/>
        <rFont val="宋体"/>
        <family val="3"/>
        <charset val="134"/>
      </rPr>
      <t>商业多楼层</t>
    </r>
    <phoneticPr fontId="4" type="noConversion"/>
  </si>
  <si>
    <r>
      <rPr>
        <sz val="12"/>
        <rFont val="宋体"/>
        <family val="3"/>
        <charset val="134"/>
      </rPr>
      <t>楼层修正系数</t>
    </r>
    <phoneticPr fontId="4" type="noConversion"/>
  </si>
  <si>
    <r>
      <rPr>
        <sz val="12"/>
        <rFont val="宋体"/>
        <family val="3"/>
        <charset val="134"/>
      </rPr>
      <t>楼面熟地单价</t>
    </r>
    <phoneticPr fontId="4" type="noConversion"/>
  </si>
  <si>
    <r>
      <rPr>
        <sz val="12"/>
        <rFont val="宋体"/>
        <family val="3"/>
        <charset val="134"/>
      </rPr>
      <t>层面积</t>
    </r>
    <phoneticPr fontId="4" type="noConversion"/>
  </si>
  <si>
    <r>
      <rPr>
        <sz val="12"/>
        <rFont val="宋体"/>
        <family val="3"/>
        <charset val="134"/>
      </rPr>
      <t>总额</t>
    </r>
    <phoneticPr fontId="4" type="noConversion"/>
  </si>
  <si>
    <r>
      <rPr>
        <b/>
        <sz val="12"/>
        <rFont val="宋体"/>
        <family val="3"/>
        <charset val="134"/>
      </rPr>
      <t>总价</t>
    </r>
    <phoneticPr fontId="4" type="noConversion"/>
  </si>
  <si>
    <r>
      <rPr>
        <b/>
        <sz val="12"/>
        <rFont val="宋体"/>
        <family val="3"/>
        <charset val="134"/>
      </rPr>
      <t>元</t>
    </r>
    <phoneticPr fontId="4" type="noConversion"/>
  </si>
  <si>
    <r>
      <rPr>
        <sz val="10"/>
        <rFont val="宋体"/>
        <family val="3"/>
        <charset val="134"/>
      </rPr>
      <t>用途</t>
    </r>
    <r>
      <rPr>
        <sz val="10"/>
        <rFont val="Arial"/>
        <family val="2"/>
      </rPr>
      <t>/</t>
    </r>
    <r>
      <rPr>
        <sz val="10"/>
        <rFont val="宋体"/>
        <family val="3"/>
        <charset val="134"/>
      </rPr>
      <t>地上主用途</t>
    </r>
    <phoneticPr fontId="4" type="noConversion"/>
  </si>
  <si>
    <r>
      <rPr>
        <sz val="10"/>
        <rFont val="宋体"/>
        <family val="3"/>
        <charset val="134"/>
      </rPr>
      <t>土地级别</t>
    </r>
    <phoneticPr fontId="4" type="noConversion"/>
  </si>
  <si>
    <r>
      <rPr>
        <sz val="10"/>
        <rFont val="宋体"/>
        <family val="3"/>
        <charset val="134"/>
      </rPr>
      <t>区片编号</t>
    </r>
    <phoneticPr fontId="4" type="noConversion"/>
  </si>
  <si>
    <r>
      <rPr>
        <sz val="11"/>
        <color theme="1"/>
        <rFont val="宋体"/>
        <family val="3"/>
        <charset val="134"/>
      </rPr>
      <t>二级</t>
    </r>
  </si>
  <si>
    <r>
      <rPr>
        <b/>
        <sz val="12"/>
        <rFont val="宋体"/>
        <family val="3"/>
        <charset val="134"/>
      </rPr>
      <t>楼面单价</t>
    </r>
    <phoneticPr fontId="4" type="noConversion"/>
  </si>
  <si>
    <r>
      <rPr>
        <b/>
        <sz val="12"/>
        <rFont val="宋体"/>
        <family val="3"/>
        <charset val="134"/>
      </rPr>
      <t>元</t>
    </r>
    <r>
      <rPr>
        <b/>
        <sz val="12"/>
        <rFont val="Arial"/>
        <family val="2"/>
      </rPr>
      <t>/</t>
    </r>
    <r>
      <rPr>
        <b/>
        <sz val="12"/>
        <rFont val="宋体"/>
        <family val="3"/>
        <charset val="134"/>
      </rPr>
      <t>平方米</t>
    </r>
    <phoneticPr fontId="4" type="noConversion"/>
  </si>
  <si>
    <r>
      <rPr>
        <sz val="10"/>
        <rFont val="宋体"/>
        <family val="3"/>
        <charset val="134"/>
      </rPr>
      <t>用途类别</t>
    </r>
    <phoneticPr fontId="4" type="noConversion"/>
  </si>
  <si>
    <r>
      <rPr>
        <sz val="10"/>
        <rFont val="宋体"/>
        <family val="3"/>
        <charset val="134"/>
      </rPr>
      <t>容积率</t>
    </r>
    <phoneticPr fontId="74" type="noConversion"/>
  </si>
  <si>
    <r>
      <rPr>
        <sz val="10"/>
        <rFont val="宋体"/>
        <family val="3"/>
        <charset val="134"/>
      </rPr>
      <t>楼层</t>
    </r>
    <phoneticPr fontId="4" type="noConversion"/>
  </si>
  <si>
    <r>
      <rPr>
        <sz val="10"/>
        <rFont val="宋体"/>
        <family val="3"/>
        <charset val="134"/>
      </rPr>
      <t>（地上）</t>
    </r>
    <phoneticPr fontId="4" type="noConversion"/>
  </si>
  <si>
    <r>
      <rPr>
        <sz val="11"/>
        <color theme="1"/>
        <rFont val="宋体"/>
        <family val="3"/>
        <charset val="134"/>
      </rPr>
      <t>三级</t>
    </r>
  </si>
  <si>
    <r>
      <rPr>
        <sz val="11"/>
        <color theme="1"/>
        <rFont val="宋体"/>
        <family val="3"/>
        <charset val="134"/>
      </rPr>
      <t>四级</t>
    </r>
  </si>
  <si>
    <r>
      <rPr>
        <b/>
        <sz val="11"/>
        <rFont val="宋体"/>
        <family val="3"/>
        <charset val="134"/>
      </rPr>
      <t>一、</t>
    </r>
    <phoneticPr fontId="4" type="noConversion"/>
  </si>
  <si>
    <r>
      <rPr>
        <b/>
        <sz val="11"/>
        <rFont val="宋体"/>
        <family val="3"/>
        <charset val="134"/>
      </rPr>
      <t>适用的楼面熟地价</t>
    </r>
    <phoneticPr fontId="4" type="noConversion"/>
  </si>
  <si>
    <r>
      <rPr>
        <sz val="11"/>
        <color theme="1"/>
        <rFont val="宋体"/>
        <family val="3"/>
        <charset val="134"/>
      </rPr>
      <t>五级</t>
    </r>
  </si>
  <si>
    <r>
      <rPr>
        <b/>
        <sz val="10"/>
        <rFont val="宋体"/>
        <family val="3"/>
        <charset val="134"/>
      </rPr>
      <t>适用的楼面熟地价</t>
    </r>
    <phoneticPr fontId="4" type="noConversion"/>
  </si>
  <si>
    <r>
      <rPr>
        <sz val="10"/>
        <color indexed="10"/>
        <rFont val="宋体"/>
        <family val="3"/>
        <charset val="134"/>
      </rPr>
      <t>依据《北京市区片基准地价表》，能否通过用途和级别筛选？</t>
    </r>
    <phoneticPr fontId="4" type="noConversion"/>
  </si>
  <si>
    <r>
      <rPr>
        <sz val="11"/>
        <color theme="1"/>
        <rFont val="宋体"/>
        <family val="3"/>
        <charset val="134"/>
      </rPr>
      <t>六级</t>
    </r>
  </si>
  <si>
    <r>
      <rPr>
        <b/>
        <sz val="10"/>
        <rFont val="宋体"/>
        <family val="3"/>
        <charset val="134"/>
      </rPr>
      <t>商业路线价修正（商业用途）</t>
    </r>
    <phoneticPr fontId="4" type="noConversion"/>
  </si>
  <si>
    <r>
      <rPr>
        <sz val="10"/>
        <rFont val="宋体"/>
        <family val="3"/>
        <charset val="134"/>
      </rPr>
      <t>宗地深度（米）</t>
    </r>
    <phoneticPr fontId="4" type="noConversion"/>
  </si>
  <si>
    <r>
      <rPr>
        <sz val="11"/>
        <color theme="1"/>
        <rFont val="宋体"/>
        <family val="3"/>
        <charset val="134"/>
      </rPr>
      <t>七级</t>
    </r>
  </si>
  <si>
    <r>
      <rPr>
        <sz val="10"/>
        <rFont val="宋体"/>
        <family val="3"/>
        <charset val="134"/>
      </rPr>
      <t>估价对象级别</t>
    </r>
    <phoneticPr fontId="4" type="noConversion"/>
  </si>
  <si>
    <r>
      <rPr>
        <sz val="10"/>
        <rFont val="宋体"/>
        <family val="3"/>
        <charset val="134"/>
      </rPr>
      <t>容积率</t>
    </r>
    <phoneticPr fontId="4" type="noConversion"/>
  </si>
  <si>
    <r>
      <rPr>
        <sz val="10"/>
        <rFont val="宋体"/>
        <family val="3"/>
        <charset val="134"/>
      </rPr>
      <t>所在商业街</t>
    </r>
    <phoneticPr fontId="4" type="noConversion"/>
  </si>
  <si>
    <r>
      <rPr>
        <sz val="10"/>
        <rFont val="宋体"/>
        <family val="3"/>
        <charset val="134"/>
      </rPr>
      <t>临商业街红线</t>
    </r>
    <r>
      <rPr>
        <sz val="10"/>
        <rFont val="Arial"/>
        <family val="2"/>
      </rPr>
      <t>1/4</t>
    </r>
    <r>
      <rPr>
        <sz val="10"/>
        <rFont val="宋体"/>
        <family val="3"/>
        <charset val="134"/>
      </rPr>
      <t>标准深度占地面积／宗地总面积</t>
    </r>
    <phoneticPr fontId="4" type="noConversion"/>
  </si>
  <si>
    <r>
      <rPr>
        <sz val="11"/>
        <color theme="1"/>
        <rFont val="宋体"/>
        <family val="3"/>
        <charset val="134"/>
      </rPr>
      <t>八级</t>
    </r>
  </si>
  <si>
    <r>
      <rPr>
        <sz val="10"/>
        <rFont val="宋体"/>
        <family val="3"/>
        <charset val="134"/>
      </rPr>
      <t>容积率</t>
    </r>
    <r>
      <rPr>
        <sz val="10"/>
        <rFont val="Arial"/>
        <family val="2"/>
      </rPr>
      <t xml:space="preserve">             </t>
    </r>
    <r>
      <rPr>
        <sz val="10"/>
        <rFont val="宋体"/>
        <family val="3"/>
        <charset val="134"/>
      </rPr>
      <t>级别</t>
    </r>
    <phoneticPr fontId="4" type="noConversion"/>
  </si>
  <si>
    <r>
      <rPr>
        <sz val="10"/>
        <color theme="1"/>
        <rFont val="宋体"/>
        <family val="3"/>
        <charset val="134"/>
      </rPr>
      <t>一级</t>
    </r>
    <phoneticPr fontId="4" type="noConversion"/>
  </si>
  <si>
    <r>
      <rPr>
        <sz val="10"/>
        <color theme="1"/>
        <rFont val="宋体"/>
        <family val="3"/>
        <charset val="134"/>
      </rPr>
      <t>二级</t>
    </r>
    <phoneticPr fontId="4" type="noConversion"/>
  </si>
  <si>
    <r>
      <rPr>
        <sz val="10"/>
        <color theme="1"/>
        <rFont val="宋体"/>
        <family val="3"/>
        <charset val="134"/>
      </rPr>
      <t>三级</t>
    </r>
    <phoneticPr fontId="4" type="noConversion"/>
  </si>
  <si>
    <r>
      <rPr>
        <sz val="10"/>
        <color theme="1"/>
        <rFont val="宋体"/>
        <family val="3"/>
        <charset val="134"/>
      </rPr>
      <t>四级</t>
    </r>
    <phoneticPr fontId="4" type="noConversion"/>
  </si>
  <si>
    <r>
      <rPr>
        <sz val="10"/>
        <color theme="1"/>
        <rFont val="宋体"/>
        <family val="3"/>
        <charset val="134"/>
      </rPr>
      <t>五级</t>
    </r>
    <phoneticPr fontId="4" type="noConversion"/>
  </si>
  <si>
    <r>
      <rPr>
        <sz val="10"/>
        <color theme="1"/>
        <rFont val="宋体"/>
        <family val="3"/>
        <charset val="134"/>
      </rPr>
      <t>六级</t>
    </r>
    <phoneticPr fontId="4" type="noConversion"/>
  </si>
  <si>
    <r>
      <rPr>
        <sz val="10"/>
        <color theme="1"/>
        <rFont val="宋体"/>
        <family val="3"/>
        <charset val="134"/>
      </rPr>
      <t>七级</t>
    </r>
    <phoneticPr fontId="4" type="noConversion"/>
  </si>
  <si>
    <r>
      <rPr>
        <sz val="10"/>
        <color theme="1"/>
        <rFont val="宋体"/>
        <family val="3"/>
        <charset val="134"/>
      </rPr>
      <t>八级</t>
    </r>
    <phoneticPr fontId="4" type="noConversion"/>
  </si>
  <si>
    <r>
      <rPr>
        <sz val="10"/>
        <color theme="1"/>
        <rFont val="宋体"/>
        <family val="3"/>
        <charset val="134"/>
      </rPr>
      <t>九级</t>
    </r>
    <phoneticPr fontId="4" type="noConversion"/>
  </si>
  <si>
    <r>
      <rPr>
        <sz val="10"/>
        <color theme="1"/>
        <rFont val="宋体"/>
        <family val="3"/>
        <charset val="134"/>
      </rPr>
      <t>十级</t>
    </r>
    <phoneticPr fontId="4" type="noConversion"/>
  </si>
  <si>
    <r>
      <rPr>
        <sz val="10"/>
        <color theme="1"/>
        <rFont val="宋体"/>
        <family val="3"/>
        <charset val="134"/>
      </rPr>
      <t>十一级</t>
    </r>
    <phoneticPr fontId="4" type="noConversion"/>
  </si>
  <si>
    <r>
      <rPr>
        <sz val="10"/>
        <color theme="1"/>
        <rFont val="宋体"/>
        <family val="3"/>
        <charset val="134"/>
      </rPr>
      <t>十二级</t>
    </r>
    <phoneticPr fontId="4" type="noConversion"/>
  </si>
  <si>
    <r>
      <rPr>
        <sz val="10"/>
        <rFont val="宋体"/>
        <family val="3"/>
        <charset val="134"/>
      </rPr>
      <t>加价幅度</t>
    </r>
    <phoneticPr fontId="4" type="noConversion"/>
  </si>
  <si>
    <r>
      <rPr>
        <sz val="10"/>
        <rFont val="宋体"/>
        <family val="3"/>
        <charset val="134"/>
      </rPr>
      <t>临商业街红线</t>
    </r>
    <r>
      <rPr>
        <sz val="10"/>
        <rFont val="Arial"/>
        <family val="2"/>
      </rPr>
      <t>1/4</t>
    </r>
    <r>
      <rPr>
        <sz val="10"/>
        <rFont val="宋体"/>
        <family val="3"/>
        <charset val="134"/>
      </rPr>
      <t>至</t>
    </r>
    <r>
      <rPr>
        <sz val="10"/>
        <rFont val="Arial"/>
        <family val="2"/>
      </rPr>
      <t>2/4</t>
    </r>
    <r>
      <rPr>
        <sz val="10"/>
        <rFont val="宋体"/>
        <family val="3"/>
        <charset val="134"/>
      </rPr>
      <t>标准深度占地面积／宗地总面积</t>
    </r>
    <phoneticPr fontId="4" type="noConversion"/>
  </si>
  <si>
    <r>
      <rPr>
        <sz val="11"/>
        <color theme="1"/>
        <rFont val="宋体"/>
        <family val="3"/>
        <charset val="134"/>
      </rPr>
      <t>九级</t>
    </r>
  </si>
  <si>
    <r>
      <rPr>
        <sz val="10"/>
        <rFont val="宋体"/>
        <family val="3"/>
        <charset val="134"/>
      </rPr>
      <t>商业</t>
    </r>
    <r>
      <rPr>
        <sz val="10"/>
        <rFont val="Arial"/>
        <family val="2"/>
      </rPr>
      <t>R</t>
    </r>
    <r>
      <rPr>
        <sz val="10"/>
        <rFont val="宋体"/>
        <family val="3"/>
        <charset val="134"/>
      </rPr>
      <t>≥</t>
    </r>
    <r>
      <rPr>
        <sz val="10"/>
        <rFont val="Arial"/>
        <family val="2"/>
      </rPr>
      <t>1</t>
    </r>
    <phoneticPr fontId="4" type="noConversion"/>
  </si>
  <si>
    <r>
      <t>7</t>
    </r>
    <r>
      <rPr>
        <sz val="10"/>
        <color theme="1"/>
        <rFont val="宋体"/>
        <family val="3"/>
        <charset val="134"/>
      </rPr>
      <t>层及以上</t>
    </r>
    <phoneticPr fontId="4" type="noConversion"/>
  </si>
  <si>
    <r>
      <rPr>
        <sz val="10"/>
        <rFont val="宋体"/>
        <family val="3"/>
        <charset val="134"/>
      </rPr>
      <t>标准深度（米）</t>
    </r>
    <phoneticPr fontId="4" type="noConversion"/>
  </si>
  <si>
    <r>
      <rPr>
        <sz val="10"/>
        <rFont val="宋体"/>
        <family val="3"/>
        <charset val="134"/>
      </rPr>
      <t>临商业街红线</t>
    </r>
    <r>
      <rPr>
        <sz val="10"/>
        <rFont val="Arial"/>
        <family val="2"/>
      </rPr>
      <t>2/4</t>
    </r>
    <r>
      <rPr>
        <sz val="10"/>
        <rFont val="宋体"/>
        <family val="3"/>
        <charset val="134"/>
      </rPr>
      <t>至</t>
    </r>
    <r>
      <rPr>
        <sz val="10"/>
        <rFont val="Arial"/>
        <family val="2"/>
      </rPr>
      <t>3/4</t>
    </r>
    <r>
      <rPr>
        <sz val="10"/>
        <rFont val="宋体"/>
        <family val="3"/>
        <charset val="134"/>
      </rPr>
      <t>标准深度占地面积／宗地总面积</t>
    </r>
    <phoneticPr fontId="4" type="noConversion"/>
  </si>
  <si>
    <r>
      <rPr>
        <sz val="11"/>
        <color theme="1"/>
        <rFont val="宋体"/>
        <family val="3"/>
        <charset val="134"/>
      </rPr>
      <t>十级</t>
    </r>
  </si>
  <si>
    <r>
      <t>1/4</t>
    </r>
    <r>
      <rPr>
        <sz val="10"/>
        <rFont val="宋体"/>
        <family val="3"/>
        <charset val="134"/>
      </rPr>
      <t>标准深度</t>
    </r>
    <phoneticPr fontId="4" type="noConversion"/>
  </si>
  <si>
    <r>
      <rPr>
        <sz val="10"/>
        <rFont val="宋体"/>
        <family val="3"/>
        <charset val="134"/>
      </rPr>
      <t>临商业街红线</t>
    </r>
    <r>
      <rPr>
        <sz val="10"/>
        <rFont val="Arial"/>
        <family val="2"/>
      </rPr>
      <t>3/4</t>
    </r>
    <r>
      <rPr>
        <sz val="10"/>
        <rFont val="宋体"/>
        <family val="3"/>
        <charset val="134"/>
      </rPr>
      <t>至</t>
    </r>
    <r>
      <rPr>
        <sz val="10"/>
        <rFont val="Arial"/>
        <family val="2"/>
      </rPr>
      <t>4/4</t>
    </r>
    <r>
      <rPr>
        <sz val="10"/>
        <rFont val="宋体"/>
        <family val="3"/>
        <charset val="134"/>
      </rPr>
      <t>标准深度占地面积／宗地总面积</t>
    </r>
    <phoneticPr fontId="4" type="noConversion"/>
  </si>
  <si>
    <r>
      <rPr>
        <sz val="11"/>
        <color theme="1"/>
        <rFont val="宋体"/>
        <family val="3"/>
        <charset val="134"/>
      </rPr>
      <t>十一级</t>
    </r>
  </si>
  <si>
    <r>
      <rPr>
        <sz val="10"/>
        <rFont val="宋体"/>
        <family val="3"/>
        <charset val="134"/>
      </rPr>
      <t>商业</t>
    </r>
    <r>
      <rPr>
        <sz val="10"/>
        <rFont val="Arial"/>
        <family val="2"/>
      </rPr>
      <t>R&lt;1</t>
    </r>
    <phoneticPr fontId="4" type="noConversion"/>
  </si>
  <si>
    <r>
      <rPr>
        <sz val="10"/>
        <rFont val="宋体"/>
        <family val="3"/>
        <charset val="134"/>
      </rPr>
      <t>容积率</t>
    </r>
    <phoneticPr fontId="4" type="noConversion"/>
  </si>
  <si>
    <r>
      <rPr>
        <b/>
        <sz val="10"/>
        <rFont val="宋体"/>
        <family val="3"/>
        <charset val="134"/>
      </rPr>
      <t>特殊情况修正（居住用途）</t>
    </r>
    <phoneticPr fontId="4" type="noConversion"/>
  </si>
  <si>
    <r>
      <rPr>
        <sz val="10"/>
        <rFont val="宋体"/>
        <family val="3"/>
        <charset val="134"/>
      </rPr>
      <t>需根据项目情况调整公式修正项</t>
    </r>
    <phoneticPr fontId="4" type="noConversion"/>
  </si>
  <si>
    <r>
      <rPr>
        <sz val="11"/>
        <color theme="1"/>
        <rFont val="宋体"/>
        <family val="3"/>
        <charset val="134"/>
      </rPr>
      <t>十二级</t>
    </r>
  </si>
  <si>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</si>
  <si>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indexed="8"/>
        <rFont val="宋体"/>
        <family val="3"/>
        <charset val="134"/>
      </rPr>
      <t>特殊情况</t>
    </r>
    <phoneticPr fontId="4" type="noConversion"/>
  </si>
  <si>
    <r>
      <rPr>
        <sz val="10"/>
        <color indexed="8"/>
        <rFont val="宋体"/>
        <family val="3"/>
        <charset val="134"/>
      </rPr>
      <t>公园</t>
    </r>
    <phoneticPr fontId="4" type="noConversion"/>
  </si>
  <si>
    <r>
      <rPr>
        <sz val="10"/>
        <color indexed="8"/>
        <rFont val="宋体"/>
        <family val="3"/>
        <charset val="134"/>
      </rPr>
      <t>水系</t>
    </r>
    <phoneticPr fontId="4" type="noConversion"/>
  </si>
  <si>
    <r>
      <rPr>
        <sz val="10"/>
        <color indexed="8"/>
        <rFont val="宋体"/>
        <family val="3"/>
        <charset val="134"/>
      </rPr>
      <t>中小学名校</t>
    </r>
    <phoneticPr fontId="4" type="noConversion"/>
  </si>
  <si>
    <r>
      <rPr>
        <sz val="10"/>
        <color indexed="8"/>
        <rFont val="宋体"/>
        <family val="3"/>
        <charset val="134"/>
      </rPr>
      <t>轨道交通站点周边</t>
    </r>
    <phoneticPr fontId="4" type="noConversion"/>
  </si>
  <si>
    <r>
      <rPr>
        <sz val="10"/>
        <rFont val="宋体"/>
        <family val="3"/>
        <charset val="134"/>
      </rPr>
      <t>无</t>
    </r>
    <phoneticPr fontId="74" type="noConversion"/>
  </si>
  <si>
    <r>
      <rPr>
        <sz val="10"/>
        <color theme="1"/>
        <rFont val="宋体"/>
        <family val="3"/>
        <charset val="134"/>
      </rPr>
      <t>有</t>
    </r>
  </si>
  <si>
    <r>
      <rPr>
        <sz val="10"/>
        <color theme="1"/>
        <rFont val="宋体"/>
        <family val="3"/>
        <charset val="134"/>
      </rPr>
      <t>无</t>
    </r>
  </si>
  <si>
    <r>
      <t>500</t>
    </r>
    <r>
      <rPr>
        <sz val="10"/>
        <color theme="1"/>
        <rFont val="宋体"/>
        <family val="3"/>
        <charset val="134"/>
      </rPr>
      <t>米范围内</t>
    </r>
  </si>
  <si>
    <r>
      <rPr>
        <sz val="10"/>
        <color indexed="10"/>
        <rFont val="宋体"/>
        <family val="3"/>
        <charset val="134"/>
      </rPr>
      <t>其他（垃圾填埋场</t>
    </r>
    <r>
      <rPr>
        <sz val="10"/>
        <color indexed="10"/>
        <rFont val="Arial"/>
        <family val="2"/>
      </rPr>
      <t>/</t>
    </r>
    <r>
      <rPr>
        <sz val="10"/>
        <color indexed="10"/>
        <rFont val="宋体"/>
        <family val="3"/>
        <charset val="134"/>
      </rPr>
      <t>污水处理厂等），自定义，修正幅度不超过</t>
    </r>
    <r>
      <rPr>
        <sz val="10"/>
        <color indexed="10"/>
        <rFont val="Arial"/>
        <family val="2"/>
      </rPr>
      <t>±10%</t>
    </r>
    <phoneticPr fontId="4" type="noConversion"/>
  </si>
  <si>
    <r>
      <rPr>
        <sz val="10"/>
        <color indexed="8"/>
        <rFont val="宋体"/>
        <family val="3"/>
        <charset val="134"/>
      </rPr>
      <t>修正系数</t>
    </r>
    <phoneticPr fontId="4" type="noConversion"/>
  </si>
  <si>
    <r>
      <rPr>
        <sz val="10"/>
        <rFont val="宋体"/>
        <family val="3"/>
        <charset val="134"/>
      </rPr>
      <t>用途</t>
    </r>
    <phoneticPr fontId="4" type="noConversion"/>
  </si>
  <si>
    <r>
      <rPr>
        <sz val="10"/>
        <rFont val="宋体"/>
        <family val="3"/>
        <charset val="134"/>
      </rPr>
      <t>商业</t>
    </r>
    <phoneticPr fontId="4" type="noConversion"/>
  </si>
  <si>
    <r>
      <rPr>
        <sz val="10"/>
        <rFont val="宋体"/>
        <family val="3"/>
        <charset val="134"/>
      </rPr>
      <t>办公</t>
    </r>
    <phoneticPr fontId="4" type="noConversion"/>
  </si>
  <si>
    <r>
      <rPr>
        <sz val="10"/>
        <rFont val="宋体"/>
        <family val="3"/>
        <charset val="134"/>
      </rPr>
      <t>住宅</t>
    </r>
    <phoneticPr fontId="4" type="noConversion"/>
  </si>
  <si>
    <r>
      <rPr>
        <sz val="10"/>
        <rFont val="宋体"/>
        <family val="3"/>
        <charset val="134"/>
      </rPr>
      <t>工业</t>
    </r>
    <phoneticPr fontId="4" type="noConversion"/>
  </si>
  <si>
    <r>
      <rPr>
        <b/>
        <sz val="10"/>
        <rFont val="宋体"/>
        <family val="3"/>
        <charset val="134"/>
      </rPr>
      <t>开发程度差异修正</t>
    </r>
    <phoneticPr fontId="4" type="noConversion"/>
  </si>
  <si>
    <r>
      <rPr>
        <sz val="10"/>
        <rFont val="宋体"/>
        <family val="3"/>
        <charset val="134"/>
      </rPr>
      <t>估价对象开发程度</t>
    </r>
    <phoneticPr fontId="4" type="noConversion"/>
  </si>
  <si>
    <r>
      <rPr>
        <sz val="10"/>
        <rFont val="宋体"/>
        <family val="3"/>
        <charset val="134"/>
      </rPr>
      <t>上浮比率</t>
    </r>
    <phoneticPr fontId="4" type="noConversion"/>
  </si>
  <si>
    <r>
      <rPr>
        <sz val="10"/>
        <rFont val="宋体"/>
        <family val="3"/>
        <charset val="134"/>
      </rPr>
      <t>级别平均容积率</t>
    </r>
    <phoneticPr fontId="4" type="noConversion"/>
  </si>
  <si>
    <r>
      <rPr>
        <sz val="10"/>
        <rFont val="宋体"/>
        <family val="3"/>
        <charset val="134"/>
      </rPr>
      <t>级别开发程度</t>
    </r>
    <phoneticPr fontId="4" type="noConversion"/>
  </si>
  <si>
    <r>
      <rPr>
        <sz val="10"/>
        <rFont val="宋体"/>
        <family val="3"/>
        <charset val="134"/>
      </rPr>
      <t>土地还原率</t>
    </r>
    <phoneticPr fontId="4" type="noConversion"/>
  </si>
  <si>
    <r>
      <rPr>
        <b/>
        <sz val="11"/>
        <rFont val="宋体"/>
        <family val="3"/>
        <charset val="134"/>
      </rPr>
      <t>二、</t>
    </r>
    <phoneticPr fontId="4" type="noConversion"/>
  </si>
  <si>
    <r>
      <rPr>
        <b/>
        <sz val="11"/>
        <rFont val="宋体"/>
        <family val="3"/>
        <charset val="134"/>
      </rPr>
      <t>用途修正系数</t>
    </r>
    <phoneticPr fontId="4" type="noConversion"/>
  </si>
  <si>
    <r>
      <rPr>
        <b/>
        <sz val="11"/>
        <rFont val="宋体"/>
        <family val="3"/>
        <charset val="134"/>
      </rPr>
      <t>三、</t>
    </r>
    <phoneticPr fontId="4" type="noConversion"/>
  </si>
  <si>
    <r>
      <rPr>
        <b/>
        <sz val="11"/>
        <rFont val="宋体"/>
        <family val="3"/>
        <charset val="134"/>
      </rPr>
      <t>期日修正指数</t>
    </r>
    <phoneticPr fontId="4" type="noConversion"/>
  </si>
  <si>
    <r>
      <rPr>
        <sz val="11"/>
        <rFont val="宋体"/>
        <family val="3"/>
        <charset val="134"/>
      </rPr>
      <t>基准期日</t>
    </r>
    <phoneticPr fontId="4" type="noConversion"/>
  </si>
  <si>
    <r>
      <rPr>
        <sz val="11"/>
        <rFont val="宋体"/>
        <family val="3"/>
        <charset val="134"/>
      </rPr>
      <t>估价期日</t>
    </r>
    <phoneticPr fontId="4" type="noConversion"/>
  </si>
  <si>
    <r>
      <rPr>
        <sz val="11"/>
        <rFont val="宋体"/>
        <family val="3"/>
        <charset val="134"/>
      </rPr>
      <t>基准日地价指数</t>
    </r>
    <phoneticPr fontId="4" type="noConversion"/>
  </si>
  <si>
    <r>
      <rPr>
        <sz val="10"/>
        <rFont val="宋体"/>
        <family val="3"/>
        <charset val="134"/>
      </rPr>
      <t>相差季度数</t>
    </r>
    <phoneticPr fontId="74" type="noConversion"/>
  </si>
  <si>
    <r>
      <rPr>
        <b/>
        <sz val="11"/>
        <rFont val="宋体"/>
        <family val="3"/>
        <charset val="134"/>
      </rPr>
      <t>四、</t>
    </r>
    <phoneticPr fontId="4" type="noConversion"/>
  </si>
  <si>
    <r>
      <rPr>
        <b/>
        <sz val="11"/>
        <rFont val="宋体"/>
        <family val="3"/>
        <charset val="134"/>
      </rPr>
      <t>年期修正系数</t>
    </r>
    <phoneticPr fontId="4" type="noConversion"/>
  </si>
  <si>
    <r>
      <rPr>
        <sz val="10"/>
        <rFont val="宋体"/>
        <family val="3"/>
        <charset val="134"/>
      </rPr>
      <t>现行一年期贷款利率</t>
    </r>
    <phoneticPr fontId="4" type="noConversion"/>
  </si>
  <si>
    <r>
      <rPr>
        <sz val="10"/>
        <rFont val="宋体"/>
        <family val="3"/>
        <charset val="134"/>
      </rPr>
      <t>剩余使用年限</t>
    </r>
    <phoneticPr fontId="4" type="noConversion"/>
  </si>
  <si>
    <r>
      <rPr>
        <sz val="11"/>
        <rFont val="宋体"/>
        <family val="3"/>
        <charset val="134"/>
      </rPr>
      <t>所在季度地价指数</t>
    </r>
    <phoneticPr fontId="4" type="noConversion"/>
  </si>
  <si>
    <r>
      <rPr>
        <sz val="11"/>
        <rFont val="宋体"/>
        <family val="3"/>
        <charset val="134"/>
      </rPr>
      <t>季度增幅</t>
    </r>
    <phoneticPr fontId="4" type="noConversion"/>
  </si>
  <si>
    <r>
      <rPr>
        <sz val="11"/>
        <rFont val="宋体"/>
        <family val="3"/>
        <charset val="134"/>
      </rPr>
      <t>自定义涨幅</t>
    </r>
    <phoneticPr fontId="4" type="noConversion"/>
  </si>
  <si>
    <r>
      <rPr>
        <sz val="11"/>
        <rFont val="宋体"/>
        <family val="3"/>
        <charset val="134"/>
      </rPr>
      <t>平均季度涨幅（公示）</t>
    </r>
    <phoneticPr fontId="4" type="noConversion"/>
  </si>
  <si>
    <r>
      <rPr>
        <b/>
        <sz val="11"/>
        <rFont val="宋体"/>
        <family val="3"/>
        <charset val="134"/>
      </rPr>
      <t>五、</t>
    </r>
    <phoneticPr fontId="4" type="noConversion"/>
  </si>
  <si>
    <r>
      <rPr>
        <b/>
        <sz val="11"/>
        <rFont val="宋体"/>
        <family val="3"/>
        <charset val="134"/>
      </rPr>
      <t>容积率修正</t>
    </r>
  </si>
  <si>
    <r>
      <rPr>
        <sz val="11"/>
        <rFont val="宋体"/>
        <family val="3"/>
        <charset val="134"/>
      </rPr>
      <t>商业</t>
    </r>
    <phoneticPr fontId="4" type="noConversion"/>
  </si>
  <si>
    <r>
      <rPr>
        <sz val="11"/>
        <rFont val="宋体"/>
        <family val="3"/>
        <charset val="134"/>
      </rPr>
      <t>容积率修正系数</t>
    </r>
    <phoneticPr fontId="4" type="noConversion"/>
  </si>
  <si>
    <r>
      <t>R</t>
    </r>
    <r>
      <rPr>
        <sz val="11"/>
        <rFont val="宋体"/>
        <family val="3"/>
        <charset val="134"/>
      </rPr>
      <t>≤</t>
    </r>
    <r>
      <rPr>
        <sz val="11"/>
        <rFont val="Arial"/>
        <family val="2"/>
      </rPr>
      <t>10</t>
    </r>
    <phoneticPr fontId="4" type="noConversion"/>
  </si>
  <si>
    <r>
      <rPr>
        <sz val="11"/>
        <rFont val="宋体"/>
        <family val="3"/>
        <charset val="134"/>
      </rPr>
      <t>办公</t>
    </r>
    <phoneticPr fontId="4" type="noConversion"/>
  </si>
  <si>
    <r>
      <rPr>
        <sz val="11"/>
        <rFont val="宋体"/>
        <family val="3"/>
        <charset val="134"/>
      </rPr>
      <t>楼层修正系数（商业）</t>
    </r>
    <phoneticPr fontId="4" type="noConversion"/>
  </si>
  <si>
    <r>
      <rPr>
        <sz val="11"/>
        <rFont val="宋体"/>
        <family val="3"/>
        <charset val="134"/>
      </rPr>
      <t>住宅</t>
    </r>
  </si>
  <si>
    <r>
      <rPr>
        <b/>
        <sz val="11"/>
        <rFont val="宋体"/>
        <family val="3"/>
        <charset val="134"/>
      </rPr>
      <t>六、</t>
    </r>
    <phoneticPr fontId="4" type="noConversion"/>
  </si>
  <si>
    <r>
      <rPr>
        <b/>
        <sz val="11"/>
        <rFont val="宋体"/>
        <family val="3"/>
        <charset val="134"/>
      </rPr>
      <t>因素修正系数</t>
    </r>
    <phoneticPr fontId="4" type="noConversion"/>
  </si>
  <si>
    <r>
      <rPr>
        <sz val="11"/>
        <rFont val="宋体"/>
        <family val="3"/>
        <charset val="134"/>
      </rPr>
      <t>工业</t>
    </r>
  </si>
  <si>
    <r>
      <rPr>
        <b/>
        <sz val="11"/>
        <rFont val="宋体"/>
        <family val="3"/>
        <charset val="134"/>
      </rPr>
      <t>七、</t>
    </r>
    <phoneticPr fontId="4" type="noConversion"/>
  </si>
  <si>
    <r>
      <rPr>
        <b/>
        <sz val="11"/>
        <rFont val="宋体"/>
        <family val="3"/>
        <charset val="134"/>
      </rPr>
      <t>估算结果</t>
    </r>
    <phoneticPr fontId="4" type="noConversion"/>
  </si>
  <si>
    <r>
      <rPr>
        <sz val="11"/>
        <rFont val="宋体"/>
        <family val="3"/>
        <charset val="134"/>
      </rPr>
      <t>综合</t>
    </r>
    <phoneticPr fontId="4" type="noConversion"/>
  </si>
  <si>
    <r>
      <rPr>
        <sz val="11"/>
        <rFont val="宋体"/>
        <family val="3"/>
        <charset val="134"/>
      </rPr>
      <t>熟地价</t>
    </r>
    <phoneticPr fontId="74" type="noConversion"/>
  </si>
  <si>
    <r>
      <rPr>
        <sz val="11"/>
        <rFont val="宋体"/>
        <family val="3"/>
        <charset val="134"/>
      </rPr>
      <t>政府土地出让收益</t>
    </r>
    <phoneticPr fontId="74" type="noConversion"/>
  </si>
  <si>
    <r>
      <rPr>
        <b/>
        <sz val="10"/>
        <rFont val="宋体"/>
        <family val="3"/>
        <charset val="134"/>
      </rPr>
      <t>地上部分</t>
    </r>
    <phoneticPr fontId="4" type="noConversion"/>
  </si>
  <si>
    <r>
      <rPr>
        <b/>
        <sz val="11"/>
        <rFont val="宋体"/>
        <family val="3"/>
        <charset val="134"/>
      </rPr>
      <t>单价</t>
    </r>
    <phoneticPr fontId="4" type="noConversion"/>
  </si>
  <si>
    <r>
      <rPr>
        <b/>
        <sz val="11"/>
        <rFont val="宋体"/>
        <family val="3"/>
        <charset val="134"/>
      </rPr>
      <t>建筑面积</t>
    </r>
    <phoneticPr fontId="4" type="noConversion"/>
  </si>
  <si>
    <r>
      <rPr>
        <b/>
        <sz val="11"/>
        <rFont val="宋体"/>
        <family val="3"/>
        <charset val="134"/>
      </rPr>
      <t>总额</t>
    </r>
    <phoneticPr fontId="4" type="noConversion"/>
  </si>
  <si>
    <r>
      <rPr>
        <sz val="10"/>
        <rFont val="宋体"/>
        <family val="3"/>
        <charset val="134"/>
      </rPr>
      <t>地上部分</t>
    </r>
    <r>
      <rPr>
        <sz val="10"/>
        <rFont val="Arial"/>
        <family val="2"/>
      </rPr>
      <t>——</t>
    </r>
    <r>
      <rPr>
        <sz val="10"/>
        <rFont val="宋体"/>
        <family val="3"/>
        <charset val="134"/>
      </rPr>
      <t>楼面熟地价</t>
    </r>
    <phoneticPr fontId="4" type="noConversion"/>
  </si>
  <si>
    <r>
      <rPr>
        <sz val="10"/>
        <color indexed="8"/>
        <rFont val="宋体"/>
        <family val="3"/>
        <charset val="134"/>
      </rPr>
      <t>楼面熟地价</t>
    </r>
    <r>
      <rPr>
        <sz val="10"/>
        <color indexed="8"/>
        <rFont val="Arial"/>
        <family val="2"/>
      </rPr>
      <t>=</t>
    </r>
    <r>
      <rPr>
        <sz val="10"/>
        <color indexed="8"/>
        <rFont val="宋体"/>
        <family val="3"/>
        <charset val="134"/>
      </rPr>
      <t>适用的基准地价</t>
    </r>
    <r>
      <rPr>
        <sz val="10"/>
        <color indexed="8"/>
        <rFont val="Arial"/>
        <family val="2"/>
      </rPr>
      <t>×</t>
    </r>
    <r>
      <rPr>
        <sz val="10"/>
        <color indexed="8"/>
        <rFont val="宋体"/>
        <family val="3"/>
        <charset val="134"/>
      </rPr>
      <t>用途修正系数</t>
    </r>
    <r>
      <rPr>
        <sz val="10"/>
        <color indexed="8"/>
        <rFont val="Arial"/>
        <family val="2"/>
      </rPr>
      <t>×</t>
    </r>
    <r>
      <rPr>
        <sz val="10"/>
        <color indexed="8"/>
        <rFont val="宋体"/>
        <family val="3"/>
        <charset val="134"/>
      </rPr>
      <t>期日修正系数</t>
    </r>
    <r>
      <rPr>
        <sz val="10"/>
        <color indexed="8"/>
        <rFont val="Arial"/>
        <family val="2"/>
      </rPr>
      <t>×</t>
    </r>
    <r>
      <rPr>
        <sz val="10"/>
        <color indexed="8"/>
        <rFont val="宋体"/>
        <family val="3"/>
        <charset val="134"/>
      </rPr>
      <t>年期修正系数</t>
    </r>
    <r>
      <rPr>
        <sz val="10"/>
        <color indexed="8"/>
        <rFont val="Arial"/>
        <family val="2"/>
      </rPr>
      <t>×</t>
    </r>
    <r>
      <rPr>
        <sz val="10"/>
        <color indexed="8"/>
        <rFont val="宋体"/>
        <family val="3"/>
        <charset val="134"/>
      </rPr>
      <t>（容积率修正系数或楼层修正系数）</t>
    </r>
    <r>
      <rPr>
        <sz val="10"/>
        <color indexed="8"/>
        <rFont val="Arial"/>
        <family val="2"/>
      </rPr>
      <t>×</t>
    </r>
    <r>
      <rPr>
        <sz val="10"/>
        <color indexed="8"/>
        <rFont val="宋体"/>
        <family val="3"/>
        <charset val="134"/>
      </rPr>
      <t>因素修正系数</t>
    </r>
    <phoneticPr fontId="4" type="noConversion"/>
  </si>
  <si>
    <r>
      <rPr>
        <sz val="10"/>
        <rFont val="宋体"/>
        <family val="3"/>
        <charset val="134"/>
      </rPr>
      <t>地上部分</t>
    </r>
    <r>
      <rPr>
        <sz val="10"/>
        <rFont val="Arial"/>
        <family val="2"/>
      </rPr>
      <t>——</t>
    </r>
    <r>
      <rPr>
        <sz val="10"/>
        <rFont val="宋体"/>
        <family val="3"/>
        <charset val="134"/>
      </rPr>
      <t>政府土地出让收益</t>
    </r>
    <phoneticPr fontId="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</si>
  <si>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4" type="noConversion"/>
  </si>
  <si>
    <r>
      <rPr>
        <b/>
        <sz val="10"/>
        <rFont val="宋体"/>
        <family val="3"/>
        <charset val="134"/>
      </rPr>
      <t>地下部分</t>
    </r>
    <phoneticPr fontId="4" type="noConversion"/>
  </si>
  <si>
    <r>
      <rPr>
        <sz val="10"/>
        <rFont val="宋体"/>
        <family val="3"/>
        <charset val="134"/>
      </rPr>
      <t>楼面熟地价</t>
    </r>
    <r>
      <rPr>
        <sz val="10"/>
        <rFont val="Arial"/>
        <family val="2"/>
      </rPr>
      <t>=</t>
    </r>
    <r>
      <rPr>
        <sz val="10"/>
        <rFont val="宋体"/>
        <family val="3"/>
        <charset val="134"/>
      </rPr>
      <t>适用的基准地价</t>
    </r>
    <r>
      <rPr>
        <sz val="10"/>
        <rFont val="Arial"/>
        <family val="2"/>
      </rPr>
      <t>×</t>
    </r>
    <r>
      <rPr>
        <sz val="10"/>
        <rFont val="宋体"/>
        <family val="3"/>
        <charset val="134"/>
      </rPr>
      <t>期日修正系数</t>
    </r>
    <r>
      <rPr>
        <sz val="10"/>
        <rFont val="Arial"/>
        <family val="2"/>
      </rPr>
      <t>×</t>
    </r>
    <r>
      <rPr>
        <sz val="10"/>
        <rFont val="宋体"/>
        <family val="3"/>
        <charset val="134"/>
      </rPr>
      <t>年期修正系数</t>
    </r>
    <r>
      <rPr>
        <sz val="10"/>
        <rFont val="Arial"/>
        <family val="2"/>
      </rPr>
      <t>×</t>
    </r>
    <r>
      <rPr>
        <sz val="10"/>
        <rFont val="宋体"/>
        <family val="3"/>
        <charset val="134"/>
      </rPr>
      <t>因素修正系数</t>
    </r>
    <r>
      <rPr>
        <sz val="10"/>
        <rFont val="Arial"/>
        <family val="2"/>
      </rPr>
      <t>×</t>
    </r>
    <r>
      <rPr>
        <sz val="10"/>
        <rFont val="宋体"/>
        <family val="3"/>
        <charset val="134"/>
      </rPr>
      <t>相应用途地下空间修正系数</t>
    </r>
    <phoneticPr fontId="7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</si>
  <si>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74" type="noConversion"/>
  </si>
  <si>
    <r>
      <rPr>
        <sz val="10"/>
        <rFont val="宋体"/>
        <family val="3"/>
        <charset val="134"/>
      </rPr>
      <t>相应用途地下空间修正系数</t>
    </r>
  </si>
  <si>
    <r>
      <rPr>
        <b/>
        <sz val="10"/>
        <color rgb="FFFF0000"/>
        <rFont val="宋体"/>
        <family val="3"/>
        <charset val="134"/>
      </rPr>
      <t>地下商业不考虑路线价修正</t>
    </r>
    <phoneticPr fontId="4" type="noConversion"/>
  </si>
  <si>
    <r>
      <rPr>
        <sz val="10"/>
        <color theme="1"/>
        <rFont val="宋体"/>
        <family val="3"/>
        <charset val="134"/>
      </rPr>
      <t>地下第</t>
    </r>
    <r>
      <rPr>
        <sz val="10"/>
        <color theme="1"/>
        <rFont val="Arial"/>
        <family val="2"/>
      </rPr>
      <t>1</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</si>
  <si>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2</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</si>
  <si>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3</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</si>
  <si>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4</t>
    </r>
    <r>
      <rPr>
        <sz val="10"/>
        <color theme="1"/>
        <rFont val="宋体"/>
        <family val="3"/>
        <charset val="134"/>
      </rPr>
      <t>层商业</t>
    </r>
    <phoneticPr fontId="4" type="noConversion"/>
  </si>
  <si>
    <r>
      <rPr>
        <sz val="10"/>
        <color theme="1"/>
        <rFont val="宋体"/>
        <family val="3"/>
        <charset val="134"/>
      </rPr>
      <t>地下办公</t>
    </r>
    <phoneticPr fontId="4" type="noConversion"/>
  </si>
  <si>
    <r>
      <rPr>
        <sz val="10"/>
        <rFont val="宋体"/>
        <family val="3"/>
        <charset val="134"/>
      </rPr>
      <t>政府土地出让收益比例</t>
    </r>
    <phoneticPr fontId="74" type="noConversion"/>
  </si>
  <si>
    <r>
      <rPr>
        <sz val="10"/>
        <color theme="1"/>
        <rFont val="宋体"/>
        <family val="3"/>
        <charset val="134"/>
      </rPr>
      <t>地下仓储</t>
    </r>
    <phoneticPr fontId="4" type="noConversion"/>
  </si>
  <si>
    <r>
      <rPr>
        <sz val="10"/>
        <rFont val="宋体"/>
        <family val="3"/>
        <charset val="134"/>
      </rPr>
      <t>商业</t>
    </r>
    <r>
      <rPr>
        <sz val="10"/>
        <rFont val="Arial"/>
        <family val="2"/>
      </rPr>
      <t>/</t>
    </r>
    <r>
      <rPr>
        <sz val="10"/>
        <rFont val="宋体"/>
        <family val="3"/>
        <charset val="134"/>
      </rPr>
      <t>办公</t>
    </r>
    <r>
      <rPr>
        <sz val="10"/>
        <rFont val="Arial"/>
        <family val="2"/>
      </rPr>
      <t>/</t>
    </r>
    <r>
      <rPr>
        <sz val="10"/>
        <rFont val="宋体"/>
        <family val="3"/>
        <charset val="134"/>
      </rPr>
      <t>居住</t>
    </r>
    <phoneticPr fontId="4" type="noConversion"/>
  </si>
  <si>
    <r>
      <rPr>
        <sz val="10"/>
        <color theme="1"/>
        <rFont val="宋体"/>
        <family val="3"/>
        <charset val="134"/>
      </rPr>
      <t>地下车库</t>
    </r>
    <phoneticPr fontId="4" type="noConversion"/>
  </si>
  <si>
    <r>
      <rPr>
        <b/>
        <sz val="11"/>
        <color rgb="FFFF0000"/>
        <rFont val="宋体"/>
        <family val="3"/>
        <charset val="134"/>
      </rPr>
      <t>结果不可超过《北京市区片基准地价因素总修正幅度表》所列修正幅度；依据估价对象用途调整链接</t>
    </r>
    <phoneticPr fontId="4" type="noConversion"/>
  </si>
  <si>
    <r>
      <rPr>
        <b/>
        <sz val="11"/>
        <color rgb="FFFF0000"/>
        <rFont val="宋体"/>
        <family val="3"/>
        <charset val="134"/>
      </rPr>
      <t>商业</t>
    </r>
    <phoneticPr fontId="4" type="noConversion"/>
  </si>
  <si>
    <r>
      <rPr>
        <sz val="10"/>
        <color theme="1"/>
        <rFont val="宋体"/>
        <family val="3"/>
        <charset val="134"/>
      </rPr>
      <t>影响因素</t>
    </r>
    <phoneticPr fontId="4" type="noConversion"/>
  </si>
  <si>
    <r>
      <rPr>
        <sz val="10"/>
        <color theme="1"/>
        <rFont val="宋体"/>
        <family val="3"/>
        <charset val="134"/>
      </rPr>
      <t>情况说明</t>
    </r>
    <phoneticPr fontId="4" type="noConversion"/>
  </si>
  <si>
    <r>
      <rPr>
        <sz val="10"/>
        <color theme="1"/>
        <rFont val="宋体"/>
        <family val="3"/>
        <charset val="134"/>
      </rPr>
      <t>等级</t>
    </r>
    <phoneticPr fontId="4" type="noConversion"/>
  </si>
  <si>
    <r>
      <rPr>
        <sz val="10"/>
        <color indexed="8"/>
        <rFont val="宋体"/>
        <family val="3"/>
        <charset val="134"/>
      </rPr>
      <t>修正幅度</t>
    </r>
    <phoneticPr fontId="4" type="noConversion"/>
  </si>
  <si>
    <r>
      <rPr>
        <sz val="10"/>
        <rFont val="宋体"/>
        <family val="3"/>
        <charset val="134"/>
      </rPr>
      <t>合计</t>
    </r>
    <phoneticPr fontId="4" type="noConversion"/>
  </si>
  <si>
    <r>
      <rPr>
        <sz val="10"/>
        <rFont val="宋体"/>
        <family val="3"/>
        <charset val="134"/>
      </rPr>
      <t>幅度控制</t>
    </r>
    <r>
      <rPr>
        <sz val="10"/>
        <rFont val="Arial"/>
        <family val="2"/>
      </rPr>
      <t>(±)</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</si>
  <si>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</si>
  <si>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</si>
  <si>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</si>
  <si>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</si>
  <si>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</si>
  <si>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</si>
  <si>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</si>
  <si>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</si>
  <si>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t xml:space="preserve"> </t>
    </r>
    <r>
      <rPr>
        <sz val="10"/>
        <color theme="1"/>
        <rFont val="宋体"/>
        <family val="3"/>
        <charset val="134"/>
      </rPr>
      <t>商业繁华程度</t>
    </r>
    <phoneticPr fontId="4" type="noConversion"/>
  </si>
  <si>
    <r>
      <rPr>
        <sz val="10"/>
        <color theme="1"/>
        <rFont val="宋体"/>
        <family val="3"/>
        <charset val="134"/>
      </rPr>
      <t>交通便捷度</t>
    </r>
    <phoneticPr fontId="4" type="noConversion"/>
  </si>
  <si>
    <r>
      <rPr>
        <sz val="10"/>
        <color theme="1"/>
        <rFont val="宋体"/>
        <family val="3"/>
        <charset val="134"/>
      </rPr>
      <t>区域土地利用方向</t>
    </r>
    <phoneticPr fontId="4" type="noConversion"/>
  </si>
  <si>
    <r>
      <rPr>
        <sz val="10"/>
        <color theme="1"/>
        <rFont val="宋体"/>
        <family val="3"/>
        <charset val="134"/>
      </rPr>
      <t>临街宽度和深度</t>
    </r>
    <phoneticPr fontId="4" type="noConversion"/>
  </si>
  <si>
    <r>
      <rPr>
        <sz val="10"/>
        <color theme="9" tint="-0.249977111117893"/>
        <rFont val="宋体"/>
        <family val="3"/>
        <charset val="134"/>
      </rPr>
      <t>宽度</t>
    </r>
    <r>
      <rPr>
        <sz val="10"/>
        <color theme="9" tint="-0.249977111117893"/>
        <rFont val="Arial"/>
        <family val="2"/>
      </rPr>
      <t>XX</t>
    </r>
    <r>
      <rPr>
        <sz val="10"/>
        <color theme="9" tint="-0.249977111117893"/>
        <rFont val="宋体"/>
        <family val="3"/>
        <charset val="134"/>
      </rPr>
      <t>米，深度</t>
    </r>
    <r>
      <rPr>
        <sz val="10"/>
        <color theme="9" tint="-0.249977111117893"/>
        <rFont val="Arial"/>
        <family val="2"/>
      </rPr>
      <t>XX</t>
    </r>
    <r>
      <rPr>
        <sz val="10"/>
        <color theme="9" tint="-0.249977111117893"/>
        <rFont val="宋体"/>
        <family val="3"/>
        <charset val="134"/>
      </rPr>
      <t>米</t>
    </r>
    <r>
      <rPr>
        <sz val="10"/>
        <color theme="9" tint="-0.249977111117893"/>
        <rFont val="Arial"/>
        <family val="2"/>
      </rPr>
      <t>,</t>
    </r>
    <r>
      <rPr>
        <sz val="10"/>
        <color theme="9" tint="-0.249977111117893"/>
        <rFont val="宋体"/>
        <family val="3"/>
        <charset val="134"/>
      </rPr>
      <t>临街宽度及深度比例适宜程度？对土地利用的影响？</t>
    </r>
    <phoneticPr fontId="4" type="noConversion"/>
  </si>
  <si>
    <r>
      <rPr>
        <sz val="10"/>
        <color theme="1"/>
        <rFont val="宋体"/>
        <family val="3"/>
        <charset val="134"/>
      </rPr>
      <t>临街道路状况</t>
    </r>
    <phoneticPr fontId="4" type="noConversion"/>
  </si>
  <si>
    <r>
      <rPr>
        <sz val="10"/>
        <color theme="1"/>
        <rFont val="宋体"/>
        <family val="3"/>
        <charset val="134"/>
      </rPr>
      <t>宗地形状及可利用程度</t>
    </r>
    <phoneticPr fontId="4" type="noConversion"/>
  </si>
  <si>
    <r>
      <rPr>
        <sz val="10"/>
        <color theme="9" tint="-0.249977111117893"/>
        <rFont val="宋体"/>
        <family val="3"/>
        <charset val="134"/>
      </rPr>
      <t>宗地形状？，但对宗地利用影响？</t>
    </r>
    <phoneticPr fontId="4" type="noConversion"/>
  </si>
  <si>
    <r>
      <rPr>
        <sz val="10"/>
        <color theme="1"/>
        <rFont val="宋体"/>
        <family val="3"/>
        <charset val="134"/>
      </rPr>
      <t>公共服务设施状况</t>
    </r>
    <phoneticPr fontId="4" type="noConversion"/>
  </si>
  <si>
    <r>
      <rPr>
        <sz val="10"/>
        <color theme="1"/>
        <rFont val="宋体"/>
        <family val="3"/>
        <charset val="134"/>
      </rPr>
      <t>基础设施完备状况</t>
    </r>
    <phoneticPr fontId="4" type="noConversion"/>
  </si>
  <si>
    <r>
      <rPr>
        <sz val="10"/>
        <color theme="1"/>
        <rFont val="宋体"/>
        <family val="3"/>
        <charset val="134"/>
      </rPr>
      <t>自然和人文环境状况</t>
    </r>
    <phoneticPr fontId="4" type="noConversion"/>
  </si>
  <si>
    <r>
      <rPr>
        <b/>
        <sz val="11"/>
        <color rgb="FFFF0000"/>
        <rFont val="宋体"/>
        <family val="3"/>
        <charset val="134"/>
      </rPr>
      <t>办公</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</si>
  <si>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</si>
  <si>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</si>
  <si>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</si>
  <si>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0"/>
        <color theme="1"/>
        <rFont val="宋体"/>
        <family val="3"/>
        <charset val="134"/>
      </rPr>
      <t>办公集聚程度</t>
    </r>
    <phoneticPr fontId="4" type="noConversion"/>
  </si>
  <si>
    <r>
      <rPr>
        <b/>
        <sz val="11"/>
        <color rgb="FFFF0000"/>
        <rFont val="宋体"/>
        <family val="3"/>
        <charset val="134"/>
      </rPr>
      <t>住宅</t>
    </r>
    <phoneticPr fontId="4" type="noConversion"/>
  </si>
  <si>
    <r>
      <rPr>
        <sz val="10"/>
        <color theme="1"/>
        <rFont val="宋体"/>
        <family val="3"/>
        <charset val="134"/>
      </rPr>
      <t>居住社区成熟度</t>
    </r>
    <phoneticPr fontId="4" type="noConversion"/>
  </si>
  <si>
    <r>
      <rPr>
        <sz val="10"/>
        <color theme="1"/>
        <rFont val="宋体"/>
        <family val="3"/>
        <charset val="134"/>
      </rPr>
      <t>临路状况</t>
    </r>
    <phoneticPr fontId="4" type="noConversion"/>
  </si>
  <si>
    <r>
      <rPr>
        <sz val="10"/>
        <color theme="1"/>
        <rFont val="宋体"/>
        <family val="3"/>
        <charset val="134"/>
      </rPr>
      <t>与区域中心的接近程度</t>
    </r>
    <phoneticPr fontId="4" type="noConversion"/>
  </si>
  <si>
    <r>
      <rPr>
        <b/>
        <sz val="11"/>
        <color rgb="FFFF0000"/>
        <rFont val="宋体"/>
        <family val="3"/>
        <charset val="134"/>
      </rPr>
      <t>工业</t>
    </r>
    <phoneticPr fontId="4" type="noConversion"/>
  </si>
  <si>
    <r>
      <rPr>
        <sz val="10"/>
        <color theme="1"/>
        <rFont val="宋体"/>
        <family val="3"/>
        <charset val="134"/>
      </rPr>
      <t>产业集聚程度</t>
    </r>
    <phoneticPr fontId="4" type="noConversion"/>
  </si>
  <si>
    <r>
      <rPr>
        <sz val="10"/>
        <color theme="1"/>
        <rFont val="宋体"/>
        <family val="3"/>
        <charset val="134"/>
      </rPr>
      <t>环境状况</t>
    </r>
    <phoneticPr fontId="4" type="noConversion"/>
  </si>
  <si>
    <r>
      <rPr>
        <b/>
        <sz val="10"/>
        <color theme="1"/>
        <rFont val="宋体"/>
        <family val="3"/>
        <charset val="134"/>
      </rPr>
      <t>北京市基准地价商业用途楼层修正系数表</t>
    </r>
    <phoneticPr fontId="4" type="noConversion"/>
  </si>
  <si>
    <r>
      <rPr>
        <sz val="10"/>
        <color theme="1"/>
        <rFont val="宋体"/>
        <family val="3"/>
        <charset val="134"/>
      </rPr>
      <t>用途</t>
    </r>
    <phoneticPr fontId="4" type="noConversion"/>
  </si>
  <si>
    <r>
      <rPr>
        <sz val="10"/>
        <color theme="1"/>
        <rFont val="宋体"/>
        <family val="3"/>
        <charset val="134"/>
      </rPr>
      <t>所在楼层</t>
    </r>
    <phoneticPr fontId="4" type="noConversion"/>
  </si>
  <si>
    <r>
      <rPr>
        <sz val="10"/>
        <color theme="1"/>
        <rFont val="宋体"/>
        <family val="3"/>
        <charset val="134"/>
      </rPr>
      <t>楼层修正系数</t>
    </r>
    <phoneticPr fontId="4" type="noConversion"/>
  </si>
  <si>
    <r>
      <rPr>
        <sz val="10"/>
        <color theme="1"/>
        <rFont val="宋体"/>
        <family val="3"/>
        <charset val="134"/>
      </rPr>
      <t>商业</t>
    </r>
    <r>
      <rPr>
        <sz val="10"/>
        <color theme="1"/>
        <rFont val="Arial"/>
        <family val="2"/>
      </rPr>
      <t>R</t>
    </r>
    <r>
      <rPr>
        <sz val="10"/>
        <color indexed="8"/>
        <rFont val="宋体"/>
        <family val="3"/>
        <charset val="134"/>
      </rPr>
      <t>≥</t>
    </r>
    <r>
      <rPr>
        <sz val="10"/>
        <color indexed="8"/>
        <rFont val="Arial"/>
        <family val="2"/>
      </rPr>
      <t>1</t>
    </r>
    <phoneticPr fontId="4" type="noConversion"/>
  </si>
  <si>
    <r>
      <rPr>
        <sz val="10"/>
        <color theme="1"/>
        <rFont val="宋体"/>
        <family val="3"/>
        <charset val="134"/>
      </rPr>
      <t>商业</t>
    </r>
    <r>
      <rPr>
        <sz val="10"/>
        <color theme="1"/>
        <rFont val="Arial"/>
        <family val="2"/>
      </rPr>
      <t>R</t>
    </r>
    <r>
      <rPr>
        <sz val="10"/>
        <color indexed="8"/>
        <rFont val="Arial"/>
        <family val="2"/>
      </rPr>
      <t>&lt;1</t>
    </r>
    <phoneticPr fontId="4" type="noConversion"/>
  </si>
  <si>
    <r>
      <rPr>
        <sz val="10"/>
        <color theme="1"/>
        <rFont val="宋体"/>
        <family val="3"/>
        <charset val="134"/>
      </rPr>
      <t>容积率</t>
    </r>
    <phoneticPr fontId="4" type="noConversion"/>
  </si>
  <si>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</si>
  <si>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theme="1"/>
        <rFont val="宋体"/>
        <family val="3"/>
        <charset val="134"/>
      </rPr>
      <t>说明：</t>
    </r>
    <r>
      <rPr>
        <sz val="10"/>
        <color theme="1"/>
        <rFont val="Arial"/>
        <family val="2"/>
      </rPr>
      <t>R</t>
    </r>
    <r>
      <rPr>
        <sz val="10"/>
        <color theme="1"/>
        <rFont val="宋体"/>
        <family val="3"/>
        <charset val="134"/>
      </rPr>
      <t>为宗地地上容积率</t>
    </r>
    <phoneticPr fontId="4" type="noConversion"/>
  </si>
  <si>
    <r>
      <rPr>
        <sz val="10"/>
        <rFont val="宋体"/>
        <family val="3"/>
        <charset val="134"/>
      </rPr>
      <t>宗地容积率</t>
    </r>
    <r>
      <rPr>
        <sz val="10"/>
        <rFont val="Arial"/>
        <family val="2"/>
      </rPr>
      <t>R</t>
    </r>
    <phoneticPr fontId="4" type="noConversion"/>
  </si>
  <si>
    <r>
      <rPr>
        <sz val="10"/>
        <rFont val="宋体"/>
        <family val="3"/>
        <charset val="134"/>
      </rPr>
      <t>修正系数</t>
    </r>
    <phoneticPr fontId="4" type="noConversion"/>
  </si>
  <si>
    <r>
      <rPr>
        <sz val="10"/>
        <rFont val="宋体"/>
        <family val="3"/>
        <charset val="134"/>
      </rPr>
      <t>一级</t>
    </r>
    <phoneticPr fontId="4" type="noConversion"/>
  </si>
  <si>
    <r>
      <rPr>
        <sz val="10"/>
        <rFont val="宋体"/>
        <family val="3"/>
        <charset val="134"/>
      </rPr>
      <t>二级</t>
    </r>
    <phoneticPr fontId="4" type="noConversion"/>
  </si>
  <si>
    <r>
      <rPr>
        <sz val="10"/>
        <rFont val="宋体"/>
        <family val="3"/>
        <charset val="134"/>
      </rPr>
      <t>三级</t>
    </r>
    <phoneticPr fontId="4" type="noConversion"/>
  </si>
  <si>
    <r>
      <rPr>
        <sz val="10"/>
        <rFont val="宋体"/>
        <family val="3"/>
        <charset val="134"/>
      </rPr>
      <t>四级</t>
    </r>
    <phoneticPr fontId="4" type="noConversion"/>
  </si>
  <si>
    <r>
      <rPr>
        <sz val="10"/>
        <rFont val="宋体"/>
        <family val="3"/>
        <charset val="134"/>
      </rPr>
      <t>五级</t>
    </r>
    <phoneticPr fontId="4" type="noConversion"/>
  </si>
  <si>
    <r>
      <rPr>
        <sz val="10"/>
        <rFont val="宋体"/>
        <family val="3"/>
        <charset val="134"/>
      </rPr>
      <t>六级</t>
    </r>
    <phoneticPr fontId="4" type="noConversion"/>
  </si>
  <si>
    <r>
      <rPr>
        <sz val="10"/>
        <rFont val="宋体"/>
        <family val="3"/>
        <charset val="134"/>
      </rPr>
      <t>七级</t>
    </r>
    <phoneticPr fontId="4" type="noConversion"/>
  </si>
  <si>
    <r>
      <rPr>
        <sz val="10"/>
        <rFont val="宋体"/>
        <family val="3"/>
        <charset val="134"/>
      </rPr>
      <t>八级</t>
    </r>
    <phoneticPr fontId="4" type="noConversion"/>
  </si>
  <si>
    <r>
      <rPr>
        <sz val="10"/>
        <rFont val="宋体"/>
        <family val="3"/>
        <charset val="134"/>
      </rPr>
      <t>九级</t>
    </r>
    <phoneticPr fontId="4" type="noConversion"/>
  </si>
  <si>
    <r>
      <rPr>
        <sz val="10"/>
        <rFont val="宋体"/>
        <family val="3"/>
        <charset val="134"/>
      </rPr>
      <t>十级</t>
    </r>
    <phoneticPr fontId="4" type="noConversion"/>
  </si>
  <si>
    <r>
      <rPr>
        <sz val="10"/>
        <rFont val="宋体"/>
        <family val="3"/>
        <charset val="134"/>
      </rPr>
      <t>十一级</t>
    </r>
    <phoneticPr fontId="4" type="noConversion"/>
  </si>
  <si>
    <r>
      <rPr>
        <sz val="10"/>
        <rFont val="宋体"/>
        <family val="3"/>
        <charset val="134"/>
      </rPr>
      <t>十二级</t>
    </r>
    <phoneticPr fontId="4" type="noConversion"/>
  </si>
  <si>
    <r>
      <rPr>
        <sz val="10"/>
        <color rgb="FFFF0000"/>
        <rFont val="宋体"/>
        <family val="3"/>
        <charset val="134"/>
      </rPr>
      <t>★当剩余土地短于建筑物耐用年限时，在建</t>
    </r>
    <r>
      <rPr>
        <sz val="10"/>
        <color rgb="FFFF0000"/>
        <rFont val="Arial"/>
        <family val="2"/>
      </rPr>
      <t>or</t>
    </r>
    <r>
      <rPr>
        <sz val="10"/>
        <color rgb="FFFF0000"/>
        <rFont val="宋体"/>
        <family val="3"/>
        <charset val="134"/>
      </rPr>
      <t>未建项目的收益期计算公式为：剩余土地年限</t>
    </r>
    <r>
      <rPr>
        <sz val="10"/>
        <color rgb="FFFF0000"/>
        <rFont val="Arial"/>
        <family val="2"/>
      </rPr>
      <t>-</t>
    </r>
    <r>
      <rPr>
        <sz val="10"/>
        <color rgb="FFFF0000"/>
        <rFont val="宋体"/>
        <family val="3"/>
        <charset val="134"/>
      </rPr>
      <t>续建工期</t>
    </r>
    <r>
      <rPr>
        <sz val="10"/>
        <color rgb="FFFF0000"/>
        <rFont val="Arial"/>
        <family val="2"/>
      </rPr>
      <t>or</t>
    </r>
    <r>
      <rPr>
        <sz val="10"/>
        <color rgb="FFFF0000"/>
        <rFont val="宋体"/>
        <family val="3"/>
        <charset val="134"/>
      </rPr>
      <t>建设期</t>
    </r>
    <phoneticPr fontId="4" type="noConversion"/>
  </si>
  <si>
    <r>
      <rPr>
        <sz val="10"/>
        <color indexed="8"/>
        <rFont val="宋体"/>
        <family val="3"/>
        <charset val="134"/>
      </rPr>
      <t>租金</t>
    </r>
    <r>
      <rPr>
        <sz val="10"/>
        <color indexed="8"/>
        <rFont val="Arial"/>
        <family val="2"/>
      </rPr>
      <t>×</t>
    </r>
    <r>
      <rPr>
        <sz val="10"/>
        <color indexed="8"/>
        <rFont val="宋体"/>
        <family val="3"/>
        <charset val="134"/>
      </rPr>
      <t>天数</t>
    </r>
    <r>
      <rPr>
        <sz val="10"/>
        <color indexed="8"/>
        <rFont val="Arial"/>
        <family val="2"/>
      </rPr>
      <t>×</t>
    </r>
    <r>
      <rPr>
        <sz val="10"/>
        <color indexed="8"/>
        <rFont val="宋体"/>
        <family val="3"/>
        <charset val="134"/>
      </rPr>
      <t>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</si>
  <si>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r>
      <rPr>
        <sz val="10"/>
        <color indexed="8"/>
        <rFont val="宋体"/>
        <family val="3"/>
        <charset val="134"/>
      </rPr>
      <t>租金×天数×建筑面积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</si>
  <si>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t>2017-3</t>
    <phoneticPr fontId="4" type="noConversion"/>
  </si>
  <si>
    <r>
      <rPr>
        <sz val="10"/>
        <color rgb="FFFF0000"/>
        <rFont val="宋体"/>
        <family val="3"/>
        <charset val="134"/>
      </rPr>
      <t>当前季度，自</t>
    </r>
    <r>
      <rPr>
        <sz val="10"/>
        <color rgb="FFFF0000"/>
        <rFont val="Arial"/>
        <family val="2"/>
      </rPr>
      <t>2018</t>
    </r>
    <r>
      <rPr>
        <sz val="10"/>
        <color rgb="FFFF0000"/>
        <rFont val="宋体"/>
        <family val="3"/>
        <charset val="134"/>
      </rPr>
      <t>年</t>
    </r>
    <r>
      <rPr>
        <sz val="10"/>
        <color rgb="FFFF0000"/>
        <rFont val="Arial"/>
        <family val="2"/>
      </rPr>
      <t>1</t>
    </r>
    <r>
      <rPr>
        <sz val="10"/>
        <color rgb="FFFF0000"/>
        <rFont val="宋体"/>
        <family val="3"/>
        <charset val="134"/>
      </rPr>
      <t>季度起不计预测值</t>
    </r>
    <phoneticPr fontId="146" type="noConversion"/>
  </si>
  <si>
    <t>本行不参与计算</t>
    <phoneticPr fontId="146" type="noConversion"/>
  </si>
  <si>
    <t>2017-4</t>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</si>
  <si>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</si>
  <si>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</si>
  <si>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t>2018-1</t>
    <phoneticPr fontId="4" type="noConversion"/>
  </si>
  <si>
    <t>收益年期(n)</t>
  </si>
  <si>
    <r>
      <rPr>
        <sz val="12"/>
        <rFont val="宋体"/>
        <family val="3"/>
        <charset val="134"/>
      </rPr>
      <t>收益期（按照规范取最低值,</t>
    </r>
    <r>
      <rPr>
        <sz val="12"/>
        <color rgb="FFFF0000"/>
        <rFont val="宋体"/>
        <family val="3"/>
        <charset val="134"/>
      </rPr>
      <t>住宅取高</t>
    </r>
    <r>
      <rPr>
        <sz val="12"/>
        <rFont val="宋体"/>
        <family val="3"/>
        <charset val="134"/>
      </rPr>
      <t>）</t>
    </r>
    <phoneticPr fontId="4" type="noConversion"/>
  </si>
  <si>
    <t>2018-2</t>
    <phoneticPr fontId="4" type="noConversion"/>
  </si>
  <si>
    <t>2018-3</t>
    <phoneticPr fontId="4" type="noConversion"/>
  </si>
  <si>
    <t>苏海</t>
    <phoneticPr fontId="4" type="noConversion"/>
  </si>
  <si>
    <r>
      <rPr>
        <sz val="10"/>
        <rFont val="宋体"/>
        <family val="3"/>
        <charset val="134"/>
      </rPr>
      <t>土地还原率</t>
    </r>
    <phoneticPr fontId="4" type="noConversion"/>
  </si>
  <si>
    <r>
      <rPr>
        <sz val="10"/>
        <rFont val="宋体"/>
        <family val="3"/>
        <charset val="134"/>
      </rPr>
      <t>剩余使用年限</t>
    </r>
    <phoneticPr fontId="4" type="noConversion"/>
  </si>
  <si>
    <t>地下车库及仓储年期修正</t>
    <phoneticPr fontId="4" type="noConversion"/>
  </si>
  <si>
    <t>2018-4</t>
    <phoneticPr fontId="4" type="noConversion"/>
  </si>
  <si>
    <t>级别开发程度</t>
    <phoneticPr fontId="4" type="noConversion"/>
  </si>
  <si>
    <t>xx</t>
    <phoneticPr fontId="7" type="noConversion"/>
  </si>
  <si>
    <t>XX</t>
    <phoneticPr fontId="7" type="noConversion"/>
  </si>
  <si>
    <t>XX</t>
    <phoneticPr fontId="7" type="noConversion"/>
  </si>
  <si>
    <t>2019-2</t>
    <phoneticPr fontId="4" type="noConversion"/>
  </si>
  <si>
    <t>2019-1</t>
    <phoneticPr fontId="4" type="noConversion"/>
  </si>
  <si>
    <t>按公示增长率计算</t>
  </si>
  <si>
    <t>（1）-（3）项合</t>
    <phoneticPr fontId="4" type="noConversion"/>
  </si>
  <si>
    <r>
      <rPr>
        <sz val="10"/>
        <color indexed="8"/>
        <rFont val="宋体"/>
        <family val="3"/>
        <charset val="134"/>
      </rPr>
      <t>年租金收入</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</si>
  <si>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年租金收入</t>
    </r>
    <r>
      <rPr>
        <sz val="10"/>
        <color indexed="8"/>
        <rFont val="Arial"/>
        <family val="2"/>
      </rPr>
      <t>×</t>
    </r>
    <r>
      <rPr>
        <sz val="10"/>
        <color indexed="8"/>
        <rFont val="宋体"/>
        <family val="3"/>
        <charset val="134"/>
      </rPr>
      <t>费率</t>
    </r>
    <r>
      <rPr>
        <sz val="10"/>
        <color indexed="8"/>
        <rFont val="Arial"/>
        <family val="2"/>
      </rPr>
      <t>/(1+5%)</t>
    </r>
    <phoneticPr fontId="4" type="noConversion"/>
  </si>
  <si>
    <t>2019-3</t>
    <phoneticPr fontId="4" type="noConversion"/>
  </si>
  <si>
    <t>2019A-027</t>
    <phoneticPr fontId="4" type="noConversion"/>
  </si>
  <si>
    <t>刘俊财</t>
    <phoneticPr fontId="4" type="noConversion"/>
  </si>
  <si>
    <t>2019-4</t>
    <phoneticPr fontId="4" type="noConversion"/>
  </si>
  <si>
    <r>
      <rPr>
        <sz val="10"/>
        <color theme="1"/>
        <rFont val="宋体"/>
        <family val="3"/>
        <charset val="134"/>
      </rPr>
      <t>看各地政策。市区</t>
    </r>
    <r>
      <rPr>
        <sz val="10"/>
        <color theme="1"/>
        <rFont val="Arial"/>
        <family val="2"/>
      </rPr>
      <t>7%</t>
    </r>
    <r>
      <rPr>
        <sz val="10"/>
        <color theme="1"/>
        <rFont val="宋体"/>
        <family val="3"/>
        <charset val="134"/>
      </rPr>
      <t>，县城和镇</t>
    </r>
    <r>
      <rPr>
        <sz val="10"/>
        <color theme="1"/>
        <rFont val="Arial"/>
        <family val="2"/>
      </rPr>
      <t>5%</t>
    </r>
    <r>
      <rPr>
        <sz val="10"/>
        <color theme="1"/>
        <rFont val="宋体"/>
        <family val="3"/>
        <charset val="134"/>
      </rPr>
      <t>，乡村</t>
    </r>
    <r>
      <rPr>
        <sz val="10"/>
        <color theme="1"/>
        <rFont val="Arial"/>
        <family val="2"/>
      </rPr>
      <t>1%</t>
    </r>
    <r>
      <rPr>
        <sz val="10"/>
        <color theme="1"/>
        <rFont val="宋体"/>
        <family val="3"/>
        <charset val="134"/>
      </rPr>
      <t>。大中型工矿企业所在地不在城市市区、县城、建制镇的，税率为</t>
    </r>
    <r>
      <rPr>
        <sz val="10"/>
        <color theme="1"/>
        <rFont val="Arial"/>
        <family val="2"/>
      </rPr>
      <t>1%</t>
    </r>
    <r>
      <rPr>
        <sz val="10"/>
        <color theme="1"/>
        <rFont val="宋体"/>
        <family val="3"/>
        <charset val="134"/>
      </rPr>
      <t>。</t>
    </r>
    <phoneticPr fontId="4" type="noConversion"/>
  </si>
  <si>
    <t>2020-1</t>
    <phoneticPr fontId="4" type="noConversion"/>
  </si>
  <si>
    <t>土地征用及拆迁补偿费</t>
    <phoneticPr fontId="8" type="noConversion"/>
  </si>
  <si>
    <t>土地征用及拆迁补偿费</t>
    <phoneticPr fontId="91" type="noConversion"/>
  </si>
  <si>
    <t>2020-2</t>
    <phoneticPr fontId="4" type="noConversion"/>
  </si>
  <si>
    <r>
      <t>1</t>
    </r>
    <r>
      <rPr>
        <sz val="12"/>
        <color indexed="8"/>
        <rFont val="Arial"/>
        <family val="2"/>
      </rPr>
      <t>.</t>
    </r>
    <r>
      <rPr>
        <sz val="12"/>
        <color indexed="8"/>
        <rFont val="宋体"/>
        <family val="3"/>
        <charset val="134"/>
      </rPr>
      <t>本《评估意见函》中所列估价结果为初评结果，准确金额以本公司出具的正式《不动产估价报告书》为准。</t>
    </r>
    <phoneticPr fontId="86" type="noConversion"/>
  </si>
  <si>
    <r>
      <t>6.</t>
    </r>
    <r>
      <rPr>
        <sz val="12"/>
        <color indexed="53"/>
        <rFont val="宋体"/>
        <family val="3"/>
        <charset val="134"/>
      </rPr>
      <t>其他需特殊说明事项：</t>
    </r>
    <r>
      <rPr>
        <i/>
        <sz val="12"/>
        <color theme="3" tint="0.39997558519241921"/>
        <rFont val="宋体"/>
        <family val="3"/>
        <charset val="134"/>
      </rPr>
      <t>（没有时删除此项；注意修改序号）</t>
    </r>
    <phoneticPr fontId="84" type="noConversion"/>
  </si>
  <si>
    <t>个人住宅</t>
  </si>
  <si>
    <t>个人其他（无凭证）</t>
  </si>
  <si>
    <t>普宅标准：</t>
    <phoneticPr fontId="8" type="noConversion"/>
  </si>
  <si>
    <r>
      <t>1.</t>
    </r>
    <r>
      <rPr>
        <sz val="10"/>
        <color indexed="8"/>
        <rFont val="宋体"/>
        <family val="3"/>
        <charset val="134"/>
      </rPr>
      <t>小区容积率</t>
    </r>
    <r>
      <rPr>
        <sz val="10"/>
        <color indexed="8"/>
        <rFont val="Arial"/>
        <family val="2"/>
      </rPr>
      <t>1.0</t>
    </r>
    <r>
      <rPr>
        <sz val="10"/>
        <color indexed="8"/>
        <rFont val="宋体"/>
        <family val="3"/>
        <charset val="134"/>
      </rPr>
      <t>（含）以上</t>
    </r>
    <phoneticPr fontId="8" type="noConversion"/>
  </si>
  <si>
    <r>
      <t>2.</t>
    </r>
    <r>
      <rPr>
        <sz val="10"/>
        <color indexed="8"/>
        <rFont val="宋体"/>
        <family val="3"/>
        <charset val="134"/>
      </rPr>
      <t>单套建筑面积</t>
    </r>
    <r>
      <rPr>
        <sz val="10"/>
        <color indexed="8"/>
        <rFont val="Arial"/>
        <family val="2"/>
      </rPr>
      <t>140M</t>
    </r>
    <r>
      <rPr>
        <vertAlign val="superscript"/>
        <sz val="10"/>
        <color indexed="8"/>
        <rFont val="Arial"/>
        <family val="2"/>
      </rPr>
      <t>2</t>
    </r>
    <r>
      <rPr>
        <sz val="10"/>
        <color indexed="8"/>
        <rFont val="Arial"/>
        <family val="2"/>
      </rPr>
      <t>(</t>
    </r>
    <r>
      <rPr>
        <sz val="10"/>
        <color indexed="8"/>
        <rFont val="宋体"/>
        <family val="3"/>
        <charset val="134"/>
      </rPr>
      <t>含</t>
    </r>
    <r>
      <rPr>
        <sz val="10"/>
        <color indexed="8"/>
        <rFont val="Arial"/>
        <family val="2"/>
      </rPr>
      <t>)</t>
    </r>
    <r>
      <rPr>
        <sz val="10"/>
        <color indexed="8"/>
        <rFont val="宋体"/>
        <family val="3"/>
        <charset val="134"/>
      </rPr>
      <t>以下</t>
    </r>
    <phoneticPr fontId="8" type="noConversion"/>
  </si>
  <si>
    <t>简单平均</t>
  </si>
  <si>
    <t>售价</t>
  </si>
  <si>
    <t>估价对象基本情况</t>
  </si>
  <si>
    <t>估价对象</t>
  </si>
  <si>
    <t>价值时点</t>
  </si>
  <si>
    <t>评估总值</t>
    <phoneticPr fontId="8" type="noConversion"/>
  </si>
  <si>
    <t>处置时需缴纳的相关税费</t>
  </si>
  <si>
    <t>序号</t>
  </si>
  <si>
    <t>税（费）种</t>
  </si>
  <si>
    <t>金额（元）</t>
  </si>
  <si>
    <t>计算方法</t>
  </si>
  <si>
    <t>税（费）率</t>
  </si>
  <si>
    <t>增值税及附加</t>
    <phoneticPr fontId="8" type="noConversion"/>
  </si>
  <si>
    <t>印花税</t>
    <phoneticPr fontId="8" type="noConversion"/>
  </si>
  <si>
    <t>土地增值税</t>
    <phoneticPr fontId="8" type="noConversion"/>
  </si>
  <si>
    <t>合计</t>
    <phoneticPr fontId="8" type="noConversion"/>
  </si>
  <si>
    <t>小写</t>
  </si>
  <si>
    <t>大写</t>
  </si>
  <si>
    <t>抵押净值</t>
    <phoneticPr fontId="8" type="noConversion"/>
  </si>
  <si>
    <t>抵押净值单价</t>
    <phoneticPr fontId="8" type="noConversion"/>
  </si>
  <si>
    <t>其他处置费用</t>
  </si>
  <si>
    <t>律师费</t>
  </si>
  <si>
    <t>诉讼费</t>
  </si>
  <si>
    <t>最低50元</t>
    <phoneticPr fontId="4" type="noConversion"/>
  </si>
  <si>
    <t>执行费</t>
  </si>
  <si>
    <t>诉讼保全费</t>
  </si>
  <si>
    <t>最高5000元</t>
    <phoneticPr fontId="4" type="noConversion"/>
  </si>
  <si>
    <t>评估费</t>
  </si>
  <si>
    <t>拍卖费</t>
  </si>
  <si>
    <r>
      <rPr>
        <sz val="10"/>
        <color theme="1"/>
        <rFont val="宋体"/>
        <family val="3"/>
        <charset val="134"/>
      </rPr>
      <t>测算结果（典型户型）</t>
    </r>
    <phoneticPr fontId="91"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</si>
  <si>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</si>
  <si>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评估价值（典型户型）</t>
    </r>
    <phoneticPr fontId="91" type="noConversion"/>
  </si>
  <si>
    <r>
      <rPr>
        <sz val="10"/>
        <color theme="1"/>
        <rFont val="宋体"/>
        <family val="3"/>
        <charset val="134"/>
      </rPr>
      <t>评估总值</t>
    </r>
    <phoneticPr fontId="91" type="noConversion"/>
  </si>
  <si>
    <r>
      <rPr>
        <b/>
        <sz val="11"/>
        <color indexed="8"/>
        <rFont val="宋体"/>
        <family val="3"/>
        <charset val="134"/>
      </rPr>
      <t>结果表</t>
    </r>
    <r>
      <rPr>
        <b/>
        <sz val="11"/>
        <color indexed="8"/>
        <rFont val="Arial"/>
        <family val="2"/>
      </rPr>
      <t>-2</t>
    </r>
    <r>
      <rPr>
        <b/>
        <i/>
        <sz val="11"/>
        <color theme="3" tint="0.39997558519241921"/>
        <rFont val="宋体"/>
        <family val="3"/>
        <charset val="134"/>
      </rPr>
      <t>抵押专用</t>
    </r>
    <phoneticPr fontId="8" type="noConversion"/>
  </si>
  <si>
    <r>
      <rPr>
        <b/>
        <sz val="10"/>
        <color indexed="8"/>
        <rFont val="宋体"/>
        <family val="3"/>
        <charset val="134"/>
      </rPr>
      <t>抵押物名称</t>
    </r>
    <phoneticPr fontId="8" type="noConversion"/>
  </si>
  <si>
    <r>
      <rPr>
        <b/>
        <sz val="10"/>
        <color indexed="8"/>
        <rFont val="宋体"/>
        <family val="3"/>
        <charset val="134"/>
      </rPr>
      <t>建筑面积（平方米）</t>
    </r>
    <phoneticPr fontId="8" type="noConversion"/>
  </si>
  <si>
    <r>
      <t>1.</t>
    </r>
    <r>
      <rPr>
        <b/>
        <sz val="10"/>
        <color indexed="8"/>
        <rFont val="宋体"/>
        <family val="3"/>
        <charset val="134"/>
      </rPr>
      <t>房地产价值</t>
    </r>
    <phoneticPr fontId="8"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</si>
  <si>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</si>
  <si>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t>2.</t>
    </r>
    <r>
      <rPr>
        <b/>
        <sz val="10"/>
        <color indexed="8"/>
        <rFont val="宋体"/>
        <family val="3"/>
        <charset val="134"/>
      </rPr>
      <t>估价师所知悉的法定优先受偿款</t>
    </r>
  </si>
  <si>
    <r>
      <rPr>
        <sz val="10"/>
        <color indexed="8"/>
        <rFont val="宋体"/>
        <family val="3"/>
        <charset val="134"/>
      </rPr>
      <t>（</t>
    </r>
    <r>
      <rPr>
        <sz val="10"/>
        <color indexed="8"/>
        <rFont val="Arial"/>
        <family val="2"/>
      </rPr>
      <t>1</t>
    </r>
    <r>
      <rPr>
        <sz val="10"/>
        <color indexed="8"/>
        <rFont val="宋体"/>
        <family val="3"/>
        <charset val="134"/>
      </rPr>
      <t>）已抵押担保的债权数额</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</si>
  <si>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</si>
  <si>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</si>
  <si>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</si>
  <si>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t>1</t>
    </r>
    <r>
      <rPr>
        <b/>
        <sz val="10"/>
        <color indexed="8"/>
        <rFont val="宋体"/>
        <family val="3"/>
        <charset val="134"/>
      </rPr>
      <t>房地产价值</t>
    </r>
    <phoneticPr fontId="79"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</si>
  <si>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</si>
  <si>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indexed="8"/>
        <rFont val="宋体"/>
        <family val="3"/>
        <charset val="134"/>
      </rPr>
      <t>（</t>
    </r>
    <r>
      <rPr>
        <sz val="10"/>
        <color indexed="8"/>
        <rFont val="Arial"/>
        <family val="2"/>
      </rPr>
      <t>1</t>
    </r>
    <r>
      <rPr>
        <sz val="10"/>
        <color indexed="8"/>
        <rFont val="宋体"/>
        <family val="3"/>
        <charset val="134"/>
      </rPr>
      <t>）已抵押担保的债权数额</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</si>
  <si>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</si>
  <si>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</si>
  <si>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indexed="8"/>
        <rFont val="宋体"/>
        <family val="3"/>
        <charset val="134"/>
      </rPr>
      <t>抵押物名称</t>
    </r>
  </si>
  <si>
    <r>
      <rPr>
        <sz val="10"/>
        <color indexed="8"/>
        <rFont val="宋体"/>
        <family val="3"/>
        <charset val="134"/>
      </rPr>
      <t>建筑面积</t>
    </r>
    <phoneticPr fontId="8" type="noConversion"/>
  </si>
  <si>
    <r>
      <rPr>
        <sz val="10"/>
        <color indexed="8"/>
        <rFont val="宋体"/>
        <family val="3"/>
        <charset val="134"/>
      </rPr>
      <t>出让国有建设用地使用权价值</t>
    </r>
  </si>
  <si>
    <r>
      <rPr>
        <sz val="10"/>
        <color indexed="8"/>
        <rFont val="宋体"/>
        <family val="3"/>
        <charset val="134"/>
      </rPr>
      <t>房地产价值</t>
    </r>
  </si>
  <si>
    <r>
      <rPr>
        <sz val="10"/>
        <color indexed="8"/>
        <rFont val="宋体"/>
        <family val="3"/>
        <charset val="134"/>
      </rPr>
      <t>总</t>
    </r>
    <r>
      <rPr>
        <sz val="10"/>
        <color indexed="8"/>
        <rFont val="Arial"/>
        <family val="2"/>
      </rPr>
      <t xml:space="preserve"> </t>
    </r>
    <r>
      <rPr>
        <sz val="10"/>
        <color indexed="8"/>
        <rFont val="宋体"/>
        <family val="3"/>
        <charset val="134"/>
      </rPr>
      <t>价</t>
    </r>
  </si>
  <si>
    <r>
      <rPr>
        <sz val="10"/>
        <color indexed="8"/>
        <rFont val="宋体"/>
        <family val="3"/>
        <charset val="134"/>
      </rPr>
      <t>楼面单价</t>
    </r>
  </si>
  <si>
    <r>
      <rPr>
        <sz val="10"/>
        <color indexed="8"/>
        <rFont val="宋体"/>
        <family val="3"/>
        <charset val="134"/>
      </rPr>
      <t>大写金额</t>
    </r>
  </si>
  <si>
    <r>
      <t>(</t>
    </r>
    <r>
      <rPr>
        <sz val="10"/>
        <color indexed="8"/>
        <rFont val="宋体"/>
        <family val="3"/>
        <charset val="134"/>
      </rPr>
      <t>分摊</t>
    </r>
    <r>
      <rPr>
        <sz val="10"/>
        <color indexed="8"/>
        <rFont val="Arial"/>
        <family val="2"/>
      </rPr>
      <t>)</t>
    </r>
    <r>
      <rPr>
        <sz val="10"/>
        <color indexed="8"/>
        <rFont val="宋体"/>
        <family val="3"/>
        <charset val="134"/>
      </rPr>
      <t>土地面积</t>
    </r>
    <phoneticPr fontId="8" type="noConversion"/>
  </si>
  <si>
    <r>
      <rPr>
        <sz val="10"/>
        <color indexed="8"/>
        <rFont val="宋体"/>
        <family val="3"/>
        <charset val="134"/>
      </rPr>
      <t>建筑物价值</t>
    </r>
    <phoneticPr fontId="8" type="noConversion"/>
  </si>
  <si>
    <r>
      <rPr>
        <sz val="10"/>
        <color indexed="8"/>
        <rFont val="宋体"/>
        <family val="3"/>
        <charset val="134"/>
      </rPr>
      <t>楼面单价</t>
    </r>
    <phoneticPr fontId="8" type="noConversion"/>
  </si>
  <si>
    <r>
      <rPr>
        <sz val="10"/>
        <color indexed="8"/>
        <rFont val="宋体"/>
        <family val="3"/>
        <charset val="134"/>
      </rPr>
      <t>建筑面积</t>
    </r>
    <phoneticPr fontId="8" type="noConversion"/>
  </si>
  <si>
    <r>
      <t>(</t>
    </r>
    <r>
      <rPr>
        <sz val="10"/>
        <color indexed="8"/>
        <rFont val="宋体"/>
        <family val="3"/>
        <charset val="134"/>
      </rPr>
      <t>分摊</t>
    </r>
    <r>
      <rPr>
        <sz val="10"/>
        <color indexed="8"/>
        <rFont val="Arial"/>
        <family val="2"/>
      </rPr>
      <t>)</t>
    </r>
    <r>
      <rPr>
        <sz val="10"/>
        <color indexed="8"/>
        <rFont val="宋体"/>
        <family val="3"/>
        <charset val="134"/>
      </rPr>
      <t>土地面积</t>
    </r>
    <phoneticPr fontId="8" type="noConversion"/>
  </si>
  <si>
    <r>
      <rPr>
        <sz val="10"/>
        <color indexed="8"/>
        <rFont val="宋体"/>
        <family val="3"/>
        <charset val="134"/>
      </rPr>
      <t>建筑物价值</t>
    </r>
    <phoneticPr fontId="8" type="noConversion"/>
  </si>
  <si>
    <r>
      <t>1.</t>
    </r>
    <r>
      <rPr>
        <b/>
        <sz val="10"/>
        <color indexed="8"/>
        <rFont val="宋体"/>
        <family val="3"/>
        <charset val="134"/>
      </rPr>
      <t>房地产价值</t>
    </r>
    <phoneticPr fontId="79"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</si>
  <si>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</si>
  <si>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</si>
  <si>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t>1.</t>
    </r>
    <r>
      <rPr>
        <b/>
        <sz val="10"/>
        <color indexed="8"/>
        <rFont val="宋体"/>
        <family val="3"/>
        <charset val="134"/>
      </rPr>
      <t>房地产价值</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</si>
  <si>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</si>
  <si>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</si>
  <si>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测算结果</t>
    </r>
  </si>
  <si>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</si>
  <si>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评估价值</t>
    </r>
  </si>
  <si>
    <t>属于免缴时请录入免缴类别</t>
    <phoneticPr fontId="8" type="noConversion"/>
  </si>
  <si>
    <t xml:space="preserve"> </t>
    <phoneticPr fontId="4" type="noConversion"/>
  </si>
  <si>
    <t>★净值计算中税收公式按照北京市现行政策设置，如为外省项目需核实当地税收政策★</t>
    <phoneticPr fontId="8" type="noConversion"/>
  </si>
  <si>
    <t>★此处仍为计算过程，权重结果非最终结果，总价和单价分别为各自权重值，无直接关联★</t>
    <phoneticPr fontId="8" type="noConversion"/>
  </si>
  <si>
    <t>★取得土地使用权所支付的金额，是指纳税人为取得土地使用权所支付的地价款和按国家统一规定交纳的有关费用★</t>
    <phoneticPr fontId="8" type="noConversion"/>
  </si>
  <si>
    <t>★土地征用及拆迁补偿费，包括土地征用费、耕地占用税、劳动力安置费及有关地上、地下附着物拆迁补偿的净支出、安置动迁用房支出等★</t>
    <phoneticPr fontId="8" type="noConversion"/>
  </si>
  <si>
    <r>
      <rPr>
        <sz val="11"/>
        <color rgb="FFFF0000"/>
        <rFont val="宋体"/>
        <family val="3"/>
        <charset val="134"/>
      </rPr>
      <t>★根据项目情况选择计算系数，待开发土地建议取值</t>
    </r>
    <r>
      <rPr>
        <sz val="11"/>
        <color rgb="FFFF0000"/>
        <rFont val="Arial"/>
        <family val="2"/>
      </rPr>
      <t>0</t>
    </r>
    <r>
      <rPr>
        <sz val="11"/>
        <color rgb="FFFF0000"/>
        <rFont val="宋体"/>
        <family val="3"/>
        <charset val="134"/>
      </rPr>
      <t>，在建及已建项目取</t>
    </r>
    <r>
      <rPr>
        <sz val="11"/>
        <color rgb="FFFF0000"/>
        <rFont val="Arial"/>
        <family val="2"/>
      </rPr>
      <t>10%</t>
    </r>
    <r>
      <rPr>
        <sz val="11"/>
        <color rgb="FFFF0000"/>
        <rFont val="宋体"/>
        <family val="3"/>
        <charset val="134"/>
      </rPr>
      <t>★</t>
    </r>
    <phoneticPr fontId="8" type="noConversion"/>
  </si>
  <si>
    <t>★合计部分请自行录入公式，很重要，与C32结果相关★</t>
    <phoneticPr fontId="8" type="noConversion"/>
  </si>
  <si>
    <t>★此线以下显示的为最终结果★</t>
    <phoneticPr fontId="8" type="noConversion"/>
  </si>
  <si>
    <t>北京普宅标准：</t>
    <phoneticPr fontId="8" type="noConversion"/>
  </si>
  <si>
    <t>非个人房产</t>
  </si>
  <si>
    <t>北京标准</t>
    <phoneticPr fontId="8" type="noConversion"/>
  </si>
  <si>
    <t>北京标准</t>
    <phoneticPr fontId="91" type="noConversion"/>
  </si>
  <si>
    <t>★此线以上为必填项（致函链接）★</t>
    <phoneticPr fontId="7" type="noConversion"/>
  </si>
  <si>
    <r>
      <t>面积</t>
    </r>
    <r>
      <rPr>
        <sz val="8"/>
        <color rgb="FFFF0000"/>
        <rFont val="宋体"/>
        <family val="3"/>
        <charset val="134"/>
      </rPr>
      <t>（★估价对象为多套时，此处录入估价对象的全部面积★）</t>
    </r>
    <phoneticPr fontId="7" type="noConversion"/>
  </si>
  <si>
    <r>
      <rPr>
        <sz val="10"/>
        <color indexed="8"/>
        <rFont val="宋体"/>
        <family val="3"/>
        <charset val="134"/>
      </rPr>
      <t>设定用途</t>
    </r>
    <phoneticPr fontId="7" type="noConversion"/>
  </si>
  <si>
    <t>刘俊财</t>
    <phoneticPr fontId="81" type="noConversion"/>
  </si>
  <si>
    <t>备案等级：一级</t>
    <phoneticPr fontId="4" type="noConversion"/>
  </si>
  <si>
    <t>建房估备字[2013第]081号</t>
    <phoneticPr fontId="4" type="noConversion"/>
  </si>
  <si>
    <t>延期至2020年底</t>
    <phoneticPr fontId="81" type="noConversion"/>
  </si>
  <si>
    <t>赵雯</t>
    <phoneticPr fontId="81"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</si>
  <si>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以外的自建房</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</si>
  <si>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3</t>
    </r>
    <r>
      <rPr>
        <sz val="10"/>
        <color indexed="8"/>
        <rFont val="宋体"/>
        <family val="3"/>
        <charset val="134"/>
      </rPr>
      <t>以外的非自建房</t>
    </r>
    <phoneticPr fontId="8" type="noConversion"/>
  </si>
  <si>
    <r>
      <rPr>
        <sz val="11"/>
        <color indexed="8"/>
        <rFont val="宋体"/>
        <family val="3"/>
        <charset val="134"/>
      </rPr>
      <t>报酬率</t>
    </r>
    <r>
      <rPr>
        <sz val="11"/>
        <color indexed="8"/>
        <rFont val="Arial"/>
        <family val="2"/>
      </rPr>
      <t>-</t>
    </r>
    <r>
      <rPr>
        <sz val="11"/>
        <color indexed="8"/>
        <rFont val="宋体"/>
        <family val="3"/>
        <charset val="134"/>
      </rPr>
      <t>建筑物</t>
    </r>
    <phoneticPr fontId="4" type="noConversion"/>
  </si>
  <si>
    <t>备注/参考值</t>
    <phoneticPr fontId="4" type="noConversion"/>
  </si>
  <si>
    <r>
      <rPr>
        <sz val="10"/>
        <color indexed="8"/>
        <rFont val="宋体"/>
        <family val="3"/>
        <charset val="134"/>
      </rPr>
      <t>参考值</t>
    </r>
    <r>
      <rPr>
        <sz val="10"/>
        <color indexed="8"/>
        <rFont val="Arial"/>
        <family val="2"/>
      </rPr>
      <t>4%-5%</t>
    </r>
    <phoneticPr fontId="4" type="noConversion"/>
  </si>
  <si>
    <r>
      <rPr>
        <sz val="10"/>
        <color indexed="8"/>
        <rFont val="宋体"/>
        <family val="3"/>
        <charset val="134"/>
      </rPr>
      <t>参考值</t>
    </r>
    <r>
      <rPr>
        <sz val="10"/>
        <color indexed="8"/>
        <rFont val="Arial"/>
        <family val="2"/>
      </rPr>
      <t>5%-6%</t>
    </r>
    <phoneticPr fontId="4" type="noConversion"/>
  </si>
  <si>
    <r>
      <rPr>
        <sz val="10"/>
        <color indexed="8"/>
        <rFont val="宋体"/>
        <family val="3"/>
        <charset val="134"/>
      </rPr>
      <t>参考值</t>
    </r>
    <r>
      <rPr>
        <sz val="10"/>
        <color indexed="8"/>
        <rFont val="Arial"/>
        <family val="2"/>
      </rPr>
      <t>7%-8%</t>
    </r>
    <phoneticPr fontId="4" type="noConversion"/>
  </si>
  <si>
    <r>
      <rPr>
        <sz val="10"/>
        <color indexed="8"/>
        <rFont val="宋体"/>
        <family val="3"/>
        <charset val="134"/>
      </rPr>
      <t>取值范围</t>
    </r>
    <r>
      <rPr>
        <sz val="10"/>
        <color indexed="8"/>
        <rFont val="Arial"/>
        <family val="2"/>
      </rPr>
      <t>0.15%-0.3%</t>
    </r>
    <phoneticPr fontId="4" type="noConversion"/>
  </si>
  <si>
    <r>
      <rPr>
        <sz val="10"/>
        <color indexed="8"/>
        <rFont val="宋体"/>
        <family val="3"/>
        <charset val="134"/>
      </rPr>
      <t>取值范围</t>
    </r>
    <r>
      <rPr>
        <sz val="10"/>
        <color indexed="8"/>
        <rFont val="Arial"/>
        <family val="2"/>
      </rPr>
      <t>1-3%</t>
    </r>
    <phoneticPr fontId="4" type="noConversion"/>
  </si>
  <si>
    <r>
      <rPr>
        <sz val="10"/>
        <color indexed="8"/>
        <rFont val="宋体"/>
        <family val="3"/>
        <charset val="134"/>
      </rPr>
      <t>取值范围</t>
    </r>
    <r>
      <rPr>
        <sz val="10"/>
        <color indexed="8"/>
        <rFont val="Arial"/>
        <family val="2"/>
      </rPr>
      <t>1.5%-2.5%</t>
    </r>
    <phoneticPr fontId="4" type="noConversion"/>
  </si>
  <si>
    <r>
      <rPr>
        <sz val="10"/>
        <color theme="1"/>
        <rFont val="宋体"/>
        <family val="3"/>
        <charset val="134"/>
      </rPr>
      <t>取值范围</t>
    </r>
    <r>
      <rPr>
        <sz val="10"/>
        <color theme="1"/>
        <rFont val="Arial"/>
        <family val="2"/>
      </rPr>
      <t>0-10%</t>
    </r>
    <phoneticPr fontId="4" type="noConversion"/>
  </si>
  <si>
    <r>
      <rPr>
        <sz val="10"/>
        <color theme="1"/>
        <rFont val="宋体"/>
        <family val="3"/>
        <charset val="134"/>
      </rPr>
      <t>取值范围</t>
    </r>
    <r>
      <rPr>
        <sz val="10"/>
        <color theme="1"/>
        <rFont val="Arial"/>
        <family val="2"/>
      </rPr>
      <t>1%-3%</t>
    </r>
    <phoneticPr fontId="4" type="noConversion"/>
  </si>
  <si>
    <r>
      <rPr>
        <sz val="10"/>
        <color theme="1"/>
        <rFont val="宋体"/>
        <family val="3"/>
        <charset val="134"/>
      </rPr>
      <t>取值范围</t>
    </r>
    <r>
      <rPr>
        <sz val="10"/>
        <color theme="1"/>
        <rFont val="Arial"/>
        <family val="2"/>
      </rPr>
      <t>3%-5%</t>
    </r>
    <phoneticPr fontId="4" type="noConversion"/>
  </si>
  <si>
    <r>
      <rPr>
        <sz val="10"/>
        <color theme="1"/>
        <rFont val="宋体"/>
        <family val="3"/>
        <charset val="134"/>
      </rPr>
      <t>取值范围</t>
    </r>
    <r>
      <rPr>
        <sz val="10"/>
        <color theme="1"/>
        <rFont val="Arial"/>
        <family val="2"/>
      </rPr>
      <t>1.5%</t>
    </r>
    <phoneticPr fontId="4" type="noConversion"/>
  </si>
  <si>
    <r>
      <rPr>
        <b/>
        <sz val="10"/>
        <color indexed="8"/>
        <rFont val="宋体"/>
        <family val="3"/>
        <charset val="134"/>
      </rPr>
      <t>住宅、办公及商业</t>
    </r>
    <phoneticPr fontId="23" type="noConversion"/>
  </si>
  <si>
    <r>
      <rPr>
        <b/>
        <sz val="10"/>
        <color indexed="8"/>
        <rFont val="宋体"/>
        <family val="3"/>
        <charset val="134"/>
      </rPr>
      <t>工业</t>
    </r>
    <phoneticPr fontId="23" type="noConversion"/>
  </si>
  <si>
    <r>
      <rPr>
        <b/>
        <sz val="10"/>
        <color indexed="8"/>
        <rFont val="宋体"/>
        <family val="3"/>
        <charset val="134"/>
      </rPr>
      <t>区位状况</t>
    </r>
    <phoneticPr fontId="20" type="noConversion"/>
  </si>
  <si>
    <r>
      <rPr>
        <sz val="10"/>
        <color indexed="8"/>
        <rFont val="宋体"/>
        <family val="3"/>
        <charset val="134"/>
      </rPr>
      <t>居住社区成熟度</t>
    </r>
  </si>
  <si>
    <r>
      <rPr>
        <sz val="10"/>
        <color theme="9" tint="-0.249977111117893"/>
        <rFont val="宋体"/>
        <family val="3"/>
        <charset val="134"/>
      </rPr>
      <t>估价对象周边居住用地比例、居住小区规模和社区发展完善程度，综合评价居住社区成熟度一般</t>
    </r>
    <phoneticPr fontId="35" type="noConversion"/>
  </si>
  <si>
    <r>
      <rPr>
        <sz val="10"/>
        <color indexed="8"/>
        <rFont val="宋体"/>
        <family val="3"/>
        <charset val="134"/>
      </rPr>
      <t>产业集聚程度</t>
    </r>
  </si>
  <si>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开发区，园区建设成熟度</t>
    </r>
    <r>
      <rPr>
        <sz val="10"/>
        <color theme="9" tint="-0.249977111117893"/>
        <rFont val="Arial"/>
        <family val="2"/>
      </rPr>
      <t>XX</t>
    </r>
    <r>
      <rPr>
        <sz val="10"/>
        <color theme="9" tint="-0.249977111117893"/>
        <rFont val="宋体"/>
        <family val="3"/>
        <charset val="134"/>
      </rPr>
      <t>，产业集聚程度</t>
    </r>
    <r>
      <rPr>
        <sz val="10"/>
        <color theme="9" tint="-0.249977111117893"/>
        <rFont val="Arial"/>
        <family val="2"/>
      </rPr>
      <t>XX</t>
    </r>
    <phoneticPr fontId="4" type="noConversion"/>
  </si>
  <si>
    <r>
      <rPr>
        <sz val="10"/>
        <color indexed="8"/>
        <rFont val="宋体"/>
        <family val="3"/>
        <charset val="134"/>
      </rPr>
      <t>商业繁华度</t>
    </r>
    <phoneticPr fontId="24" type="noConversion"/>
  </si>
  <si>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商圈，周边商业氛围成熟，人流量大，商业繁华度好</t>
    </r>
    <phoneticPr fontId="20" type="noConversion"/>
  </si>
  <si>
    <r>
      <rPr>
        <sz val="10"/>
        <color indexed="8"/>
        <rFont val="宋体"/>
        <family val="3"/>
        <charset val="134"/>
      </rPr>
      <t>交通便捷度</t>
    </r>
    <phoneticPr fontId="24" type="noConversion"/>
  </si>
  <si>
    <r>
      <rPr>
        <sz val="10"/>
        <color theme="9" tint="-0.249977111117893"/>
        <rFont val="宋体"/>
        <family val="3"/>
        <charset val="134"/>
      </rPr>
      <t>估价对象周边道路状况、公共交通通达情况、停车便捷程度，综合评价交通便捷度较好</t>
    </r>
    <phoneticPr fontId="35" type="noConversion"/>
  </si>
  <si>
    <r>
      <rPr>
        <sz val="10"/>
        <color indexed="8"/>
        <rFont val="宋体"/>
        <family val="3"/>
        <charset val="134"/>
      </rPr>
      <t>办公集聚程度</t>
    </r>
    <phoneticPr fontId="24" type="noConversion"/>
  </si>
  <si>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商圈，周边办公楼项目较多，入驻率高，办公集聚程度较好</t>
    </r>
    <phoneticPr fontId="20" type="noConversion"/>
  </si>
  <si>
    <r>
      <rPr>
        <sz val="10"/>
        <color indexed="8"/>
        <rFont val="宋体"/>
        <family val="3"/>
        <charset val="134"/>
      </rPr>
      <t>公共配套设施</t>
    </r>
    <phoneticPr fontId="20" type="noConversion"/>
  </si>
  <si>
    <r>
      <rPr>
        <sz val="10"/>
        <color theme="9" tint="-0.249977111117893"/>
        <rFont val="宋体"/>
        <family val="3"/>
        <charset val="134"/>
      </rPr>
      <t>估价对象所在区域公共配套设施齐备情况</t>
    </r>
    <phoneticPr fontId="35" type="noConversion"/>
  </si>
  <si>
    <r>
      <rPr>
        <sz val="10"/>
        <color indexed="8"/>
        <rFont val="宋体"/>
        <family val="3"/>
        <charset val="134"/>
      </rPr>
      <t>交通便捷度</t>
    </r>
  </si>
  <si>
    <r>
      <rPr>
        <sz val="10"/>
        <color indexed="8"/>
        <rFont val="宋体"/>
        <family val="3"/>
        <charset val="134"/>
      </rPr>
      <t>基础设施水平</t>
    </r>
    <phoneticPr fontId="20" type="noConversion"/>
  </si>
  <si>
    <r>
      <rPr>
        <sz val="10"/>
        <color theme="9" tint="-0.249977111117893"/>
        <rFont val="宋体"/>
        <family val="3"/>
        <charset val="134"/>
      </rPr>
      <t>估价对象所在区域基础设施水平</t>
    </r>
    <phoneticPr fontId="20" type="noConversion"/>
  </si>
  <si>
    <r>
      <rPr>
        <sz val="10"/>
        <color indexed="8"/>
        <rFont val="宋体"/>
        <family val="3"/>
        <charset val="134"/>
      </rPr>
      <t>环境状况</t>
    </r>
    <phoneticPr fontId="24" type="noConversion"/>
  </si>
  <si>
    <r>
      <rPr>
        <sz val="10"/>
        <color theme="9" tint="-0.249977111117893"/>
        <rFont val="宋体"/>
        <family val="3"/>
        <charset val="134"/>
      </rPr>
      <t>该园区内是否有污染型企业，绿化情况，卫生条件，整体环境状况判断</t>
    </r>
    <phoneticPr fontId="4" type="noConversion"/>
  </si>
  <si>
    <r>
      <rPr>
        <sz val="10"/>
        <color indexed="8"/>
        <rFont val="宋体"/>
        <family val="3"/>
        <charset val="134"/>
      </rPr>
      <t>自然及人文环境</t>
    </r>
  </si>
  <si>
    <r>
      <rPr>
        <sz val="10"/>
        <color theme="9" tint="-0.249977111117893"/>
        <rFont val="宋体"/>
        <family val="3"/>
        <charset val="134"/>
      </rPr>
      <t>区域自然环境：；人文环境；综合评价环境状况一般</t>
    </r>
    <phoneticPr fontId="35" type="noConversion"/>
  </si>
  <si>
    <r>
      <rPr>
        <sz val="10"/>
        <color indexed="8"/>
        <rFont val="宋体"/>
        <family val="3"/>
        <charset val="134"/>
      </rPr>
      <t>毗邻道路的类型与等级</t>
    </r>
    <phoneticPr fontId="24" type="noConversion"/>
  </si>
  <si>
    <r>
      <rPr>
        <b/>
        <sz val="10"/>
        <color indexed="8"/>
        <rFont val="宋体"/>
        <family val="3"/>
        <charset val="134"/>
      </rPr>
      <t>住宅、办公及商业</t>
    </r>
    <phoneticPr fontId="23" type="noConversion"/>
  </si>
  <si>
    <r>
      <rPr>
        <b/>
        <sz val="10"/>
        <color indexed="8"/>
        <rFont val="宋体"/>
        <family val="3"/>
        <charset val="134"/>
      </rPr>
      <t>工业</t>
    </r>
    <phoneticPr fontId="23" type="noConversion"/>
  </si>
  <si>
    <r>
      <rPr>
        <b/>
        <sz val="10"/>
        <color indexed="8"/>
        <rFont val="宋体"/>
        <family val="3"/>
        <charset val="134"/>
      </rPr>
      <t>区位状况</t>
    </r>
    <phoneticPr fontId="24" type="noConversion"/>
  </si>
  <si>
    <r>
      <rPr>
        <b/>
        <sz val="10"/>
        <color indexed="8"/>
        <rFont val="宋体"/>
        <family val="3"/>
        <charset val="134"/>
      </rPr>
      <t>区位状况</t>
    </r>
    <phoneticPr fontId="20" type="noConversion"/>
  </si>
  <si>
    <r>
      <rPr>
        <sz val="10"/>
        <color indexed="8"/>
        <rFont val="宋体"/>
        <family val="3"/>
        <charset val="134"/>
      </rPr>
      <t>产业集聚程度</t>
    </r>
    <phoneticPr fontId="24" type="noConversion"/>
  </si>
  <si>
    <r>
      <rPr>
        <sz val="10"/>
        <color indexed="8"/>
        <rFont val="宋体"/>
        <family val="3"/>
        <charset val="134"/>
      </rPr>
      <t>区域土地利用方向</t>
    </r>
    <phoneticPr fontId="24" type="noConversion"/>
  </si>
  <si>
    <r>
      <rPr>
        <sz val="10"/>
        <color indexed="8"/>
        <rFont val="宋体"/>
        <family val="3"/>
        <charset val="134"/>
      </rPr>
      <t>区域土地利用方向</t>
    </r>
  </si>
  <si>
    <r>
      <rPr>
        <sz val="10"/>
        <color indexed="8"/>
        <rFont val="宋体"/>
        <family val="3"/>
        <charset val="134"/>
      </rPr>
      <t>自然及人文环境状况</t>
    </r>
  </si>
  <si>
    <r>
      <rPr>
        <sz val="10"/>
        <color indexed="8"/>
        <rFont val="宋体"/>
        <family val="3"/>
        <charset val="134"/>
      </rPr>
      <t>临街状况</t>
    </r>
  </si>
  <si>
    <r>
      <rPr>
        <sz val="10"/>
        <color indexed="8"/>
        <rFont val="宋体"/>
        <family val="3"/>
        <charset val="134"/>
      </rPr>
      <t>土地级别</t>
    </r>
    <phoneticPr fontId="24" type="noConversion"/>
  </si>
  <si>
    <r>
      <rPr>
        <sz val="10"/>
        <color indexed="8"/>
        <rFont val="宋体"/>
        <family val="3"/>
        <charset val="134"/>
      </rPr>
      <t>毗邻道路的类型与等级</t>
    </r>
  </si>
  <si>
    <t>正常</t>
  </si>
  <si>
    <t>2020-3</t>
    <phoneticPr fontId="4" type="noConversion"/>
  </si>
  <si>
    <t>2020-4</t>
    <phoneticPr fontId="4" type="noConversion"/>
  </si>
  <si>
    <t>LPR</t>
    <phoneticPr fontId="146" type="noConversion"/>
  </si>
  <si>
    <t>按租金收入计税</t>
  </si>
  <si>
    <t>2021-1</t>
    <phoneticPr fontId="4" type="noConversion"/>
  </si>
  <si>
    <t>2021-2</t>
    <phoneticPr fontId="146" type="noConversion"/>
  </si>
  <si>
    <t>抵押</t>
  </si>
  <si>
    <t>房地产抵押价值</t>
  </si>
  <si>
    <t>北京市</t>
  </si>
  <si>
    <t>与房产证证载一致</t>
  </si>
  <si>
    <t>万元</t>
  </si>
  <si>
    <t>总价</t>
  </si>
  <si>
    <t>办公</t>
  </si>
  <si>
    <t>无租约</t>
  </si>
  <si>
    <t>是</t>
  </si>
  <si>
    <t>利息：取LPR加浮动点数</t>
  </si>
  <si>
    <t>商务金融用地（办公类）</t>
  </si>
  <si>
    <t>不临58条商业街</t>
  </si>
  <si>
    <t>通路</t>
  </si>
  <si>
    <t>通电</t>
  </si>
  <si>
    <t>通讯</t>
  </si>
  <si>
    <t>通上水</t>
  </si>
  <si>
    <t>通下水</t>
  </si>
  <si>
    <t>平整</t>
  </si>
  <si>
    <t>与级别开发程度不一致</t>
  </si>
  <si>
    <t>较好</t>
    <phoneticPr fontId="4" type="noConversion"/>
  </si>
  <si>
    <t>较好</t>
    <phoneticPr fontId="4" type="noConversion"/>
  </si>
  <si>
    <t>一般</t>
    <phoneticPr fontId="4" type="noConversion"/>
  </si>
  <si>
    <t>未包含在土地购买价格中</t>
  </si>
  <si>
    <t>已包含在土地取得成本中</t>
  </si>
  <si>
    <t>仅计算典型户型</t>
  </si>
  <si>
    <t>钢混</t>
  </si>
  <si>
    <t>非生产用房</t>
  </si>
  <si>
    <t>成本法</t>
  </si>
  <si>
    <t>收益法</t>
  </si>
  <si>
    <t>吴薇</t>
  </si>
  <si>
    <t>郑燚</t>
  </si>
  <si>
    <t>自然人</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</si>
</sst>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0.00_);[Red]\(0.00\)"/>
    <numFmt numFmtId="177" formatCode="0_ "/>
    <numFmt numFmtId="178" formatCode="0.0_ "/>
    <numFmt numFmtId="179" formatCode="0.00_ "/>
    <numFmt numFmtId="180" formatCode="0.000_ "/>
    <numFmt numFmtId="181" formatCode="0.0%"/>
    <numFmt numFmtId="182" formatCode="[DBNum2][$-804]General"/>
    <numFmt numFmtId="183" formatCode="0.000%"/>
    <numFmt numFmtId="184" formatCode="yyyy&quot;年&quot;m&quot;月&quot;d&quot;日&quot;;@"/>
    <numFmt numFmtId="185" formatCode="0.0000%"/>
    <numFmt numFmtId="186" formatCode="0_);[Red]\(0\)"/>
    <numFmt numFmtId="187" formatCode="0.0000_ "/>
    <numFmt numFmtId="188" formatCode="0.000_);[Red]\(0.000\)"/>
    <numFmt numFmtId="189" formatCode="0.0_);[Red]\(0.0\)"/>
    <numFmt numFmtId="190" formatCode="yyyy&quot;年&quot;m&quot;月&quot;;@"/>
    <numFmt numFmtId="191" formatCode="0;_쐀"/>
    <numFmt numFmtId="192" formatCode="[$-F800]dddd\,\ mmmm\ dd\,\ yyyy"/>
    <numFmt numFmtId="193" formatCode="[DBNum1][$-804]yyyy&quot;年&quot;m&quot;月&quot;d&quot;日&quot;;@"/>
    <numFmt numFmtId="194" formatCode="0_ ;[Red]\-0\ "/>
    <numFmt numFmtId="195" formatCode="yyyy/m/d;@"/>
  </numFmts>
  <fonts count="254">
    <font>
      <sz val="11"/>
      <color theme="1"/>
      <name val="宋体"/>
      <charset val="134"/>
      <scheme val="minor"/>
    </font>
    <font>
      <sz val="12"/>
      <color theme="1"/>
      <name val="楷体_GB2312"/>
      <family val="2"/>
      <charset val="134"/>
    </font>
    <font>
      <sz val="12"/>
      <color theme="1"/>
      <name val="楷体_GB2312"/>
      <family val="2"/>
      <charset val="134"/>
    </font>
    <font>
      <sz val="12"/>
      <color theme="1"/>
      <name val="楷体_GB2312"/>
      <family val="2"/>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0"/>
      <color indexed="8"/>
      <name val="楷体_GB2312"/>
      <family val="3"/>
      <charset val="134"/>
    </font>
    <font>
      <sz val="10"/>
      <name val="楷体_GB2312"/>
      <family val="3"/>
      <charset val="134"/>
    </font>
    <font>
      <sz val="9"/>
      <color indexed="81"/>
      <name val="宋体"/>
      <family val="3"/>
      <charset val="134"/>
    </font>
    <font>
      <b/>
      <sz val="9"/>
      <color indexed="81"/>
      <name val="宋体"/>
      <family val="3"/>
      <charset val="134"/>
    </font>
    <font>
      <sz val="9"/>
      <name val="宋体"/>
      <family val="3"/>
      <charset val="134"/>
    </font>
    <font>
      <sz val="9"/>
      <name val="宋体"/>
      <family val="3"/>
      <charset val="134"/>
    </font>
    <font>
      <sz val="10"/>
      <name val="宋体"/>
      <family val="3"/>
      <charset val="134"/>
    </font>
    <font>
      <sz val="9"/>
      <name val="宋体"/>
      <family val="3"/>
      <charset val="134"/>
    </font>
    <font>
      <sz val="11"/>
      <color indexed="8"/>
      <name val="楷体_GB2312"/>
      <family val="3"/>
      <charset val="134"/>
    </font>
    <font>
      <sz val="12"/>
      <color indexed="8"/>
      <name val="楷体_GB2312"/>
      <family val="3"/>
      <charset val="134"/>
    </font>
    <font>
      <sz val="9"/>
      <name val="宋体"/>
      <family val="3"/>
      <charset val="134"/>
    </font>
    <font>
      <b/>
      <sz val="12"/>
      <color indexed="81"/>
      <name val="宋体"/>
      <family val="3"/>
      <charset val="134"/>
    </font>
    <font>
      <sz val="12"/>
      <color indexed="81"/>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6"/>
      <color indexed="81"/>
      <name val="宋体"/>
      <family val="3"/>
      <charset val="134"/>
    </font>
    <font>
      <sz val="12"/>
      <name val="宋体"/>
      <family val="3"/>
      <charset val="134"/>
    </font>
    <font>
      <sz val="9"/>
      <name val="宋体"/>
      <family val="3"/>
      <charset val="134"/>
    </font>
    <font>
      <sz val="11"/>
      <color indexed="81"/>
      <name val="楷体_GB2312"/>
      <family val="3"/>
      <charset val="134"/>
    </font>
    <font>
      <sz val="14"/>
      <color indexed="81"/>
      <name val="楷体_GB2312"/>
      <family val="3"/>
      <charset val="134"/>
    </font>
    <font>
      <sz val="11"/>
      <color indexed="81"/>
      <name val="宋体"/>
      <family val="3"/>
      <charset val="134"/>
    </font>
    <font>
      <sz val="9"/>
      <name val="宋体"/>
      <family val="3"/>
      <charset val="134"/>
    </font>
    <font>
      <sz val="9"/>
      <name val="宋体"/>
      <family val="3"/>
      <charset val="134"/>
    </font>
    <font>
      <sz val="9"/>
      <name val="宋体"/>
      <family val="3"/>
      <charset val="134"/>
    </font>
    <font>
      <b/>
      <sz val="14"/>
      <color indexed="10"/>
      <name val="Arial"/>
      <family val="2"/>
    </font>
    <font>
      <sz val="11"/>
      <color indexed="8"/>
      <name val="Arial"/>
      <family val="2"/>
    </font>
    <font>
      <b/>
      <sz val="12"/>
      <color indexed="8"/>
      <name val="Arial"/>
      <family val="2"/>
    </font>
    <font>
      <b/>
      <sz val="11"/>
      <color indexed="8"/>
      <name val="Arial"/>
      <family val="2"/>
    </font>
    <font>
      <sz val="10"/>
      <color indexed="8"/>
      <name val="Arial"/>
      <family val="2"/>
    </font>
    <font>
      <sz val="10"/>
      <color indexed="10"/>
      <name val="Arial"/>
      <family val="2"/>
    </font>
    <font>
      <sz val="11"/>
      <color indexed="10"/>
      <name val="Arial"/>
      <family val="2"/>
    </font>
    <font>
      <b/>
      <sz val="11"/>
      <name val="Arial"/>
      <family val="2"/>
    </font>
    <font>
      <sz val="11"/>
      <name val="Arial"/>
      <family val="2"/>
    </font>
    <font>
      <b/>
      <sz val="10"/>
      <color indexed="8"/>
      <name val="Arial"/>
      <family val="2"/>
    </font>
    <font>
      <sz val="10"/>
      <name val="Arial"/>
      <family val="2"/>
    </font>
    <font>
      <b/>
      <sz val="10"/>
      <name val="Arial"/>
      <family val="2"/>
    </font>
    <font>
      <sz val="9"/>
      <color indexed="8"/>
      <name val="Arial"/>
      <family val="2"/>
    </font>
    <font>
      <b/>
      <sz val="16"/>
      <color indexed="8"/>
      <name val="Arial"/>
      <family val="2"/>
    </font>
    <font>
      <b/>
      <sz val="12"/>
      <name val="Arial"/>
      <family val="2"/>
    </font>
    <font>
      <sz val="12"/>
      <name val="Arial"/>
      <family val="2"/>
    </font>
    <font>
      <i/>
      <sz val="10"/>
      <name val="Arial"/>
      <family val="2"/>
    </font>
    <font>
      <b/>
      <sz val="10"/>
      <color indexed="10"/>
      <name val="Arial"/>
      <family val="2"/>
    </font>
    <font>
      <sz val="12"/>
      <color indexed="8"/>
      <name val="Arial"/>
      <family val="2"/>
    </font>
    <font>
      <b/>
      <sz val="16"/>
      <name val="Arial"/>
      <family val="2"/>
    </font>
    <font>
      <sz val="14"/>
      <name val="Arial"/>
      <family val="2"/>
    </font>
    <font>
      <sz val="16"/>
      <name val="Arial"/>
      <family val="2"/>
    </font>
    <font>
      <sz val="12"/>
      <color indexed="10"/>
      <name val="Arial"/>
      <family val="2"/>
    </font>
    <font>
      <b/>
      <sz val="20"/>
      <name val="Arial"/>
      <family val="2"/>
    </font>
    <font>
      <b/>
      <sz val="20"/>
      <color indexed="10"/>
      <name val="Arial"/>
      <family val="2"/>
    </font>
    <font>
      <sz val="20"/>
      <color indexed="8"/>
      <name val="Arial"/>
      <family val="2"/>
    </font>
    <font>
      <sz val="20"/>
      <name val="Arial"/>
      <family val="2"/>
    </font>
    <font>
      <b/>
      <sz val="16"/>
      <color indexed="10"/>
      <name val="Arial"/>
      <family val="2"/>
    </font>
    <font>
      <b/>
      <sz val="11"/>
      <color indexed="62"/>
      <name val="Arial"/>
      <family val="2"/>
    </font>
    <font>
      <sz val="11"/>
      <color indexed="62"/>
      <name val="Arial"/>
      <family val="2"/>
    </font>
    <font>
      <sz val="11"/>
      <color indexed="53"/>
      <name val="Arial"/>
      <family val="2"/>
    </font>
    <font>
      <b/>
      <sz val="11"/>
      <color indexed="10"/>
      <name val="Arial"/>
      <family val="2"/>
    </font>
    <font>
      <b/>
      <sz val="11"/>
      <color indexed="53"/>
      <name val="Arial"/>
      <family val="2"/>
    </font>
    <font>
      <sz val="12"/>
      <color indexed="53"/>
      <name val="Arial"/>
      <family val="2"/>
    </font>
    <font>
      <sz val="10"/>
      <color indexed="53"/>
      <name val="Arial"/>
      <family val="2"/>
    </font>
    <font>
      <b/>
      <vertAlign val="subscript"/>
      <sz val="10"/>
      <name val="宋体"/>
      <family val="3"/>
      <charset val="134"/>
    </font>
    <font>
      <sz val="9"/>
      <name val="宋体"/>
      <family val="3"/>
      <charset val="134"/>
    </font>
    <font>
      <sz val="10"/>
      <color indexed="8"/>
      <name val="宋体"/>
      <family val="3"/>
      <charset val="134"/>
    </font>
    <font>
      <b/>
      <sz val="12"/>
      <name val="仿宋_GB2312"/>
      <family val="3"/>
      <charset val="134"/>
    </font>
    <font>
      <sz val="10"/>
      <name val="仿宋_GB2312"/>
      <family val="3"/>
      <charset val="134"/>
    </font>
    <font>
      <b/>
      <sz val="11"/>
      <color indexed="81"/>
      <name val="宋体"/>
      <family val="3"/>
      <charset val="134"/>
    </font>
    <font>
      <sz val="9"/>
      <name val="宋体"/>
      <family val="3"/>
      <charset val="134"/>
    </font>
    <font>
      <sz val="10"/>
      <color indexed="81"/>
      <name val="楷体_GB2312"/>
      <family val="3"/>
      <charset val="134"/>
    </font>
    <font>
      <sz val="9"/>
      <name val="宋体"/>
      <family val="3"/>
      <charset val="134"/>
    </font>
    <font>
      <b/>
      <sz val="16"/>
      <color indexed="8"/>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b/>
      <sz val="12"/>
      <name val="宋体"/>
      <family val="3"/>
      <charset val="134"/>
    </font>
    <font>
      <b/>
      <sz val="10"/>
      <color indexed="8"/>
      <name val="宋体"/>
      <family val="3"/>
      <charset val="134"/>
    </font>
    <font>
      <sz val="9"/>
      <name val="宋体"/>
      <family val="3"/>
      <charset val="134"/>
    </font>
    <font>
      <sz val="11"/>
      <name val="宋体"/>
      <family val="3"/>
      <charset val="134"/>
    </font>
    <font>
      <sz val="11"/>
      <color theme="1"/>
      <name val="宋体"/>
      <family val="3"/>
      <charset val="134"/>
      <scheme val="minor"/>
    </font>
    <font>
      <b/>
      <sz val="11"/>
      <color theme="1"/>
      <name val="宋体"/>
      <family val="3"/>
      <charset val="134"/>
      <scheme val="minor"/>
    </font>
    <font>
      <sz val="11"/>
      <color rgb="FFFF0000"/>
      <name val="宋体"/>
      <family val="3"/>
      <charset val="134"/>
      <scheme val="minor"/>
    </font>
    <font>
      <sz val="12"/>
      <color theme="1"/>
      <name val="楷体_GB2312"/>
      <family val="3"/>
      <charset val="134"/>
    </font>
    <font>
      <sz val="11"/>
      <color theme="1"/>
      <name val="楷体_GB2312"/>
      <family val="3"/>
      <charset val="134"/>
    </font>
    <font>
      <sz val="11"/>
      <color theme="1"/>
      <name val="Arial"/>
      <family val="2"/>
    </font>
    <font>
      <sz val="11"/>
      <color rgb="FFFF0000"/>
      <name val="Arial"/>
      <family val="2"/>
    </font>
    <font>
      <b/>
      <sz val="16"/>
      <color rgb="FFFF0000"/>
      <name val="Arial"/>
      <family val="2"/>
    </font>
    <font>
      <sz val="10"/>
      <color theme="1"/>
      <name val="Arial"/>
      <family val="2"/>
    </font>
    <font>
      <b/>
      <sz val="10"/>
      <color theme="1"/>
      <name val="Arial"/>
      <family val="2"/>
    </font>
    <font>
      <b/>
      <sz val="14"/>
      <color rgb="FFFF0000"/>
      <name val="Arial"/>
      <family val="2"/>
    </font>
    <font>
      <sz val="12"/>
      <color rgb="FF000000"/>
      <name val="Arial"/>
      <family val="2"/>
    </font>
    <font>
      <u/>
      <sz val="11"/>
      <color rgb="FFFF0000"/>
      <name val="Arial"/>
      <family val="2"/>
    </font>
    <font>
      <sz val="10"/>
      <color rgb="FFE36C0A"/>
      <name val="Arial"/>
      <family val="2"/>
    </font>
    <font>
      <sz val="10"/>
      <color theme="1"/>
      <name val="楷体_GB2312"/>
      <family val="3"/>
      <charset val="134"/>
    </font>
    <font>
      <sz val="10"/>
      <color theme="1"/>
      <name val="宋体"/>
      <family val="3"/>
      <charset val="134"/>
      <scheme val="minor"/>
    </font>
    <font>
      <b/>
      <sz val="11"/>
      <color rgb="FFFF0000"/>
      <name val="宋体"/>
      <family val="3"/>
      <charset val="134"/>
      <scheme val="minor"/>
    </font>
    <font>
      <b/>
      <sz val="11"/>
      <color rgb="FFFF0000"/>
      <name val="Arial"/>
      <family val="2"/>
    </font>
    <font>
      <sz val="10"/>
      <color theme="1"/>
      <name val="仿宋_GB2312"/>
      <family val="3"/>
      <charset val="134"/>
    </font>
    <font>
      <b/>
      <sz val="10"/>
      <color theme="1"/>
      <name val="仿宋_GB2312"/>
      <family val="3"/>
      <charset val="134"/>
    </font>
    <font>
      <sz val="11"/>
      <color theme="1"/>
      <name val="仿宋_GB2312"/>
      <family val="3"/>
      <charset val="134"/>
    </font>
    <font>
      <sz val="11"/>
      <color theme="1"/>
      <name val="宋体"/>
      <family val="3"/>
      <charset val="134"/>
    </font>
    <font>
      <b/>
      <sz val="11"/>
      <color theme="1"/>
      <name val="宋体"/>
      <family val="3"/>
      <charset val="134"/>
    </font>
    <font>
      <b/>
      <sz val="10"/>
      <color theme="1"/>
      <name val="宋体"/>
      <family val="3"/>
      <charset val="134"/>
      <scheme val="minor"/>
    </font>
    <font>
      <sz val="10"/>
      <color rgb="FFFF0000"/>
      <name val="Arial"/>
      <family val="2"/>
    </font>
    <font>
      <sz val="10"/>
      <color rgb="FF000000"/>
      <name val="仿宋_GB2312"/>
      <family val="3"/>
      <charset val="134"/>
    </font>
    <font>
      <sz val="11"/>
      <color rgb="FFFF0000"/>
      <name val="宋体"/>
      <family val="3"/>
      <charset val="134"/>
    </font>
    <font>
      <b/>
      <sz val="11"/>
      <color rgb="FFFF0000"/>
      <name val="楷体_GB2312"/>
      <family val="3"/>
      <charset val="134"/>
    </font>
    <font>
      <b/>
      <sz val="12"/>
      <color theme="1"/>
      <name val="宋体"/>
      <family val="3"/>
      <charset val="134"/>
      <scheme val="minor"/>
    </font>
    <font>
      <b/>
      <sz val="16"/>
      <color rgb="FFFF0000"/>
      <name val="宋体"/>
      <family val="3"/>
      <charset val="134"/>
      <scheme val="major"/>
    </font>
    <font>
      <b/>
      <sz val="16"/>
      <color theme="1"/>
      <name val="宋体"/>
      <family val="3"/>
      <charset val="134"/>
      <scheme val="major"/>
    </font>
    <font>
      <sz val="16"/>
      <color theme="1"/>
      <name val="宋体"/>
      <family val="3"/>
      <charset val="134"/>
      <scheme val="minor"/>
    </font>
    <font>
      <b/>
      <sz val="16"/>
      <color theme="1"/>
      <name val="宋体"/>
      <family val="3"/>
      <charset val="134"/>
      <scheme val="minor"/>
    </font>
    <font>
      <sz val="11"/>
      <color theme="1"/>
      <name val="黑体"/>
      <family val="3"/>
      <charset val="134"/>
    </font>
    <font>
      <b/>
      <sz val="10.5"/>
      <color theme="1"/>
      <name val="黑体"/>
      <family val="3"/>
      <charset val="134"/>
    </font>
    <font>
      <b/>
      <sz val="11"/>
      <color theme="1"/>
      <name val="黑体"/>
      <family val="3"/>
      <charset val="134"/>
    </font>
    <font>
      <sz val="12"/>
      <color theme="1"/>
      <name val="Arial"/>
      <family val="2"/>
    </font>
    <font>
      <sz val="14"/>
      <color theme="1"/>
      <name val="Arial"/>
      <family val="2"/>
    </font>
    <font>
      <b/>
      <sz val="11"/>
      <color theme="1"/>
      <name val="仿宋_GB2312"/>
      <family val="3"/>
      <charset val="134"/>
    </font>
    <font>
      <b/>
      <sz val="12"/>
      <color theme="1"/>
      <name val="Arial"/>
      <family val="2"/>
    </font>
    <font>
      <sz val="12"/>
      <color theme="9" tint="-0.249977111117893"/>
      <name val="Arial"/>
      <family val="2"/>
    </font>
    <font>
      <b/>
      <sz val="10"/>
      <color rgb="FFE36C0A"/>
      <name val="Arial"/>
      <family val="2"/>
    </font>
    <font>
      <sz val="11"/>
      <color indexed="8"/>
      <name val="宋体"/>
      <family val="3"/>
      <charset val="134"/>
    </font>
    <font>
      <b/>
      <sz val="10"/>
      <name val="宋体"/>
      <family val="3"/>
      <charset val="134"/>
    </font>
    <font>
      <sz val="9"/>
      <name val="宋体"/>
      <family val="3"/>
      <charset val="134"/>
    </font>
    <font>
      <sz val="10"/>
      <color theme="1"/>
      <name val="宋体"/>
      <family val="3"/>
      <charset val="134"/>
    </font>
    <font>
      <b/>
      <sz val="12"/>
      <color rgb="FFFF0000"/>
      <name val="Arial"/>
      <family val="2"/>
    </font>
    <font>
      <vertAlign val="subscript"/>
      <sz val="12"/>
      <color theme="1"/>
      <name val="Arial"/>
      <family val="2"/>
    </font>
    <font>
      <vertAlign val="subscript"/>
      <sz val="14"/>
      <color theme="1"/>
      <name val="Arial"/>
      <family val="2"/>
    </font>
    <font>
      <vertAlign val="superscript"/>
      <sz val="14"/>
      <color theme="1"/>
      <name val="Arial"/>
      <family val="2"/>
    </font>
    <font>
      <sz val="10"/>
      <color rgb="FFFF0000"/>
      <name val="宋体"/>
      <family val="3"/>
      <charset val="134"/>
    </font>
    <font>
      <i/>
      <sz val="10"/>
      <color indexed="8"/>
      <name val="宋体"/>
      <family val="3"/>
      <charset val="134"/>
    </font>
    <font>
      <b/>
      <sz val="12"/>
      <color theme="1"/>
      <name val="宋体"/>
      <family val="3"/>
      <charset val="134"/>
    </font>
    <font>
      <sz val="9"/>
      <name val="宋体"/>
      <family val="3"/>
      <charset val="134"/>
      <scheme val="minor"/>
    </font>
    <font>
      <b/>
      <sz val="10"/>
      <color theme="1"/>
      <name val="宋体"/>
      <family val="3"/>
      <charset val="134"/>
    </font>
    <font>
      <b/>
      <sz val="10"/>
      <color theme="1"/>
      <name val="楷体_GB2312"/>
      <family val="2"/>
      <charset val="134"/>
    </font>
    <font>
      <sz val="9"/>
      <name val="楷体_GB2312"/>
      <family val="2"/>
      <charset val="134"/>
    </font>
    <font>
      <sz val="10"/>
      <color rgb="FF707070"/>
      <name val="Arial"/>
      <family val="2"/>
    </font>
    <font>
      <b/>
      <sz val="10"/>
      <color theme="0"/>
      <name val="Arial"/>
      <family val="2"/>
    </font>
    <font>
      <sz val="10"/>
      <color rgb="FF707070"/>
      <name val="宋体"/>
      <family val="3"/>
      <charset val="134"/>
    </font>
    <font>
      <b/>
      <sz val="11"/>
      <color indexed="8"/>
      <name val="宋体"/>
      <family val="3"/>
      <charset val="134"/>
    </font>
    <font>
      <sz val="9"/>
      <name val="宋体"/>
      <family val="3"/>
      <charset val="134"/>
      <scheme val="minor"/>
    </font>
    <font>
      <sz val="12"/>
      <color theme="1"/>
      <name val="宋体"/>
      <family val="3"/>
      <charset val="134"/>
      <scheme val="minor"/>
    </font>
    <font>
      <b/>
      <i/>
      <sz val="12"/>
      <color theme="9" tint="-0.249977111117893"/>
      <name val="Arial"/>
      <family val="2"/>
    </font>
    <font>
      <b/>
      <i/>
      <sz val="12"/>
      <color theme="9" tint="-0.249977111117893"/>
      <name val="宋体"/>
      <family val="3"/>
      <charset val="134"/>
    </font>
    <font>
      <b/>
      <i/>
      <sz val="12"/>
      <color theme="3" tint="0.39997558519241921"/>
      <name val="Arial"/>
      <family val="2"/>
    </font>
    <font>
      <b/>
      <i/>
      <sz val="12"/>
      <color theme="3" tint="0.39997558519241921"/>
      <name val="宋体"/>
      <family val="3"/>
      <charset val="134"/>
    </font>
    <font>
      <b/>
      <sz val="16"/>
      <color theme="3" tint="0.39997558519241921"/>
      <name val="宋体"/>
      <family val="3"/>
      <charset val="134"/>
    </font>
    <font>
      <b/>
      <sz val="12"/>
      <color theme="3" tint="0.39997558519241921"/>
      <name val="宋体"/>
      <family val="3"/>
      <charset val="134"/>
    </font>
    <font>
      <sz val="16"/>
      <name val="宋体"/>
      <family val="3"/>
      <charset val="134"/>
    </font>
    <font>
      <b/>
      <sz val="16"/>
      <name val="΢ȭхڬˎ̥"/>
      <family val="3"/>
      <charset val="134"/>
    </font>
    <font>
      <b/>
      <sz val="18"/>
      <color indexed="10"/>
      <name val="΢ȭхڬˎ̥"/>
      <family val="3"/>
      <charset val="134"/>
    </font>
    <font>
      <b/>
      <sz val="12"/>
      <color rgb="FFFF0000"/>
      <name val="宋体"/>
      <family val="3"/>
      <charset val="134"/>
    </font>
    <font>
      <sz val="12"/>
      <color rgb="FFFF0000"/>
      <name val="宋体"/>
      <family val="3"/>
      <charset val="134"/>
    </font>
    <font>
      <sz val="13"/>
      <name val="宋体"/>
      <family val="3"/>
      <charset val="134"/>
    </font>
    <font>
      <b/>
      <sz val="10"/>
      <color rgb="FFFF0000"/>
      <name val="宋体"/>
      <family val="3"/>
      <charset val="134"/>
    </font>
    <font>
      <b/>
      <i/>
      <u/>
      <sz val="11"/>
      <color rgb="FFFF0000"/>
      <name val="宋体"/>
      <family val="3"/>
      <charset val="134"/>
      <scheme val="minor"/>
    </font>
    <font>
      <sz val="11"/>
      <color theme="1"/>
      <name val="宋体"/>
      <family val="2"/>
      <scheme val="minor"/>
    </font>
    <font>
      <sz val="11"/>
      <color rgb="FF666666"/>
      <name val="微软雅黑"/>
      <family val="2"/>
      <charset val="134"/>
    </font>
    <font>
      <sz val="10"/>
      <color rgb="FF000000"/>
      <name val="Arial"/>
      <family val="2"/>
    </font>
    <font>
      <sz val="10"/>
      <color rgb="FF000000"/>
      <name val="宋体"/>
      <family val="3"/>
      <charset val="134"/>
    </font>
    <font>
      <sz val="10"/>
      <color indexed="81"/>
      <name val="宋体"/>
      <family val="3"/>
      <charset val="134"/>
    </font>
    <font>
      <sz val="11"/>
      <color indexed="81"/>
      <name val="宋体"/>
      <family val="3"/>
      <charset val="134"/>
      <scheme val="minor"/>
    </font>
    <font>
      <b/>
      <sz val="16"/>
      <color rgb="FFFF0000"/>
      <name val="宋体"/>
      <family val="3"/>
      <charset val="134"/>
    </font>
    <font>
      <sz val="11"/>
      <color theme="9" tint="-0.249977111117893"/>
      <name val="Arial"/>
      <family val="2"/>
    </font>
    <font>
      <b/>
      <sz val="11"/>
      <color theme="9" tint="-0.249977111117893"/>
      <name val="Arial"/>
      <family val="2"/>
    </font>
    <font>
      <b/>
      <sz val="11"/>
      <color theme="0" tint="-0.499984740745262"/>
      <name val="Arial"/>
      <family val="2"/>
    </font>
    <font>
      <sz val="10.5"/>
      <color theme="1"/>
      <name val="黑体"/>
      <family val="3"/>
      <charset val="134"/>
    </font>
    <font>
      <b/>
      <sz val="18"/>
      <color theme="1"/>
      <name val="宋体"/>
      <family val="3"/>
      <charset val="134"/>
    </font>
    <font>
      <b/>
      <sz val="14"/>
      <color theme="1"/>
      <name val="宋体"/>
      <family val="3"/>
      <charset val="134"/>
    </font>
    <font>
      <sz val="14"/>
      <color theme="1"/>
      <name val="宋体"/>
      <family val="3"/>
      <charset val="134"/>
    </font>
    <font>
      <b/>
      <sz val="14"/>
      <color rgb="FF000000"/>
      <name val="宋体"/>
      <family val="3"/>
      <charset val="134"/>
    </font>
    <font>
      <b/>
      <sz val="14"/>
      <color theme="1"/>
      <name val="宋体"/>
      <family val="3"/>
      <charset val="134"/>
      <scheme val="minor"/>
    </font>
    <font>
      <sz val="14"/>
      <color theme="1"/>
      <name val="宋体"/>
      <family val="3"/>
      <charset val="134"/>
      <scheme val="minor"/>
    </font>
    <font>
      <b/>
      <sz val="18"/>
      <color theme="1"/>
      <name val="Arial"/>
      <family val="2"/>
    </font>
    <font>
      <b/>
      <sz val="14"/>
      <color theme="1"/>
      <name val="Arial"/>
      <family val="2"/>
    </font>
    <font>
      <b/>
      <sz val="11"/>
      <color theme="1"/>
      <name val="Arial"/>
      <family val="2"/>
    </font>
    <font>
      <b/>
      <sz val="14"/>
      <color rgb="FF000000"/>
      <name val="Arial"/>
      <family val="2"/>
    </font>
    <font>
      <sz val="14"/>
      <color rgb="FFE36C0A"/>
      <name val="Arial"/>
      <family val="2"/>
    </font>
    <font>
      <b/>
      <sz val="12"/>
      <color indexed="8"/>
      <name val="宋体"/>
      <family val="3"/>
      <charset val="134"/>
    </font>
    <font>
      <sz val="12"/>
      <color theme="1"/>
      <name val="宋体"/>
      <family val="3"/>
      <charset val="134"/>
    </font>
    <font>
      <sz val="12"/>
      <color indexed="8"/>
      <name val="宋体"/>
      <family val="3"/>
      <charset val="134"/>
    </font>
    <font>
      <sz val="12"/>
      <color rgb="FF000000"/>
      <name val="宋体"/>
      <family val="3"/>
      <charset val="134"/>
    </font>
    <font>
      <b/>
      <sz val="12"/>
      <color indexed="8"/>
      <name val="宋体"/>
      <family val="3"/>
      <charset val="134"/>
      <scheme val="minor"/>
    </font>
    <font>
      <sz val="10"/>
      <color indexed="8"/>
      <name val="宋体"/>
      <family val="3"/>
      <charset val="134"/>
      <scheme val="minor"/>
    </font>
    <font>
      <b/>
      <sz val="12"/>
      <color rgb="FF000000"/>
      <name val="宋体"/>
      <family val="3"/>
      <charset val="134"/>
      <scheme val="minor"/>
    </font>
    <font>
      <sz val="12"/>
      <color indexed="8"/>
      <name val="宋体"/>
      <family val="3"/>
      <charset val="134"/>
      <scheme val="minor"/>
    </font>
    <font>
      <sz val="12"/>
      <color rgb="FF000000"/>
      <name val="宋体"/>
      <family val="3"/>
      <charset val="134"/>
      <scheme val="minor"/>
    </font>
    <font>
      <b/>
      <i/>
      <sz val="12"/>
      <color theme="3" tint="0.39997558519241921"/>
      <name val="宋体"/>
      <family val="3"/>
      <charset val="134"/>
      <scheme val="minor"/>
    </font>
    <font>
      <sz val="14"/>
      <color theme="9" tint="-0.249977111117893"/>
      <name val="宋体"/>
      <family val="3"/>
      <charset val="134"/>
      <scheme val="minor"/>
    </font>
    <font>
      <b/>
      <i/>
      <sz val="14"/>
      <color theme="3" tint="0.39997558519241921"/>
      <name val="宋体"/>
      <family val="3"/>
      <charset val="134"/>
    </font>
    <font>
      <sz val="14"/>
      <color rgb="FF000000"/>
      <name val="宋体"/>
      <family val="3"/>
      <charset val="134"/>
    </font>
    <font>
      <sz val="12"/>
      <color theme="9" tint="-0.249977111117893"/>
      <name val="宋体"/>
      <family val="3"/>
      <charset val="134"/>
    </font>
    <font>
      <sz val="12"/>
      <color indexed="53"/>
      <name val="宋体"/>
      <family val="3"/>
      <charset val="134"/>
    </font>
    <font>
      <i/>
      <sz val="12"/>
      <color theme="3" tint="0.39997558519241921"/>
      <name val="宋体"/>
      <family val="3"/>
      <charset val="134"/>
    </font>
    <font>
      <sz val="14"/>
      <color rgb="FF000000"/>
      <name val="Arial"/>
      <family val="2"/>
    </font>
    <font>
      <sz val="14"/>
      <color theme="9" tint="-0.249977111117893"/>
      <name val="Arial"/>
      <family val="2"/>
    </font>
    <font>
      <b/>
      <sz val="16"/>
      <color indexed="10"/>
      <name val="宋体"/>
      <family val="3"/>
      <charset val="134"/>
    </font>
    <font>
      <b/>
      <sz val="14"/>
      <color rgb="FFFF0000"/>
      <name val="宋体"/>
      <family val="3"/>
      <charset val="134"/>
    </font>
    <font>
      <b/>
      <sz val="14"/>
      <color indexed="10"/>
      <name val="宋体"/>
      <family val="3"/>
      <charset val="134"/>
    </font>
    <font>
      <b/>
      <sz val="12"/>
      <color indexed="13"/>
      <name val="宋体"/>
      <family val="3"/>
      <charset val="134"/>
    </font>
    <font>
      <b/>
      <sz val="12"/>
      <color indexed="10"/>
      <name val="宋体"/>
      <family val="3"/>
      <charset val="134"/>
    </font>
    <font>
      <b/>
      <sz val="12"/>
      <color indexed="13"/>
      <name val="Arial"/>
      <family val="2"/>
    </font>
    <font>
      <b/>
      <sz val="12"/>
      <color indexed="10"/>
      <name val="Arial"/>
      <family val="2"/>
    </font>
    <font>
      <sz val="9"/>
      <color indexed="8"/>
      <name val="宋体"/>
      <family val="3"/>
      <charset val="134"/>
    </font>
    <font>
      <sz val="11"/>
      <color indexed="10"/>
      <name val="宋体"/>
      <family val="3"/>
      <charset val="134"/>
    </font>
    <font>
      <b/>
      <sz val="11"/>
      <color rgb="FFFF0000"/>
      <name val="宋体"/>
      <family val="3"/>
      <charset val="134"/>
    </font>
    <font>
      <b/>
      <sz val="14"/>
      <color indexed="8"/>
      <name val="Arial"/>
      <family val="2"/>
    </font>
    <font>
      <sz val="14"/>
      <color indexed="8"/>
      <name val="Arial"/>
      <family val="2"/>
    </font>
    <font>
      <sz val="11"/>
      <color theme="9" tint="-0.249977111117893"/>
      <name val="宋体"/>
      <family val="3"/>
      <charset val="134"/>
    </font>
    <font>
      <b/>
      <u/>
      <sz val="11"/>
      <color theme="1"/>
      <name val="Arial"/>
      <family val="2"/>
    </font>
    <font>
      <sz val="10"/>
      <color indexed="10"/>
      <name val="宋体"/>
      <family val="3"/>
      <charset val="134"/>
    </font>
    <font>
      <b/>
      <i/>
      <sz val="11"/>
      <color theme="3" tint="0.39997558519241921"/>
      <name val="宋体"/>
      <family val="3"/>
      <charset val="134"/>
    </font>
    <font>
      <b/>
      <u/>
      <sz val="11"/>
      <color rgb="FFFF0000"/>
      <name val="Arial"/>
      <family val="2"/>
    </font>
    <font>
      <b/>
      <u/>
      <sz val="11"/>
      <color rgb="FFFF0000"/>
      <name val="宋体"/>
      <family val="3"/>
      <charset val="134"/>
    </font>
    <font>
      <i/>
      <sz val="10"/>
      <name val="宋体"/>
      <family val="3"/>
      <charset val="134"/>
    </font>
    <font>
      <b/>
      <vertAlign val="subscript"/>
      <sz val="10"/>
      <name val="Arial"/>
      <family val="2"/>
    </font>
    <font>
      <b/>
      <sz val="10"/>
      <color indexed="10"/>
      <name val="宋体"/>
      <family val="3"/>
      <charset val="134"/>
    </font>
    <font>
      <b/>
      <sz val="16"/>
      <name val="宋体"/>
      <family val="3"/>
      <charset val="134"/>
    </font>
    <font>
      <i/>
      <sz val="10"/>
      <color indexed="8"/>
      <name val="Arial"/>
      <family val="2"/>
    </font>
    <font>
      <vertAlign val="subscript"/>
      <sz val="10"/>
      <color indexed="8"/>
      <name val="宋体"/>
      <family val="3"/>
      <charset val="134"/>
    </font>
    <font>
      <vertAlign val="superscript"/>
      <sz val="12"/>
      <color theme="1"/>
      <name val="宋体"/>
      <family val="3"/>
      <charset val="134"/>
    </font>
    <font>
      <sz val="12"/>
      <color rgb="FFFF0000"/>
      <name val="Arial"/>
      <family val="2"/>
    </font>
    <font>
      <b/>
      <sz val="11"/>
      <name val="宋体"/>
      <family val="3"/>
      <charset val="134"/>
    </font>
    <font>
      <b/>
      <sz val="11"/>
      <color theme="9" tint="-0.249977111117893"/>
      <name val="宋体"/>
      <family val="3"/>
      <charset val="134"/>
    </font>
    <font>
      <b/>
      <sz val="11"/>
      <color indexed="10"/>
      <name val="宋体"/>
      <family val="3"/>
      <charset val="134"/>
    </font>
    <font>
      <b/>
      <sz val="10"/>
      <color rgb="FFFF0000"/>
      <name val="Arial"/>
      <family val="2"/>
    </font>
    <font>
      <sz val="10"/>
      <color theme="9" tint="-0.249977111117893"/>
      <name val="Arial"/>
      <family val="2"/>
    </font>
    <font>
      <sz val="10"/>
      <color theme="9" tint="-0.249977111117893"/>
      <name val="宋体"/>
      <family val="3"/>
      <charset val="134"/>
    </font>
    <font>
      <sz val="10"/>
      <color theme="0"/>
      <name val="Arial"/>
      <family val="2"/>
    </font>
    <font>
      <b/>
      <sz val="8"/>
      <color indexed="81"/>
      <name val="宋体"/>
      <family val="3"/>
      <charset val="134"/>
    </font>
    <font>
      <vertAlign val="superscript"/>
      <sz val="10"/>
      <color indexed="8"/>
      <name val="Arial"/>
      <family val="2"/>
    </font>
    <font>
      <b/>
      <sz val="10"/>
      <color rgb="FFE36C0A"/>
      <name val="宋体"/>
      <family val="3"/>
      <charset val="134"/>
      <scheme val="minor"/>
    </font>
    <font>
      <sz val="10"/>
      <color rgb="FFE36C0A"/>
      <name val="宋体"/>
      <family val="3"/>
      <charset val="134"/>
      <scheme val="minor"/>
    </font>
    <font>
      <sz val="10"/>
      <color rgb="FF000000"/>
      <name val="宋体"/>
      <family val="3"/>
      <charset val="134"/>
      <scheme val="minor"/>
    </font>
    <font>
      <sz val="8"/>
      <color rgb="FFFF0000"/>
      <name val="宋体"/>
      <family val="3"/>
      <charset val="134"/>
    </font>
    <font>
      <sz val="8"/>
      <color indexed="81"/>
      <name val="宋体"/>
      <family val="3"/>
      <charset val="134"/>
    </font>
    <font>
      <b/>
      <sz val="10"/>
      <color indexed="81"/>
      <name val="宋体"/>
      <family val="3"/>
      <charset val="134"/>
    </font>
    <font>
      <sz val="16"/>
      <color rgb="FFFF0000"/>
      <name val="宋体"/>
      <family val="3"/>
      <charset val="134"/>
      <scheme val="minor"/>
    </font>
    <font>
      <sz val="16"/>
      <color theme="1"/>
      <name val="Arial"/>
      <family val="2"/>
    </font>
    <font>
      <b/>
      <sz val="14"/>
      <color rgb="FFFF0000"/>
      <name val="宋体"/>
      <family val="3"/>
      <charset val="134"/>
      <scheme val="minor"/>
    </font>
  </fonts>
  <fills count="21">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0F0F0"/>
        <bgColor indexed="64"/>
      </patternFill>
    </fill>
    <fill>
      <patternFill patternType="solid">
        <fgColor rgb="FFFFFFFF"/>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3" tint="0.39997558519241921"/>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rgb="FF5AE838"/>
        <bgColor indexed="64"/>
      </patternFill>
    </fill>
  </fills>
  <borders count="1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thin">
        <color indexed="64"/>
      </left>
      <right style="thin">
        <color indexed="64"/>
      </right>
      <top style="double">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Dashed">
        <color indexed="64"/>
      </left>
      <right style="thin">
        <color indexed="64"/>
      </right>
      <top style="thin">
        <color indexed="64"/>
      </top>
      <bottom style="thin">
        <color indexed="64"/>
      </bottom>
      <diagonal/>
    </border>
    <border>
      <left style="mediumDashed">
        <color indexed="64"/>
      </left>
      <right/>
      <top style="thin">
        <color indexed="64"/>
      </top>
      <bottom style="medium">
        <color indexed="64"/>
      </bottom>
      <diagonal/>
    </border>
    <border>
      <left style="mediumDashed">
        <color indexed="64"/>
      </left>
      <right style="thin">
        <color indexed="64"/>
      </right>
      <top/>
      <bottom style="thin">
        <color indexed="64"/>
      </bottom>
      <diagonal/>
    </border>
    <border>
      <left style="medium">
        <color indexed="64"/>
      </left>
      <right/>
      <top/>
      <bottom style="mediumDashed">
        <color indexed="64"/>
      </bottom>
      <diagonal/>
    </border>
    <border>
      <left style="medium">
        <color indexed="64"/>
      </left>
      <right style="thin">
        <color indexed="64"/>
      </right>
      <top style="thin">
        <color indexed="64"/>
      </top>
      <bottom style="mediumDashed">
        <color indexed="64"/>
      </bottom>
      <diagonal/>
    </border>
    <border>
      <left style="thin">
        <color indexed="64"/>
      </left>
      <right style="thin">
        <color indexed="64"/>
      </right>
      <top style="thin">
        <color indexed="64"/>
      </top>
      <bottom style="mediumDashed">
        <color indexed="64"/>
      </bottom>
      <diagonal/>
    </border>
    <border>
      <left style="thin">
        <color indexed="64"/>
      </left>
      <right/>
      <top style="thin">
        <color indexed="64"/>
      </top>
      <bottom style="mediumDashed">
        <color indexed="64"/>
      </bottom>
      <diagonal/>
    </border>
    <border>
      <left/>
      <right style="medium">
        <color indexed="64"/>
      </right>
      <top/>
      <bottom style="mediumDashed">
        <color indexed="64"/>
      </bottom>
      <diagonal/>
    </border>
    <border>
      <left style="medium">
        <color indexed="64"/>
      </left>
      <right style="thin">
        <color indexed="64"/>
      </right>
      <top style="mediumDashed">
        <color indexed="64"/>
      </top>
      <bottom style="thin">
        <color indexed="64"/>
      </bottom>
      <diagonal/>
    </border>
    <border>
      <left style="thin">
        <color indexed="64"/>
      </left>
      <right style="thin">
        <color indexed="64"/>
      </right>
      <top style="mediumDashed">
        <color indexed="64"/>
      </top>
      <bottom style="thin">
        <color indexed="64"/>
      </bottom>
      <diagonal/>
    </border>
    <border>
      <left style="thin">
        <color indexed="64"/>
      </left>
      <right/>
      <top style="mediumDashed">
        <color indexed="64"/>
      </top>
      <bottom style="thin">
        <color indexed="64"/>
      </bottom>
      <diagonal/>
    </border>
    <border>
      <left/>
      <right style="medium">
        <color indexed="64"/>
      </right>
      <top style="mediumDashed">
        <color indexed="64"/>
      </top>
      <bottom/>
      <diagonal/>
    </border>
    <border>
      <left style="medium">
        <color indexed="64"/>
      </left>
      <right/>
      <top style="mediumDashed">
        <color indexed="64"/>
      </top>
      <bottom/>
      <diagonal/>
    </border>
    <border>
      <left style="thin">
        <color indexed="64"/>
      </left>
      <right/>
      <top style="mediumDashed">
        <color indexed="64"/>
      </top>
      <bottom/>
      <diagonal/>
    </border>
    <border>
      <left style="thin">
        <color indexed="64"/>
      </left>
      <right style="thin">
        <color indexed="64"/>
      </right>
      <top style="mediumDashed">
        <color indexed="64"/>
      </top>
      <bottom/>
      <diagonal/>
    </border>
    <border>
      <left/>
      <right style="medium">
        <color indexed="64"/>
      </right>
      <top style="mediumDashed">
        <color indexed="64"/>
      </top>
      <bottom style="thin">
        <color indexed="64"/>
      </bottom>
      <diagonal/>
    </border>
    <border>
      <left/>
      <right style="medium">
        <color indexed="64"/>
      </right>
      <top style="thin">
        <color indexed="64"/>
      </top>
      <bottom style="mediumDashed">
        <color indexed="64"/>
      </bottom>
      <diagonal/>
    </border>
    <border>
      <left/>
      <right/>
      <top style="dotted">
        <color indexed="64"/>
      </top>
      <bottom/>
      <diagonal/>
    </border>
    <border>
      <left/>
      <right style="dotted">
        <color indexed="64"/>
      </right>
      <top style="dotted">
        <color indexed="64"/>
      </top>
      <bottom/>
      <diagonal/>
    </border>
    <border>
      <left style="thin">
        <color indexed="64"/>
      </left>
      <right/>
      <top style="double">
        <color indexed="64"/>
      </top>
      <bottom/>
      <diagonal/>
    </border>
    <border>
      <left/>
      <right style="thin">
        <color indexed="64"/>
      </right>
      <top style="double">
        <color indexed="64"/>
      </top>
      <bottom/>
      <diagonal/>
    </border>
    <border>
      <left style="dotted">
        <color indexed="64"/>
      </left>
      <right/>
      <top/>
      <bottom/>
      <diagonal/>
    </border>
    <border>
      <left style="dotted">
        <color indexed="64"/>
      </left>
      <right/>
      <top style="dotted">
        <color indexed="64"/>
      </top>
      <bottom/>
      <diagonal/>
    </border>
    <border>
      <left style="double">
        <color indexed="64"/>
      </left>
      <right style="double">
        <color indexed="64"/>
      </right>
      <top style="double">
        <color indexed="64"/>
      </top>
      <bottom style="double">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right/>
      <top style="mediumDashDot">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top/>
      <bottom style="slantDashDot">
        <color auto="1"/>
      </bottom>
      <diagonal/>
    </border>
    <border>
      <left style="slantDashDot">
        <color auto="1"/>
      </left>
      <right/>
      <top/>
      <bottom style="slantDashDot">
        <color auto="1"/>
      </bottom>
      <diagonal/>
    </border>
    <border>
      <left style="slantDashDot">
        <color auto="1"/>
      </left>
      <right/>
      <top/>
      <bottom/>
      <diagonal/>
    </border>
    <border>
      <left style="slantDashDot">
        <color auto="1"/>
      </left>
      <right style="thin">
        <color rgb="FFDFE8ED"/>
      </right>
      <top style="medium">
        <color rgb="FFDFE8ED"/>
      </top>
      <bottom/>
      <diagonal/>
    </border>
    <border>
      <left style="thin">
        <color rgb="FFDFE8ED"/>
      </left>
      <right style="thin">
        <color rgb="FFDFE8ED"/>
      </right>
      <top style="medium">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slantDashDot">
        <color auto="1"/>
      </left>
      <right style="thin">
        <color rgb="FFDFE8ED"/>
      </right>
      <top/>
      <bottom style="thin">
        <color rgb="FFDFE8ED"/>
      </bottom>
      <diagonal/>
    </border>
    <border>
      <left style="slantDashDot">
        <color auto="1"/>
      </left>
      <right/>
      <top/>
      <bottom style="thin">
        <color indexed="64"/>
      </bottom>
      <diagonal/>
    </border>
    <border>
      <left style="thin">
        <color rgb="FFDFE8ED"/>
      </left>
      <right/>
      <top style="medium">
        <color rgb="FFDFE8ED"/>
      </top>
      <bottom style="thin">
        <color rgb="FFDFE8ED"/>
      </bottom>
      <diagonal/>
    </border>
    <border>
      <left style="thin">
        <color rgb="FFDFE8ED"/>
      </left>
      <right style="medium">
        <color rgb="FFDFE8ED"/>
      </right>
      <top style="thin">
        <color rgb="FFDFE8ED"/>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indexed="64"/>
      </top>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indexed="64"/>
      </bottom>
      <diagonal/>
    </border>
    <border>
      <left style="thin">
        <color rgb="FFDFE8ED"/>
      </left>
      <right style="medium">
        <color rgb="FFDFE8ED"/>
      </right>
      <top style="thin">
        <color rgb="FFDFE8ED"/>
      </top>
      <bottom style="medium">
        <color indexed="64"/>
      </bottom>
      <diagonal/>
    </border>
    <border>
      <left style="slantDashDot">
        <color auto="1"/>
      </left>
      <right/>
      <top/>
      <bottom style="medium">
        <color indexed="64"/>
      </bottom>
      <diagonal/>
    </border>
    <border>
      <left style="thin">
        <color rgb="FFDFE8ED"/>
      </left>
      <right style="thin">
        <color rgb="FFDFE8ED"/>
      </right>
      <top/>
      <bottom style="medium">
        <color rgb="FFDFE8ED"/>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medium">
        <color indexed="64"/>
      </left>
      <right style="thin">
        <color indexed="64"/>
      </right>
      <top style="double">
        <color indexed="64"/>
      </top>
      <bottom style="thin">
        <color indexed="64"/>
      </bottom>
      <diagonal/>
    </border>
    <border>
      <left/>
      <right style="medium">
        <color indexed="64"/>
      </right>
      <top style="double">
        <color indexed="64"/>
      </top>
      <bottom/>
      <diagonal/>
    </border>
    <border>
      <left/>
      <right style="medium">
        <color indexed="64"/>
      </right>
      <top/>
      <bottom style="double">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double">
        <color indexed="64"/>
      </top>
      <bottom/>
      <diagonal style="thin">
        <color indexed="64"/>
      </diagonal>
    </border>
    <border diagonalDown="1">
      <left/>
      <right style="thin">
        <color indexed="64"/>
      </right>
      <top style="double">
        <color indexed="64"/>
      </top>
      <bottom/>
      <diagonal style="thin">
        <color indexed="64"/>
      </diagonal>
    </border>
    <border>
      <left style="medium">
        <color indexed="64"/>
      </left>
      <right/>
      <top/>
      <bottom style="double">
        <color indexed="64"/>
      </bottom>
      <diagonal/>
    </border>
    <border>
      <left/>
      <right/>
      <top style="double">
        <color indexed="64"/>
      </top>
      <bottom style="thin">
        <color indexed="64"/>
      </bottom>
      <diagonal/>
    </border>
    <border>
      <left style="slantDashDot">
        <color auto="1"/>
      </left>
      <right style="thin">
        <color rgb="FFDFE8ED"/>
      </right>
      <top/>
      <bottom style="medium">
        <color rgb="FFDFE8ED"/>
      </bottom>
      <diagonal/>
    </border>
    <border>
      <left style="medium">
        <color indexed="64"/>
      </left>
      <right/>
      <top style="double">
        <color rgb="FFFF0000"/>
      </top>
      <bottom style="medium">
        <color indexed="64"/>
      </bottom>
      <diagonal/>
    </border>
    <border>
      <left style="thin">
        <color indexed="64"/>
      </left>
      <right style="medium">
        <color indexed="64"/>
      </right>
      <top style="double">
        <color rgb="FFFF0000"/>
      </top>
      <bottom style="medium">
        <color indexed="64"/>
      </bottom>
      <diagonal/>
    </border>
    <border>
      <left/>
      <right/>
      <top style="double">
        <color rgb="FFFF0000"/>
      </top>
      <bottom/>
      <diagonal/>
    </border>
    <border>
      <left/>
      <right/>
      <top style="double">
        <color theme="1"/>
      </top>
      <bottom style="double">
        <color rgb="FFFF0000"/>
      </bottom>
      <diagonal/>
    </border>
    <border>
      <left/>
      <right/>
      <top/>
      <bottom style="double">
        <color rgb="FFFF0000"/>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bottom/>
      <diagonal/>
    </border>
  </borders>
  <cellStyleXfs count="14">
    <xf numFmtId="0" fontId="0" fillId="0" borderId="0">
      <alignment vertical="center"/>
    </xf>
    <xf numFmtId="0" fontId="93" fillId="0" borderId="0">
      <alignment vertical="center"/>
    </xf>
    <xf numFmtId="0" fontId="93" fillId="0" borderId="0"/>
    <xf numFmtId="0" fontId="93" fillId="0" borderId="0">
      <alignment vertical="center"/>
    </xf>
    <xf numFmtId="0" fontId="30" fillId="0" borderId="0"/>
    <xf numFmtId="0" fontId="93" fillId="0" borderId="0">
      <alignment vertical="center"/>
    </xf>
    <xf numFmtId="0" fontId="93" fillId="0" borderId="0">
      <alignment vertical="center"/>
    </xf>
    <xf numFmtId="0" fontId="3" fillId="0" borderId="0">
      <alignment vertical="center"/>
    </xf>
    <xf numFmtId="0" fontId="93" fillId="0" borderId="0">
      <alignment vertical="center"/>
    </xf>
    <xf numFmtId="0" fontId="93" fillId="0" borderId="0"/>
    <xf numFmtId="0" fontId="93" fillId="0" borderId="0">
      <alignment vertical="center"/>
    </xf>
    <xf numFmtId="0" fontId="2" fillId="0" borderId="0">
      <alignment vertical="center"/>
    </xf>
    <xf numFmtId="0" fontId="1" fillId="0" borderId="0">
      <alignment vertical="center"/>
    </xf>
    <xf numFmtId="0" fontId="170" fillId="0" borderId="0"/>
  </cellStyleXfs>
  <cellXfs count="3559">
    <xf numFmtId="0" fontId="0" fillId="0" borderId="0" xfId="0">
      <alignment vertical="center"/>
    </xf>
    <xf numFmtId="0" fontId="0" fillId="0" borderId="0" xfId="0" applyAlignment="1">
      <alignment vertical="center" wrapText="1"/>
    </xf>
    <xf numFmtId="0" fontId="96" fillId="0" borderId="1" xfId="0" applyFont="1" applyBorder="1" applyAlignment="1">
      <alignment vertical="center" wrapText="1"/>
    </xf>
    <xf numFmtId="0" fontId="96" fillId="0" borderId="1" xfId="0" applyFont="1" applyBorder="1" applyAlignment="1">
      <alignment horizontal="center" vertical="center" wrapText="1"/>
    </xf>
    <xf numFmtId="0" fontId="98" fillId="5" borderId="49" xfId="0" applyFont="1" applyFill="1" applyBorder="1" applyAlignment="1" applyProtection="1">
      <alignment horizontal="center" vertical="center" wrapText="1"/>
    </xf>
    <xf numFmtId="0" fontId="98" fillId="5" borderId="0" xfId="0" applyFont="1" applyFill="1" applyAlignment="1" applyProtection="1">
      <alignment horizontal="center" vertical="center" wrapText="1"/>
    </xf>
    <xf numFmtId="0" fontId="39" fillId="5" borderId="0" xfId="0" applyNumberFormat="1" applyFont="1" applyFill="1" applyBorder="1" applyAlignment="1" applyProtection="1">
      <alignment horizontal="center" vertical="center" wrapText="1"/>
    </xf>
    <xf numFmtId="0" fontId="98" fillId="5" borderId="0" xfId="0" applyFont="1" applyFill="1" applyAlignment="1" applyProtection="1">
      <alignment horizontal="center" vertical="center"/>
    </xf>
    <xf numFmtId="0" fontId="98" fillId="5" borderId="0" xfId="0" applyFont="1" applyFill="1" applyBorder="1" applyAlignment="1" applyProtection="1">
      <alignment horizontal="center" vertical="center"/>
    </xf>
    <xf numFmtId="0" fontId="98" fillId="5" borderId="0" xfId="0" applyFont="1" applyFill="1" applyProtection="1">
      <alignment vertical="center"/>
    </xf>
    <xf numFmtId="0" fontId="42" fillId="5" borderId="1" xfId="0" applyFont="1" applyFill="1" applyBorder="1" applyAlignment="1" applyProtection="1">
      <alignment horizontal="center" vertical="center" wrapText="1"/>
    </xf>
    <xf numFmtId="0" fontId="42" fillId="0" borderId="0" xfId="0" applyFont="1" applyAlignment="1" applyProtection="1">
      <alignment horizontal="center" vertical="center" wrapText="1"/>
      <protection locked="0"/>
    </xf>
    <xf numFmtId="0" fontId="42" fillId="5" borderId="2" xfId="0" applyFont="1" applyFill="1" applyBorder="1" applyAlignment="1" applyProtection="1">
      <alignment horizontal="left" vertical="center"/>
    </xf>
    <xf numFmtId="0" fontId="42" fillId="5" borderId="1" xfId="0" applyFont="1" applyFill="1" applyBorder="1" applyAlignment="1" applyProtection="1">
      <alignment horizontal="center" vertical="center"/>
    </xf>
    <xf numFmtId="0" fontId="42" fillId="5" borderId="18" xfId="0" applyFont="1" applyFill="1" applyBorder="1" applyAlignment="1" applyProtection="1">
      <alignment horizontal="center" vertical="center"/>
    </xf>
    <xf numFmtId="0" fontId="42" fillId="5" borderId="41" xfId="0" applyFont="1" applyFill="1" applyBorder="1" applyAlignment="1" applyProtection="1">
      <alignment horizontal="center" vertical="center"/>
    </xf>
    <xf numFmtId="0" fontId="42" fillId="0" borderId="0" xfId="0" applyFont="1" applyAlignment="1" applyProtection="1">
      <alignment horizontal="center" vertical="center"/>
      <protection locked="0"/>
    </xf>
    <xf numFmtId="0" fontId="42" fillId="5" borderId="17" xfId="0" applyFont="1" applyFill="1" applyBorder="1" applyAlignment="1" applyProtection="1">
      <alignment horizontal="center" vertical="center"/>
    </xf>
    <xf numFmtId="0" fontId="39" fillId="0" borderId="0" xfId="0" applyFont="1" applyFill="1" applyBorder="1" applyAlignment="1" applyProtection="1">
      <alignment horizontal="center" vertical="center" wrapText="1"/>
      <protection locked="0"/>
    </xf>
    <xf numFmtId="0" fontId="39" fillId="5" borderId="1" xfId="0" applyFont="1" applyFill="1" applyBorder="1" applyAlignment="1" applyProtection="1">
      <alignment horizontal="center" vertical="center"/>
    </xf>
    <xf numFmtId="0" fontId="42" fillId="0" borderId="1" xfId="0" applyFont="1" applyBorder="1" applyAlignment="1" applyProtection="1">
      <alignment horizontal="center" vertical="center"/>
      <protection locked="0"/>
    </xf>
    <xf numFmtId="0" fontId="41" fillId="5" borderId="10" xfId="0" applyFont="1" applyFill="1" applyBorder="1" applyAlignment="1" applyProtection="1">
      <alignment vertical="center" wrapText="1"/>
    </xf>
    <xf numFmtId="0" fontId="39" fillId="5" borderId="12" xfId="0" applyFont="1" applyFill="1" applyBorder="1" applyAlignment="1" applyProtection="1">
      <alignment horizontal="center" vertical="center" wrapText="1"/>
    </xf>
    <xf numFmtId="0" fontId="39" fillId="5" borderId="31" xfId="0" applyFont="1" applyFill="1" applyBorder="1" applyAlignment="1" applyProtection="1">
      <alignment horizontal="center" vertical="center" wrapText="1"/>
    </xf>
    <xf numFmtId="0" fontId="39" fillId="5" borderId="13" xfId="0" applyFont="1" applyFill="1" applyBorder="1" applyAlignment="1" applyProtection="1">
      <alignment horizontal="center" vertical="center" wrapText="1"/>
    </xf>
    <xf numFmtId="0" fontId="39" fillId="0" borderId="0" xfId="0" applyFont="1" applyFill="1" applyAlignment="1" applyProtection="1">
      <alignment horizontal="center" vertical="center"/>
      <protection locked="0"/>
    </xf>
    <xf numFmtId="0" fontId="42" fillId="0" borderId="0" xfId="0" applyFont="1" applyFill="1" applyAlignment="1" applyProtection="1">
      <alignment horizontal="center" vertical="center"/>
      <protection locked="0"/>
    </xf>
    <xf numFmtId="0" fontId="39" fillId="0" borderId="0" xfId="0" applyNumberFormat="1" applyFont="1" applyFill="1" applyBorder="1" applyAlignment="1" applyProtection="1">
      <alignment horizontal="center" vertical="center" wrapText="1"/>
      <protection locked="0"/>
    </xf>
    <xf numFmtId="0" fontId="39" fillId="5" borderId="31" xfId="0" applyNumberFormat="1" applyFont="1" applyFill="1" applyBorder="1" applyAlignment="1" applyProtection="1">
      <alignment horizontal="center" vertical="center" wrapText="1"/>
    </xf>
    <xf numFmtId="0" fontId="39" fillId="5" borderId="6" xfId="0" applyNumberFormat="1" applyFont="1" applyFill="1" applyBorder="1" applyAlignment="1" applyProtection="1">
      <alignment horizontal="center" vertical="center" wrapText="1"/>
    </xf>
    <xf numFmtId="0" fontId="39" fillId="5" borderId="43" xfId="0" applyNumberFormat="1" applyFont="1" applyFill="1" applyBorder="1" applyAlignment="1" applyProtection="1">
      <alignment horizontal="center" vertical="center" wrapText="1"/>
    </xf>
    <xf numFmtId="0" fontId="42" fillId="5" borderId="0" xfId="0" applyFont="1" applyFill="1" applyProtection="1">
      <alignment vertical="center"/>
      <protection locked="0"/>
    </xf>
    <xf numFmtId="0" fontId="42" fillId="0" borderId="0" xfId="0" applyFont="1" applyProtection="1">
      <alignment vertical="center"/>
      <protection locked="0"/>
    </xf>
    <xf numFmtId="0" fontId="42" fillId="5" borderId="2" xfId="0" applyFont="1" applyFill="1" applyBorder="1" applyAlignment="1" applyProtection="1">
      <alignment vertical="center"/>
    </xf>
    <xf numFmtId="0" fontId="42" fillId="5" borderId="1" xfId="0" applyFont="1" applyFill="1" applyBorder="1" applyProtection="1">
      <alignment vertical="center"/>
    </xf>
    <xf numFmtId="0" fontId="42" fillId="0" borderId="1" xfId="0" applyFont="1" applyBorder="1" applyProtection="1">
      <alignment vertical="center"/>
      <protection locked="0"/>
    </xf>
    <xf numFmtId="0" fontId="42" fillId="5" borderId="18" xfId="0" applyFont="1" applyFill="1" applyBorder="1" applyAlignment="1" applyProtection="1">
      <alignment vertical="center"/>
    </xf>
    <xf numFmtId="0" fontId="42" fillId="5" borderId="0" xfId="0" applyFont="1" applyFill="1" applyAlignment="1" applyProtection="1">
      <alignment horizontal="center" vertical="center"/>
      <protection locked="0"/>
    </xf>
    <xf numFmtId="0" fontId="47" fillId="5" borderId="39" xfId="0" applyFont="1" applyFill="1" applyBorder="1" applyAlignment="1" applyProtection="1">
      <alignment horizontal="left" vertical="center" wrapText="1"/>
    </xf>
    <xf numFmtId="0" fontId="47" fillId="5" borderId="65" xfId="0" applyFont="1" applyFill="1" applyBorder="1" applyAlignment="1" applyProtection="1">
      <alignment horizontal="left" vertical="center" wrapText="1"/>
    </xf>
    <xf numFmtId="0" fontId="47" fillId="5" borderId="24" xfId="0" applyFont="1" applyFill="1" applyBorder="1" applyAlignment="1" applyProtection="1">
      <alignment horizontal="left" vertical="center" wrapText="1"/>
    </xf>
    <xf numFmtId="0" fontId="47" fillId="5" borderId="1" xfId="0" applyFont="1" applyFill="1" applyBorder="1" applyAlignment="1" applyProtection="1">
      <alignment horizontal="left" vertical="center" wrapText="1"/>
    </xf>
    <xf numFmtId="0" fontId="42" fillId="5" borderId="35" xfId="0" applyFont="1" applyFill="1" applyBorder="1" applyAlignment="1" applyProtection="1">
      <alignment vertical="center"/>
    </xf>
    <xf numFmtId="0" fontId="42" fillId="5" borderId="60" xfId="0" applyFont="1" applyFill="1" applyBorder="1" applyAlignment="1" applyProtection="1">
      <alignment vertical="center"/>
    </xf>
    <xf numFmtId="0" fontId="42" fillId="5" borderId="2" xfId="0" applyFont="1" applyFill="1" applyBorder="1" applyAlignment="1" applyProtection="1">
      <alignment horizontal="right" vertical="center"/>
    </xf>
    <xf numFmtId="0" fontId="42" fillId="5" borderId="31" xfId="0" applyFont="1" applyFill="1" applyBorder="1" applyAlignment="1" applyProtection="1">
      <alignment horizontal="left" vertical="center" wrapText="1"/>
    </xf>
    <xf numFmtId="0" fontId="49" fillId="5" borderId="23" xfId="0" applyFont="1" applyFill="1" applyBorder="1" applyAlignment="1" applyProtection="1">
      <alignment horizontal="left" vertical="center" wrapText="1"/>
    </xf>
    <xf numFmtId="0" fontId="49" fillId="5" borderId="17" xfId="0" applyFont="1" applyFill="1" applyBorder="1" applyAlignment="1" applyProtection="1">
      <alignment horizontal="left" vertical="center" wrapText="1"/>
    </xf>
    <xf numFmtId="0" fontId="42" fillId="5" borderId="34" xfId="0" applyFont="1" applyFill="1" applyBorder="1" applyAlignment="1" applyProtection="1">
      <alignment horizontal="left" vertical="center" wrapText="1"/>
    </xf>
    <xf numFmtId="49" fontId="42" fillId="5" borderId="7" xfId="0" applyNumberFormat="1" applyFont="1" applyFill="1" applyBorder="1" applyAlignment="1" applyProtection="1">
      <alignment horizontal="left" vertical="center" wrapText="1"/>
    </xf>
    <xf numFmtId="0" fontId="48" fillId="5" borderId="1" xfId="0" applyFont="1" applyFill="1" applyBorder="1" applyAlignment="1" applyProtection="1">
      <alignment horizontal="left" vertical="center" wrapText="1"/>
    </xf>
    <xf numFmtId="0" fontId="48" fillId="5" borderId="1" xfId="0" applyFont="1" applyFill="1" applyBorder="1" applyAlignment="1" applyProtection="1">
      <alignment horizontal="center" vertical="center" wrapText="1"/>
    </xf>
    <xf numFmtId="0" fontId="42" fillId="5" borderId="6" xfId="0" applyFont="1" applyFill="1" applyBorder="1" applyAlignment="1" applyProtection="1">
      <alignment horizontal="left" vertical="center" wrapText="1"/>
    </xf>
    <xf numFmtId="49" fontId="47" fillId="5" borderId="7" xfId="0" applyNumberFormat="1" applyFont="1" applyFill="1" applyBorder="1" applyAlignment="1" applyProtection="1">
      <alignment horizontal="left" vertical="center" wrapText="1"/>
    </xf>
    <xf numFmtId="0" fontId="49" fillId="5" borderId="1" xfId="0" applyFont="1" applyFill="1" applyBorder="1" applyAlignment="1" applyProtection="1">
      <alignment horizontal="left" vertical="center" wrapText="1"/>
    </xf>
    <xf numFmtId="49" fontId="47" fillId="5" borderId="8" xfId="0" applyNumberFormat="1" applyFont="1" applyFill="1" applyBorder="1" applyAlignment="1" applyProtection="1">
      <alignment horizontal="left" vertical="center" wrapText="1"/>
    </xf>
    <xf numFmtId="0" fontId="49" fillId="5" borderId="61" xfId="0" applyFont="1" applyFill="1" applyBorder="1" applyAlignment="1" applyProtection="1">
      <alignment horizontal="left" vertical="center" wrapText="1"/>
    </xf>
    <xf numFmtId="0" fontId="42" fillId="5" borderId="43" xfId="0" applyFont="1" applyFill="1" applyBorder="1" applyAlignment="1" applyProtection="1">
      <alignment horizontal="left" vertical="center"/>
    </xf>
    <xf numFmtId="0" fontId="42" fillId="5" borderId="13" xfId="0" applyFont="1" applyFill="1" applyBorder="1" applyAlignment="1" applyProtection="1">
      <alignment horizontal="left" vertical="center" wrapText="1"/>
    </xf>
    <xf numFmtId="0" fontId="42" fillId="5" borderId="47" xfId="0" applyFont="1" applyFill="1" applyBorder="1" applyAlignment="1" applyProtection="1">
      <alignment horizontal="left" vertical="center" wrapText="1"/>
    </xf>
    <xf numFmtId="0" fontId="39" fillId="5" borderId="38" xfId="2" applyFont="1" applyFill="1" applyBorder="1" applyAlignment="1" applyProtection="1">
      <alignment horizontal="left" vertical="center" wrapText="1"/>
    </xf>
    <xf numFmtId="0" fontId="49" fillId="5" borderId="7" xfId="0" applyFont="1" applyFill="1" applyBorder="1" applyAlignment="1" applyProtection="1">
      <alignment horizontal="left" vertical="center" wrapText="1"/>
    </xf>
    <xf numFmtId="0" fontId="39" fillId="5" borderId="41" xfId="2" applyFont="1" applyFill="1" applyBorder="1" applyAlignment="1" applyProtection="1">
      <alignment horizontal="left" vertical="center" wrapText="1"/>
    </xf>
    <xf numFmtId="0" fontId="47" fillId="5" borderId="7" xfId="0" applyFont="1" applyFill="1" applyBorder="1" applyAlignment="1" applyProtection="1">
      <alignment horizontal="left" vertical="center" wrapText="1"/>
    </xf>
    <xf numFmtId="0" fontId="39" fillId="5" borderId="1" xfId="2" applyFont="1" applyFill="1" applyBorder="1" applyAlignment="1" applyProtection="1">
      <alignment horizontal="left" vertical="center" wrapText="1"/>
    </xf>
    <xf numFmtId="0" fontId="48" fillId="5" borderId="17" xfId="0" applyFont="1" applyFill="1" applyBorder="1" applyAlignment="1" applyProtection="1">
      <alignment horizontal="left" vertical="center" wrapText="1"/>
    </xf>
    <xf numFmtId="49" fontId="47" fillId="5" borderId="8" xfId="0" applyNumberFormat="1" applyFont="1" applyFill="1" applyBorder="1" applyAlignment="1" applyProtection="1">
      <alignment vertical="center" wrapText="1"/>
    </xf>
    <xf numFmtId="0" fontId="47" fillId="5" borderId="61" xfId="0" applyFont="1" applyFill="1" applyBorder="1" applyAlignment="1" applyProtection="1">
      <alignment horizontal="center" vertical="center" wrapText="1"/>
    </xf>
    <xf numFmtId="0" fontId="48" fillId="5" borderId="61" xfId="0" applyFont="1" applyFill="1" applyBorder="1" applyAlignment="1" applyProtection="1">
      <alignment horizontal="center" vertical="center" wrapText="1"/>
    </xf>
    <xf numFmtId="0" fontId="42" fillId="5" borderId="44" xfId="0" applyFont="1" applyFill="1" applyBorder="1" applyAlignment="1" applyProtection="1">
      <alignment horizontal="left" vertical="center"/>
    </xf>
    <xf numFmtId="0" fontId="42" fillId="5" borderId="48" xfId="0" applyFont="1" applyFill="1" applyBorder="1" applyAlignment="1" applyProtection="1">
      <alignment horizontal="left" vertical="center" wrapText="1"/>
    </xf>
    <xf numFmtId="0" fontId="39" fillId="5" borderId="62" xfId="2" applyFont="1" applyFill="1" applyBorder="1" applyAlignment="1" applyProtection="1">
      <alignment horizontal="left" vertical="center" wrapText="1"/>
    </xf>
    <xf numFmtId="0" fontId="42" fillId="5" borderId="38" xfId="2" applyFont="1" applyFill="1" applyBorder="1" applyAlignment="1" applyProtection="1">
      <alignment horizontal="left" vertical="center" wrapText="1"/>
    </xf>
    <xf numFmtId="0" fontId="42" fillId="5" borderId="41" xfId="2" applyFont="1" applyFill="1" applyBorder="1" applyAlignment="1" applyProtection="1">
      <alignment horizontal="left" vertical="center" wrapText="1"/>
    </xf>
    <xf numFmtId="10" fontId="42" fillId="5" borderId="2" xfId="0" applyNumberFormat="1" applyFont="1" applyFill="1" applyBorder="1" applyAlignment="1" applyProtection="1">
      <alignment horizontal="left" vertical="center"/>
    </xf>
    <xf numFmtId="0" fontId="50" fillId="5" borderId="0" xfId="0" applyFont="1" applyFill="1" applyBorder="1" applyAlignment="1" applyProtection="1">
      <alignment horizontal="left" vertical="center"/>
    </xf>
    <xf numFmtId="0" fontId="42" fillId="5" borderId="62" xfId="2" applyFont="1" applyFill="1" applyBorder="1" applyAlignment="1" applyProtection="1">
      <alignment horizontal="left" vertical="center" wrapText="1"/>
    </xf>
    <xf numFmtId="0" fontId="100" fillId="5" borderId="46" xfId="1" applyFont="1" applyFill="1" applyBorder="1" applyAlignment="1" applyProtection="1">
      <alignment vertical="center"/>
    </xf>
    <xf numFmtId="0" fontId="52" fillId="5" borderId="37" xfId="1" applyFont="1" applyFill="1" applyBorder="1" applyAlignment="1" applyProtection="1">
      <alignment vertical="center"/>
    </xf>
    <xf numFmtId="0" fontId="52" fillId="5" borderId="0" xfId="1" applyFont="1" applyFill="1" applyBorder="1" applyAlignment="1" applyProtection="1">
      <alignment vertical="center"/>
    </xf>
    <xf numFmtId="0" fontId="53" fillId="3" borderId="0" xfId="0" applyFont="1" applyFill="1" applyAlignment="1" applyProtection="1">
      <alignment vertical="center"/>
      <protection locked="0"/>
    </xf>
    <xf numFmtId="0" fontId="52" fillId="5" borderId="1" xfId="1" applyFont="1" applyFill="1" applyBorder="1" applyAlignment="1" applyProtection="1">
      <alignment vertical="center"/>
    </xf>
    <xf numFmtId="177" fontId="52" fillId="5" borderId="1" xfId="1" applyNumberFormat="1" applyFont="1" applyFill="1" applyBorder="1" applyAlignment="1" applyProtection="1">
      <alignment horizontal="right" vertical="center"/>
    </xf>
    <xf numFmtId="0" fontId="52" fillId="5" borderId="18" xfId="1" applyFont="1" applyFill="1" applyBorder="1" applyAlignment="1" applyProtection="1">
      <alignment vertical="center"/>
    </xf>
    <xf numFmtId="0" fontId="52" fillId="5" borderId="18" xfId="1" applyFont="1" applyFill="1" applyBorder="1" applyAlignment="1" applyProtection="1">
      <alignment horizontal="right" vertical="center"/>
    </xf>
    <xf numFmtId="49" fontId="52" fillId="5" borderId="46" xfId="1" applyNumberFormat="1" applyFont="1" applyFill="1" applyBorder="1" applyAlignment="1" applyProtection="1"/>
    <xf numFmtId="49" fontId="52" fillId="5" borderId="47" xfId="1" applyNumberFormat="1" applyFont="1" applyFill="1" applyBorder="1" applyAlignment="1" applyProtection="1"/>
    <xf numFmtId="49" fontId="52" fillId="5" borderId="38" xfId="1" applyNumberFormat="1" applyFont="1" applyFill="1" applyBorder="1" applyAlignment="1" applyProtection="1"/>
    <xf numFmtId="0" fontId="52" fillId="3" borderId="0" xfId="0" applyFont="1" applyFill="1" applyAlignment="1" applyProtection="1">
      <alignment vertical="center"/>
      <protection locked="0"/>
    </xf>
    <xf numFmtId="0" fontId="49" fillId="5" borderId="2" xfId="1" applyFont="1" applyFill="1" applyBorder="1" applyAlignment="1" applyProtection="1"/>
    <xf numFmtId="0" fontId="49" fillId="5" borderId="6" xfId="1" applyFont="1" applyFill="1" applyBorder="1" applyAlignment="1" applyProtection="1">
      <alignment horizontal="left"/>
    </xf>
    <xf numFmtId="0" fontId="49" fillId="3" borderId="0" xfId="0" applyFont="1" applyFill="1" applyAlignment="1" applyProtection="1">
      <alignment vertical="center"/>
      <protection locked="0"/>
    </xf>
    <xf numFmtId="49" fontId="48" fillId="5" borderId="7" xfId="1" applyNumberFormat="1" applyFont="1" applyFill="1" applyBorder="1" applyAlignment="1" applyProtection="1">
      <alignment horizontal="left"/>
    </xf>
    <xf numFmtId="0" fontId="48" fillId="5" borderId="2" xfId="1" applyFont="1" applyFill="1" applyBorder="1" applyAlignment="1" applyProtection="1"/>
    <xf numFmtId="0" fontId="48" fillId="5" borderId="1" xfId="1" applyFont="1" applyFill="1" applyBorder="1" applyAlignment="1" applyProtection="1">
      <alignment horizontal="center"/>
    </xf>
    <xf numFmtId="0" fontId="48" fillId="5" borderId="6" xfId="1" applyFont="1" applyFill="1" applyBorder="1" applyAlignment="1" applyProtection="1">
      <alignment horizontal="left"/>
    </xf>
    <xf numFmtId="0" fontId="49" fillId="0" borderId="0" xfId="0" applyFont="1" applyFill="1" applyAlignment="1" applyProtection="1">
      <alignment vertical="center"/>
      <protection locked="0"/>
    </xf>
    <xf numFmtId="0" fontId="54" fillId="5" borderId="2" xfId="1" applyFont="1" applyFill="1" applyBorder="1" applyAlignment="1" applyProtection="1"/>
    <xf numFmtId="0" fontId="48" fillId="5" borderId="6" xfId="1" applyFont="1" applyFill="1" applyBorder="1" applyAlignment="1" applyProtection="1">
      <alignment vertical="center" wrapText="1"/>
    </xf>
    <xf numFmtId="0" fontId="49" fillId="5" borderId="1" xfId="0" applyFont="1" applyFill="1" applyBorder="1" applyAlignment="1" applyProtection="1">
      <alignment horizontal="center" vertical="center"/>
    </xf>
    <xf numFmtId="0" fontId="49" fillId="5" borderId="6" xfId="0" applyFont="1" applyFill="1" applyBorder="1" applyAlignment="1" applyProtection="1">
      <alignment vertical="center"/>
    </xf>
    <xf numFmtId="0" fontId="49" fillId="5" borderId="1" xfId="0" applyFont="1" applyFill="1" applyBorder="1" applyAlignment="1" applyProtection="1">
      <alignment horizontal="right" vertical="center"/>
    </xf>
    <xf numFmtId="0" fontId="49" fillId="5" borderId="1" xfId="0" applyFont="1" applyFill="1" applyBorder="1" applyAlignment="1" applyProtection="1">
      <alignment horizontal="left" vertical="center"/>
    </xf>
    <xf numFmtId="10" fontId="49" fillId="5" borderId="2" xfId="1" applyNumberFormat="1" applyFont="1" applyFill="1" applyBorder="1" applyAlignment="1" applyProtection="1">
      <alignment horizontal="center" vertical="center"/>
    </xf>
    <xf numFmtId="0" fontId="48" fillId="5" borderId="1" xfId="0" applyFont="1" applyFill="1" applyBorder="1" applyAlignment="1" applyProtection="1">
      <alignment horizontal="center" vertical="center"/>
    </xf>
    <xf numFmtId="179" fontId="48" fillId="5" borderId="2" xfId="1" applyNumberFormat="1" applyFont="1" applyFill="1" applyBorder="1" applyAlignment="1" applyProtection="1">
      <alignment horizontal="center" vertical="center"/>
    </xf>
    <xf numFmtId="0" fontId="48" fillId="5" borderId="6" xfId="0" applyFont="1" applyFill="1" applyBorder="1" applyAlignment="1" applyProtection="1">
      <alignment vertical="center"/>
    </xf>
    <xf numFmtId="0" fontId="49" fillId="5" borderId="1" xfId="0" applyFont="1" applyFill="1" applyBorder="1" applyAlignment="1" applyProtection="1">
      <alignment vertical="center"/>
    </xf>
    <xf numFmtId="0" fontId="48" fillId="5" borderId="58" xfId="0" applyFont="1" applyFill="1" applyBorder="1" applyAlignment="1" applyProtection="1">
      <alignment vertical="center" wrapText="1"/>
    </xf>
    <xf numFmtId="0" fontId="48" fillId="5" borderId="34" xfId="0" applyFont="1" applyFill="1" applyBorder="1" applyAlignment="1" applyProtection="1">
      <alignment vertical="center"/>
    </xf>
    <xf numFmtId="0" fontId="49" fillId="5" borderId="2" xfId="1" applyFont="1" applyFill="1" applyBorder="1" applyAlignment="1" applyProtection="1">
      <alignment vertical="center"/>
    </xf>
    <xf numFmtId="177" fontId="49" fillId="5" borderId="1" xfId="1" applyNumberFormat="1" applyFont="1" applyFill="1" applyBorder="1" applyAlignment="1" applyProtection="1">
      <alignment horizontal="center" vertical="center"/>
    </xf>
    <xf numFmtId="9" fontId="49" fillId="5" borderId="2" xfId="1" applyNumberFormat="1" applyFont="1" applyFill="1" applyBorder="1" applyAlignment="1" applyProtection="1">
      <alignment horizontal="center" vertical="center"/>
    </xf>
    <xf numFmtId="0" fontId="49" fillId="5" borderId="6" xfId="0" applyFont="1" applyFill="1" applyBorder="1" applyAlignment="1" applyProtection="1">
      <alignment vertical="center" wrapText="1"/>
    </xf>
    <xf numFmtId="0" fontId="48" fillId="5" borderId="2" xfId="1" applyFont="1" applyFill="1" applyBorder="1" applyAlignment="1" applyProtection="1">
      <alignment horizontal="left"/>
    </xf>
    <xf numFmtId="177" fontId="48" fillId="5" borderId="1" xfId="1" applyNumberFormat="1" applyFont="1" applyFill="1" applyBorder="1" applyAlignment="1" applyProtection="1">
      <alignment horizontal="center" vertical="center"/>
    </xf>
    <xf numFmtId="0" fontId="48" fillId="3" borderId="0" xfId="0" applyFont="1" applyFill="1" applyAlignment="1" applyProtection="1">
      <alignment vertical="center"/>
      <protection locked="0"/>
    </xf>
    <xf numFmtId="49" fontId="52" fillId="5" borderId="19" xfId="1" applyNumberFormat="1" applyFont="1" applyFill="1" applyBorder="1" applyAlignment="1" applyProtection="1"/>
    <xf numFmtId="49" fontId="52" fillId="5" borderId="51" xfId="1" applyNumberFormat="1" applyFont="1" applyFill="1" applyBorder="1" applyAlignment="1" applyProtection="1"/>
    <xf numFmtId="49" fontId="52" fillId="5" borderId="41" xfId="1" applyNumberFormat="1" applyFont="1" applyFill="1" applyBorder="1" applyAlignment="1" applyProtection="1"/>
    <xf numFmtId="49" fontId="49" fillId="5" borderId="7" xfId="1" applyNumberFormat="1" applyFont="1" applyFill="1" applyBorder="1" applyAlignment="1" applyProtection="1">
      <alignment horizontal="left"/>
    </xf>
    <xf numFmtId="177" fontId="49" fillId="5" borderId="1" xfId="0" applyNumberFormat="1" applyFont="1" applyFill="1" applyBorder="1" applyAlignment="1" applyProtection="1">
      <alignment horizontal="center" vertical="center"/>
    </xf>
    <xf numFmtId="0" fontId="48" fillId="0" borderId="0" xfId="0" applyFont="1" applyFill="1" applyAlignment="1" applyProtection="1">
      <alignment vertical="center"/>
      <protection locked="0"/>
    </xf>
    <xf numFmtId="0" fontId="48" fillId="5" borderId="6" xfId="0" applyFont="1" applyFill="1" applyBorder="1" applyAlignment="1" applyProtection="1">
      <alignment vertical="center" wrapText="1"/>
    </xf>
    <xf numFmtId="0" fontId="48" fillId="5" borderId="6" xfId="1" applyFont="1" applyFill="1" applyBorder="1" applyAlignment="1" applyProtection="1">
      <alignment horizontal="left" vertical="center"/>
    </xf>
    <xf numFmtId="185" fontId="49" fillId="5" borderId="1" xfId="0" applyNumberFormat="1" applyFont="1" applyFill="1" applyBorder="1" applyAlignment="1" applyProtection="1">
      <alignment horizontal="right" vertical="center"/>
    </xf>
    <xf numFmtId="10" fontId="49" fillId="5" borderId="1" xfId="1" applyNumberFormat="1" applyFont="1" applyFill="1" applyBorder="1" applyAlignment="1" applyProtection="1">
      <alignment horizontal="center" vertical="center"/>
    </xf>
    <xf numFmtId="49" fontId="52" fillId="5" borderId="20" xfId="1" applyNumberFormat="1" applyFont="1" applyFill="1" applyBorder="1" applyAlignment="1" applyProtection="1"/>
    <xf numFmtId="49" fontId="52" fillId="5" borderId="48" xfId="1" applyNumberFormat="1" applyFont="1" applyFill="1" applyBorder="1" applyAlignment="1" applyProtection="1"/>
    <xf numFmtId="177" fontId="49" fillId="5" borderId="61" xfId="0" applyNumberFormat="1" applyFont="1" applyFill="1" applyBorder="1" applyAlignment="1" applyProtection="1">
      <alignment horizontal="center" vertical="center"/>
    </xf>
    <xf numFmtId="49" fontId="52" fillId="5" borderId="62" xfId="1" applyNumberFormat="1" applyFont="1" applyFill="1" applyBorder="1" applyAlignment="1" applyProtection="1"/>
    <xf numFmtId="0" fontId="48" fillId="3" borderId="0" xfId="0" applyFont="1" applyFill="1" applyAlignment="1" applyProtection="1">
      <alignment horizontal="left" vertical="center"/>
      <protection locked="0"/>
    </xf>
    <xf numFmtId="0" fontId="55" fillId="5" borderId="1" xfId="0" applyFont="1" applyFill="1" applyBorder="1" applyAlignment="1" applyProtection="1">
      <alignment horizontal="left"/>
    </xf>
    <xf numFmtId="0" fontId="53" fillId="5" borderId="1" xfId="0" applyFont="1" applyFill="1" applyBorder="1" applyAlignment="1" applyProtection="1">
      <alignment horizontal="center" vertical="center"/>
    </xf>
    <xf numFmtId="0" fontId="48" fillId="3" borderId="0" xfId="0" applyFont="1" applyFill="1" applyAlignment="1" applyProtection="1">
      <alignment horizontal="center" vertical="center"/>
      <protection locked="0"/>
    </xf>
    <xf numFmtId="0" fontId="42" fillId="5" borderId="1" xfId="0" applyFont="1" applyFill="1" applyBorder="1" applyAlignment="1" applyProtection="1"/>
    <xf numFmtId="181" fontId="48" fillId="5" borderId="1" xfId="0" applyNumberFormat="1" applyFont="1" applyFill="1" applyBorder="1" applyAlignment="1" applyProtection="1">
      <alignment horizontal="center"/>
    </xf>
    <xf numFmtId="181" fontId="42" fillId="5" borderId="1" xfId="0" applyNumberFormat="1" applyFont="1" applyFill="1" applyBorder="1" applyAlignment="1" applyProtection="1">
      <alignment horizontal="center"/>
    </xf>
    <xf numFmtId="0" fontId="40" fillId="5" borderId="47" xfId="1" applyFont="1" applyFill="1" applyBorder="1" applyAlignment="1" applyProtection="1">
      <alignment vertical="center"/>
    </xf>
    <xf numFmtId="0" fontId="42" fillId="3" borderId="0" xfId="0" applyFont="1" applyFill="1" applyProtection="1">
      <alignment vertical="center"/>
      <protection locked="0"/>
    </xf>
    <xf numFmtId="0" fontId="40" fillId="5" borderId="46" xfId="0" applyFont="1" applyFill="1" applyBorder="1" applyAlignment="1" applyProtection="1"/>
    <xf numFmtId="0" fontId="40" fillId="5" borderId="47" xfId="0" applyFont="1" applyFill="1" applyBorder="1" applyAlignment="1" applyProtection="1"/>
    <xf numFmtId="0" fontId="40" fillId="5" borderId="38" xfId="0" applyFont="1" applyFill="1" applyBorder="1" applyAlignment="1" applyProtection="1"/>
    <xf numFmtId="0" fontId="56" fillId="3" borderId="0" xfId="0" applyFont="1" applyFill="1" applyAlignment="1" applyProtection="1">
      <protection locked="0"/>
    </xf>
    <xf numFmtId="0" fontId="41" fillId="5" borderId="7" xfId="0" applyFont="1" applyFill="1" applyBorder="1" applyAlignment="1" applyProtection="1">
      <alignment horizontal="center"/>
    </xf>
    <xf numFmtId="0" fontId="41" fillId="5" borderId="35" xfId="0" applyFont="1" applyFill="1" applyBorder="1" applyAlignment="1" applyProtection="1"/>
    <xf numFmtId="0" fontId="41" fillId="0" borderId="0" xfId="0" applyFont="1" applyFill="1" applyAlignment="1" applyProtection="1">
      <protection locked="0"/>
    </xf>
    <xf numFmtId="0" fontId="42" fillId="5" borderId="2" xfId="0" applyFont="1" applyFill="1" applyBorder="1" applyAlignment="1" applyProtection="1"/>
    <xf numFmtId="186" fontId="42" fillId="0" borderId="1" xfId="0" applyNumberFormat="1" applyFont="1" applyFill="1" applyBorder="1" applyAlignment="1" applyProtection="1">
      <alignment horizontal="center"/>
      <protection locked="0"/>
    </xf>
    <xf numFmtId="0" fontId="42" fillId="0" borderId="0" xfId="0" applyFont="1" applyFill="1" applyAlignment="1" applyProtection="1">
      <protection locked="0"/>
    </xf>
    <xf numFmtId="176" fontId="101" fillId="5" borderId="1" xfId="0" applyNumberFormat="1" applyFont="1" applyFill="1" applyBorder="1" applyAlignment="1" applyProtection="1">
      <alignment horizontal="center" vertical="center"/>
    </xf>
    <xf numFmtId="176" fontId="101" fillId="5" borderId="6" xfId="0" applyNumberFormat="1" applyFont="1" applyFill="1" applyBorder="1" applyAlignment="1" applyProtection="1">
      <alignment horizontal="center" vertical="center"/>
    </xf>
    <xf numFmtId="0" fontId="41" fillId="5" borderId="1" xfId="0" applyFont="1" applyFill="1" applyBorder="1" applyAlignment="1" applyProtection="1"/>
    <xf numFmtId="0" fontId="40" fillId="5" borderId="19" xfId="0" applyFont="1" applyFill="1" applyBorder="1" applyAlignment="1" applyProtection="1"/>
    <xf numFmtId="0" fontId="40" fillId="5" borderId="51" xfId="0" applyFont="1" applyFill="1" applyBorder="1" applyAlignment="1" applyProtection="1"/>
    <xf numFmtId="0" fontId="40" fillId="5" borderId="41" xfId="0" applyFont="1" applyFill="1" applyBorder="1" applyAlignment="1" applyProtection="1"/>
    <xf numFmtId="0" fontId="41" fillId="5" borderId="2" xfId="0" applyFont="1" applyFill="1" applyBorder="1" applyAlignment="1" applyProtection="1"/>
    <xf numFmtId="186" fontId="41" fillId="5" borderId="1" xfId="0" applyNumberFormat="1" applyFont="1" applyFill="1" applyBorder="1" applyAlignment="1" applyProtection="1">
      <alignment horizontal="center"/>
    </xf>
    <xf numFmtId="0" fontId="41" fillId="5" borderId="1" xfId="0" applyFont="1" applyFill="1" applyBorder="1" applyAlignment="1" applyProtection="1">
      <alignment horizontal="center"/>
    </xf>
    <xf numFmtId="0" fontId="41" fillId="5" borderId="51" xfId="0" applyFont="1" applyFill="1" applyBorder="1" applyAlignment="1" applyProtection="1"/>
    <xf numFmtId="0" fontId="41" fillId="5" borderId="41" xfId="0" applyFont="1" applyFill="1" applyBorder="1" applyAlignment="1" applyProtection="1"/>
    <xf numFmtId="0" fontId="39" fillId="3" borderId="0" xfId="0" applyFont="1" applyFill="1" applyAlignment="1" applyProtection="1">
      <protection locked="0"/>
    </xf>
    <xf numFmtId="0" fontId="42" fillId="5" borderId="2" xfId="1" applyFont="1" applyFill="1" applyBorder="1" applyAlignment="1" applyProtection="1"/>
    <xf numFmtId="177" fontId="42" fillId="5" borderId="1" xfId="0" applyNumberFormat="1" applyFont="1" applyFill="1" applyBorder="1" applyAlignment="1" applyProtection="1">
      <alignment horizontal="center" vertical="center"/>
    </xf>
    <xf numFmtId="179" fontId="42" fillId="5" borderId="1" xfId="1" applyNumberFormat="1" applyFont="1" applyFill="1" applyBorder="1" applyAlignment="1" applyProtection="1">
      <alignment horizontal="center"/>
    </xf>
    <xf numFmtId="181" fontId="42" fillId="5" borderId="1" xfId="1" applyNumberFormat="1" applyFont="1" applyFill="1" applyBorder="1" applyAlignment="1" applyProtection="1">
      <alignment horizontal="center"/>
    </xf>
    <xf numFmtId="0" fontId="44" fillId="3" borderId="0" xfId="0" applyFont="1" applyFill="1" applyProtection="1">
      <alignment vertical="center"/>
      <protection locked="0"/>
    </xf>
    <xf numFmtId="9" fontId="42" fillId="5" borderId="1" xfId="1" applyNumberFormat="1" applyFont="1" applyFill="1" applyBorder="1" applyAlignment="1" applyProtection="1">
      <alignment horizontal="center"/>
    </xf>
    <xf numFmtId="0" fontId="44" fillId="0" borderId="0" xfId="0" applyFont="1" applyFill="1" applyProtection="1">
      <alignment vertical="center"/>
      <protection locked="0"/>
    </xf>
    <xf numFmtId="177" fontId="42" fillId="5" borderId="1" xfId="1" applyNumberFormat="1" applyFont="1" applyFill="1" applyBorder="1" applyAlignment="1" applyProtection="1"/>
    <xf numFmtId="0" fontId="42" fillId="5" borderId="51" xfId="0" applyFont="1" applyFill="1" applyBorder="1" applyAlignment="1" applyProtection="1"/>
    <xf numFmtId="0" fontId="42" fillId="5" borderId="41" xfId="0" applyFont="1" applyFill="1" applyBorder="1" applyAlignment="1" applyProtection="1"/>
    <xf numFmtId="0" fontId="42" fillId="5" borderId="2" xfId="0" applyFont="1" applyFill="1" applyBorder="1" applyAlignment="1" applyProtection="1">
      <alignment horizontal="left"/>
    </xf>
    <xf numFmtId="0" fontId="42" fillId="5" borderId="51" xfId="0" applyFont="1" applyFill="1" applyBorder="1" applyAlignment="1" applyProtection="1">
      <alignment horizontal="left"/>
    </xf>
    <xf numFmtId="0" fontId="42" fillId="5" borderId="41" xfId="0" applyFont="1" applyFill="1" applyBorder="1" applyAlignment="1" applyProtection="1">
      <alignment horizontal="left"/>
    </xf>
    <xf numFmtId="177" fontId="42" fillId="5" borderId="1" xfId="1" applyNumberFormat="1" applyFont="1" applyFill="1" applyBorder="1" applyAlignment="1" applyProtection="1">
      <alignment horizontal="center"/>
    </xf>
    <xf numFmtId="10" fontId="42" fillId="5" borderId="1" xfId="1" applyNumberFormat="1" applyFont="1" applyFill="1" applyBorder="1" applyAlignment="1" applyProtection="1">
      <alignment horizontal="center"/>
    </xf>
    <xf numFmtId="0" fontId="41" fillId="5" borderId="2" xfId="1" applyFont="1" applyFill="1" applyBorder="1" applyAlignment="1" applyProtection="1"/>
    <xf numFmtId="177" fontId="41" fillId="5" borderId="1" xfId="1" applyNumberFormat="1" applyFont="1" applyFill="1" applyBorder="1" applyAlignment="1" applyProtection="1">
      <alignment horizontal="center"/>
    </xf>
    <xf numFmtId="0" fontId="41" fillId="5" borderId="1" xfId="1" applyFont="1" applyFill="1" applyBorder="1" applyAlignment="1" applyProtection="1"/>
    <xf numFmtId="177" fontId="41" fillId="5" borderId="1" xfId="1" applyNumberFormat="1" applyFont="1" applyFill="1" applyBorder="1" applyAlignment="1" applyProtection="1"/>
    <xf numFmtId="10" fontId="41" fillId="5" borderId="1" xfId="1" applyNumberFormat="1" applyFont="1" applyFill="1" applyBorder="1" applyAlignment="1" applyProtection="1">
      <alignment horizontal="center"/>
    </xf>
    <xf numFmtId="0" fontId="44" fillId="3" borderId="0" xfId="0" applyFont="1" applyFill="1" applyAlignment="1" applyProtection="1">
      <protection locked="0"/>
    </xf>
    <xf numFmtId="0" fontId="41" fillId="5" borderId="1" xfId="0" applyFont="1" applyFill="1" applyBorder="1" applyAlignment="1" applyProtection="1">
      <alignment horizontal="right" vertical="center"/>
    </xf>
    <xf numFmtId="177" fontId="41" fillId="5" borderId="1" xfId="1" applyNumberFormat="1" applyFont="1" applyFill="1" applyBorder="1" applyAlignment="1" applyProtection="1">
      <alignment vertical="center"/>
    </xf>
    <xf numFmtId="0" fontId="39" fillId="5" borderId="2" xfId="0" applyFont="1" applyFill="1" applyBorder="1" applyAlignment="1" applyProtection="1"/>
    <xf numFmtId="0" fontId="39" fillId="5" borderId="51" xfId="0" applyFont="1" applyFill="1" applyBorder="1" applyAlignment="1" applyProtection="1"/>
    <xf numFmtId="0" fontId="39" fillId="5" borderId="41" xfId="0" applyFont="1" applyFill="1" applyBorder="1" applyAlignment="1" applyProtection="1"/>
    <xf numFmtId="177" fontId="41" fillId="5" borderId="0" xfId="0" applyNumberFormat="1" applyFont="1" applyFill="1" applyBorder="1" applyAlignment="1" applyProtection="1">
      <alignment horizontal="center"/>
    </xf>
    <xf numFmtId="177" fontId="41" fillId="5" borderId="51" xfId="1" applyNumberFormat="1" applyFont="1" applyFill="1" applyBorder="1" applyAlignment="1" applyProtection="1">
      <alignment vertical="center"/>
    </xf>
    <xf numFmtId="10" fontId="41" fillId="5" borderId="18" xfId="0" applyNumberFormat="1" applyFont="1" applyFill="1" applyBorder="1" applyAlignment="1" applyProtection="1">
      <alignment horizontal="center" vertical="center"/>
    </xf>
    <xf numFmtId="0" fontId="42" fillId="5" borderId="1" xfId="1" applyFont="1" applyFill="1" applyBorder="1" applyAlignment="1" applyProtection="1">
      <alignment horizontal="left"/>
    </xf>
    <xf numFmtId="187" fontId="42" fillId="5" borderId="3" xfId="0" applyNumberFormat="1" applyFont="1" applyFill="1" applyBorder="1" applyAlignment="1" applyProtection="1">
      <alignment horizontal="center"/>
    </xf>
    <xf numFmtId="187" fontId="42" fillId="5" borderId="1" xfId="0" applyNumberFormat="1" applyFont="1" applyFill="1" applyBorder="1" applyAlignment="1" applyProtection="1">
      <alignment horizontal="center" vertical="center"/>
    </xf>
    <xf numFmtId="177" fontId="42" fillId="5" borderId="51" xfId="1" applyNumberFormat="1" applyFont="1" applyFill="1" applyBorder="1" applyAlignment="1" applyProtection="1">
      <alignment vertical="center"/>
    </xf>
    <xf numFmtId="10" fontId="42" fillId="5" borderId="18" xfId="0" applyNumberFormat="1" applyFont="1" applyFill="1" applyBorder="1" applyAlignment="1" applyProtection="1">
      <alignment horizontal="center" vertical="center"/>
    </xf>
    <xf numFmtId="0" fontId="43" fillId="3" borderId="0" xfId="0" applyFont="1" applyFill="1" applyAlignment="1" applyProtection="1">
      <protection locked="0"/>
    </xf>
    <xf numFmtId="177" fontId="42" fillId="5" borderId="0" xfId="0" applyNumberFormat="1" applyFont="1" applyFill="1" applyBorder="1" applyAlignment="1" applyProtection="1">
      <alignment horizontal="center"/>
    </xf>
    <xf numFmtId="0" fontId="41" fillId="5" borderId="1" xfId="1" applyFont="1" applyFill="1" applyBorder="1" applyAlignment="1" applyProtection="1">
      <alignment vertical="center" wrapText="1"/>
    </xf>
    <xf numFmtId="177" fontId="41" fillId="5" borderId="3" xfId="0" applyNumberFormat="1" applyFont="1" applyFill="1" applyBorder="1" applyAlignment="1" applyProtection="1">
      <alignment horizontal="center" vertical="center" wrapText="1"/>
    </xf>
    <xf numFmtId="10" fontId="41" fillId="5" borderId="1" xfId="0" applyNumberFormat="1" applyFont="1" applyFill="1" applyBorder="1" applyAlignment="1" applyProtection="1">
      <alignment horizontal="center" vertical="center" wrapText="1"/>
    </xf>
    <xf numFmtId="0" fontId="44" fillId="3" borderId="0" xfId="0" applyFont="1" applyFill="1" applyAlignment="1" applyProtection="1">
      <alignment vertical="center" wrapText="1"/>
      <protection locked="0"/>
    </xf>
    <xf numFmtId="0" fontId="42" fillId="5" borderId="2" xfId="1" applyFont="1" applyFill="1" applyBorder="1" applyAlignment="1" applyProtection="1">
      <alignment horizontal="left"/>
    </xf>
    <xf numFmtId="10" fontId="42" fillId="5" borderId="1" xfId="0" applyNumberFormat="1" applyFont="1" applyFill="1" applyBorder="1" applyAlignment="1" applyProtection="1">
      <alignment horizontal="center" vertical="center" wrapText="1"/>
    </xf>
    <xf numFmtId="0" fontId="43" fillId="3" borderId="0" xfId="0" applyFont="1" applyFill="1" applyAlignment="1" applyProtection="1">
      <alignment vertical="center" wrapText="1"/>
      <protection locked="0"/>
    </xf>
    <xf numFmtId="177" fontId="42" fillId="5" borderId="1" xfId="0" applyNumberFormat="1" applyFont="1" applyFill="1" applyBorder="1" applyAlignment="1" applyProtection="1">
      <alignment horizontal="center" vertical="center" wrapText="1"/>
    </xf>
    <xf numFmtId="177" fontId="42" fillId="5" borderId="51" xfId="1" applyNumberFormat="1" applyFont="1" applyFill="1" applyBorder="1" applyAlignment="1" applyProtection="1"/>
    <xf numFmtId="177" fontId="41" fillId="5" borderId="1" xfId="0" applyNumberFormat="1" applyFont="1" applyFill="1" applyBorder="1" applyAlignment="1" applyProtection="1">
      <alignment horizontal="center"/>
    </xf>
    <xf numFmtId="177" fontId="41" fillId="5" borderId="1" xfId="0" applyNumberFormat="1" applyFont="1" applyFill="1" applyBorder="1" applyAlignment="1" applyProtection="1"/>
    <xf numFmtId="10" fontId="41" fillId="5" borderId="1" xfId="0" applyNumberFormat="1" applyFont="1" applyFill="1" applyBorder="1" applyAlignment="1" applyProtection="1">
      <alignment horizontal="center"/>
    </xf>
    <xf numFmtId="177" fontId="41" fillId="5" borderId="2" xfId="0" applyNumberFormat="1" applyFont="1" applyFill="1" applyBorder="1" applyAlignment="1" applyProtection="1"/>
    <xf numFmtId="177" fontId="41" fillId="5" borderId="51" xfId="0" applyNumberFormat="1" applyFont="1" applyFill="1" applyBorder="1" applyAlignment="1" applyProtection="1"/>
    <xf numFmtId="177" fontId="41" fillId="5" borderId="41" xfId="0" applyNumberFormat="1" applyFont="1" applyFill="1" applyBorder="1" applyAlignment="1" applyProtection="1"/>
    <xf numFmtId="0" fontId="41" fillId="5" borderId="20" xfId="0" applyFont="1" applyFill="1" applyBorder="1" applyAlignment="1" applyProtection="1"/>
    <xf numFmtId="0" fontId="41" fillId="5" borderId="48" xfId="0" applyFont="1" applyFill="1" applyBorder="1" applyAlignment="1" applyProtection="1"/>
    <xf numFmtId="186" fontId="40" fillId="5" borderId="61" xfId="0" applyNumberFormat="1" applyFont="1" applyFill="1" applyBorder="1" applyAlignment="1" applyProtection="1">
      <alignment horizontal="center"/>
    </xf>
    <xf numFmtId="0" fontId="40" fillId="5" borderId="44" xfId="0" applyFont="1" applyFill="1" applyBorder="1" applyAlignment="1" applyProtection="1"/>
    <xf numFmtId="0" fontId="41" fillId="5" borderId="62" xfId="0" applyFont="1" applyFill="1" applyBorder="1" applyAlignment="1" applyProtection="1"/>
    <xf numFmtId="0" fontId="42" fillId="3" borderId="0" xfId="0" applyFont="1" applyFill="1" applyAlignment="1" applyProtection="1">
      <alignment horizontal="center"/>
      <protection locked="0"/>
    </xf>
    <xf numFmtId="0" fontId="42" fillId="3" borderId="0" xfId="0" applyFont="1" applyFill="1" applyAlignment="1" applyProtection="1">
      <protection locked="0"/>
    </xf>
    <xf numFmtId="186" fontId="42" fillId="3" borderId="0" xfId="0" applyNumberFormat="1" applyFont="1" applyFill="1" applyAlignment="1" applyProtection="1">
      <alignment horizontal="center"/>
      <protection locked="0"/>
    </xf>
    <xf numFmtId="49" fontId="57" fillId="5" borderId="65" xfId="0" applyNumberFormat="1" applyFont="1" applyFill="1" applyBorder="1" applyAlignment="1" applyProtection="1"/>
    <xf numFmtId="0" fontId="58" fillId="5" borderId="0" xfId="0" applyFont="1" applyFill="1" applyAlignment="1" applyProtection="1">
      <alignment horizontal="center" vertical="center"/>
    </xf>
    <xf numFmtId="0" fontId="59" fillId="0" borderId="0" xfId="0" applyFont="1" applyFill="1" applyAlignment="1" applyProtection="1">
      <alignment vertical="center"/>
      <protection locked="0"/>
    </xf>
    <xf numFmtId="0" fontId="40" fillId="5" borderId="1" xfId="0" applyFont="1" applyFill="1" applyBorder="1" applyAlignment="1" applyProtection="1">
      <alignment horizontal="center" vertical="center"/>
    </xf>
    <xf numFmtId="0" fontId="53" fillId="0" borderId="0" xfId="0" applyFont="1" applyFill="1" applyAlignment="1" applyProtection="1">
      <alignment vertical="center"/>
      <protection locked="0"/>
    </xf>
    <xf numFmtId="0" fontId="52" fillId="5" borderId="61" xfId="1" applyFont="1" applyFill="1" applyBorder="1" applyAlignment="1" applyProtection="1">
      <alignment vertical="center"/>
    </xf>
    <xf numFmtId="49" fontId="57" fillId="5" borderId="0" xfId="0" applyNumberFormat="1" applyFont="1" applyFill="1" applyBorder="1" applyAlignment="1" applyProtection="1">
      <alignment horizontal="center"/>
    </xf>
    <xf numFmtId="49" fontId="42" fillId="5" borderId="4" xfId="0" applyNumberFormat="1" applyFont="1" applyFill="1" applyBorder="1" applyAlignment="1" applyProtection="1">
      <alignment horizontal="center" vertical="center"/>
    </xf>
    <xf numFmtId="0" fontId="42" fillId="5" borderId="11" xfId="0" applyFont="1" applyFill="1" applyBorder="1" applyAlignment="1" applyProtection="1">
      <alignment horizontal="center" vertical="center"/>
    </xf>
    <xf numFmtId="0" fontId="42" fillId="5" borderId="13" xfId="0" applyFont="1" applyFill="1" applyBorder="1" applyAlignment="1" applyProtection="1">
      <alignment horizontal="right" vertical="center"/>
    </xf>
    <xf numFmtId="0" fontId="42" fillId="5" borderId="38" xfId="0" applyFont="1" applyFill="1" applyBorder="1" applyAlignment="1" applyProtection="1">
      <alignment horizontal="center" vertical="center"/>
    </xf>
    <xf numFmtId="49" fontId="47" fillId="5" borderId="16" xfId="0" applyNumberFormat="1" applyFont="1" applyFill="1" applyBorder="1" applyAlignment="1" applyProtection="1">
      <alignment vertical="center"/>
    </xf>
    <xf numFmtId="0" fontId="47" fillId="5" borderId="18" xfId="0" applyFont="1" applyFill="1" applyBorder="1" applyAlignment="1" applyProtection="1">
      <alignment vertical="center" wrapText="1"/>
    </xf>
    <xf numFmtId="0" fontId="47" fillId="5" borderId="18" xfId="0" applyFont="1" applyFill="1" applyBorder="1" applyAlignment="1" applyProtection="1">
      <alignment horizontal="center" vertical="center"/>
    </xf>
    <xf numFmtId="0" fontId="42" fillId="5" borderId="1" xfId="0" applyFont="1" applyFill="1" applyBorder="1" applyAlignment="1" applyProtection="1">
      <alignment horizontal="left" vertical="center"/>
    </xf>
    <xf numFmtId="0" fontId="47" fillId="5" borderId="6" xfId="0" applyFont="1" applyFill="1" applyBorder="1" applyAlignment="1" applyProtection="1">
      <alignment horizontal="center" vertical="center"/>
    </xf>
    <xf numFmtId="49" fontId="47" fillId="5" borderId="26" xfId="0" applyNumberFormat="1" applyFont="1" applyFill="1" applyBorder="1" applyAlignment="1" applyProtection="1">
      <alignment vertical="center"/>
    </xf>
    <xf numFmtId="0" fontId="47" fillId="5" borderId="49" xfId="0" applyFont="1" applyFill="1" applyBorder="1" applyAlignment="1" applyProtection="1">
      <alignment vertical="center" wrapText="1"/>
    </xf>
    <xf numFmtId="0" fontId="47" fillId="5" borderId="49" xfId="0" applyFont="1" applyFill="1" applyBorder="1" applyAlignment="1" applyProtection="1">
      <alignment horizontal="center" vertical="center"/>
    </xf>
    <xf numFmtId="0" fontId="42" fillId="5" borderId="49" xfId="0" applyFont="1" applyFill="1" applyBorder="1" applyAlignment="1" applyProtection="1">
      <alignment vertical="center"/>
    </xf>
    <xf numFmtId="49" fontId="47" fillId="5" borderId="23" xfId="0" applyNumberFormat="1" applyFont="1" applyFill="1" applyBorder="1" applyAlignment="1" applyProtection="1">
      <alignment vertical="center"/>
    </xf>
    <xf numFmtId="0" fontId="47" fillId="5" borderId="17" xfId="0" applyFont="1" applyFill="1" applyBorder="1" applyAlignment="1" applyProtection="1">
      <alignment vertical="center" wrapText="1"/>
    </xf>
    <xf numFmtId="0" fontId="47" fillId="5" borderId="17" xfId="0" applyFont="1" applyFill="1" applyBorder="1" applyAlignment="1" applyProtection="1">
      <alignment horizontal="center" vertical="center"/>
    </xf>
    <xf numFmtId="0" fontId="42" fillId="5" borderId="17" xfId="0" applyFont="1" applyFill="1" applyBorder="1" applyAlignment="1" applyProtection="1">
      <alignment vertical="center"/>
    </xf>
    <xf numFmtId="181" fontId="47" fillId="5" borderId="6" xfId="0" applyNumberFormat="1" applyFont="1" applyFill="1" applyBorder="1" applyAlignment="1" applyProtection="1">
      <alignment horizontal="center" vertical="center"/>
    </xf>
    <xf numFmtId="0" fontId="42" fillId="5" borderId="18" xfId="0" applyFont="1" applyFill="1" applyBorder="1" applyAlignment="1" applyProtection="1">
      <alignment horizontal="left" vertical="center"/>
    </xf>
    <xf numFmtId="181" fontId="47" fillId="5" borderId="58" xfId="0" applyNumberFormat="1" applyFont="1" applyFill="1" applyBorder="1" applyAlignment="1" applyProtection="1">
      <alignment horizontal="center" vertical="center"/>
    </xf>
    <xf numFmtId="49" fontId="47" fillId="5" borderId="7" xfId="0" applyNumberFormat="1" applyFont="1" applyFill="1" applyBorder="1" applyAlignment="1" applyProtection="1">
      <alignment horizontal="left" vertical="center"/>
    </xf>
    <xf numFmtId="0" fontId="47" fillId="5" borderId="1" xfId="0" applyFont="1" applyFill="1" applyBorder="1" applyAlignment="1" applyProtection="1">
      <alignment horizontal="left" vertical="center"/>
    </xf>
    <xf numFmtId="0" fontId="47" fillId="5" borderId="1" xfId="0" applyFont="1" applyFill="1" applyBorder="1" applyAlignment="1" applyProtection="1">
      <alignment horizontal="center" vertical="center"/>
    </xf>
    <xf numFmtId="0" fontId="56" fillId="5" borderId="51" xfId="0" applyFont="1" applyFill="1" applyBorder="1" applyAlignment="1" applyProtection="1">
      <alignment vertical="center"/>
    </xf>
    <xf numFmtId="0" fontId="56" fillId="5" borderId="41" xfId="0" applyFont="1" applyFill="1" applyBorder="1" applyAlignment="1" applyProtection="1">
      <alignment vertical="center"/>
    </xf>
    <xf numFmtId="49" fontId="42" fillId="5" borderId="7" xfId="0" applyNumberFormat="1" applyFont="1" applyFill="1" applyBorder="1" applyAlignment="1" applyProtection="1">
      <alignment horizontal="left" vertical="center"/>
    </xf>
    <xf numFmtId="0" fontId="101" fillId="5" borderId="2" xfId="0" applyFont="1" applyFill="1" applyBorder="1" applyAlignment="1" applyProtection="1">
      <alignment horizontal="center" vertical="center"/>
    </xf>
    <xf numFmtId="0" fontId="42" fillId="5" borderId="17" xfId="0" applyFont="1" applyFill="1" applyBorder="1" applyAlignment="1" applyProtection="1">
      <alignment horizontal="left" vertical="center"/>
    </xf>
    <xf numFmtId="181" fontId="42" fillId="5" borderId="34" xfId="0" applyNumberFormat="1" applyFont="1" applyFill="1" applyBorder="1" applyAlignment="1" applyProtection="1">
      <alignment horizontal="center" vertical="center"/>
    </xf>
    <xf numFmtId="0" fontId="60" fillId="0" borderId="0" xfId="0" applyFont="1" applyFill="1" applyAlignment="1" applyProtection="1">
      <alignment vertical="center"/>
      <protection locked="0"/>
    </xf>
    <xf numFmtId="181" fontId="42" fillId="5" borderId="6" xfId="0" applyNumberFormat="1" applyFont="1" applyFill="1" applyBorder="1" applyAlignment="1" applyProtection="1">
      <alignment horizontal="center" vertical="center"/>
    </xf>
    <xf numFmtId="0" fontId="42" fillId="5" borderId="1" xfId="0" applyFont="1" applyFill="1" applyBorder="1" applyAlignment="1" applyProtection="1">
      <alignment vertical="center" wrapText="1"/>
    </xf>
    <xf numFmtId="49" fontId="42" fillId="5" borderId="16" xfId="0" applyNumberFormat="1" applyFont="1" applyFill="1" applyBorder="1" applyAlignment="1" applyProtection="1">
      <alignment vertical="center"/>
    </xf>
    <xf numFmtId="0" fontId="42" fillId="5" borderId="18" xfId="0" applyFont="1" applyFill="1" applyBorder="1" applyAlignment="1" applyProtection="1">
      <alignment horizontal="left" vertical="center" wrapText="1"/>
    </xf>
    <xf numFmtId="0" fontId="42" fillId="5" borderId="6" xfId="0" applyFont="1" applyFill="1" applyBorder="1" applyAlignment="1" applyProtection="1">
      <alignment horizontal="center" vertical="center"/>
    </xf>
    <xf numFmtId="49" fontId="42" fillId="5" borderId="23" xfId="0" applyNumberFormat="1" applyFont="1" applyFill="1" applyBorder="1" applyAlignment="1" applyProtection="1">
      <alignment vertical="center"/>
    </xf>
    <xf numFmtId="0" fontId="42" fillId="5" borderId="17" xfId="0" applyFont="1" applyFill="1" applyBorder="1" applyAlignment="1" applyProtection="1">
      <alignment horizontal="left" vertical="center" wrapText="1"/>
    </xf>
    <xf numFmtId="10" fontId="47" fillId="5" borderId="6" xfId="0" applyNumberFormat="1" applyFont="1" applyFill="1" applyBorder="1" applyAlignment="1" applyProtection="1">
      <alignment horizontal="center" vertical="center"/>
    </xf>
    <xf numFmtId="183" fontId="47" fillId="5" borderId="6" xfId="0" applyNumberFormat="1" applyFont="1" applyFill="1" applyBorder="1" applyAlignment="1" applyProtection="1">
      <alignment horizontal="center" vertical="center"/>
    </xf>
    <xf numFmtId="10" fontId="42" fillId="5" borderId="6" xfId="0" applyNumberFormat="1" applyFont="1" applyFill="1" applyBorder="1" applyAlignment="1" applyProtection="1">
      <alignment horizontal="center" vertical="center"/>
    </xf>
    <xf numFmtId="0" fontId="42" fillId="5" borderId="41" xfId="0" applyFont="1" applyFill="1" applyBorder="1" applyAlignment="1" applyProtection="1">
      <alignment horizontal="center" vertical="center" wrapText="1"/>
    </xf>
    <xf numFmtId="0" fontId="42" fillId="5" borderId="49" xfId="0" applyFont="1" applyFill="1" applyBorder="1" applyAlignment="1" applyProtection="1">
      <alignment horizontal="left" vertical="center" wrapText="1"/>
    </xf>
    <xf numFmtId="179" fontId="47" fillId="5" borderId="6" xfId="0" applyNumberFormat="1" applyFont="1" applyFill="1" applyBorder="1" applyAlignment="1" applyProtection="1">
      <alignment horizontal="center" vertical="center"/>
    </xf>
    <xf numFmtId="49" fontId="47" fillId="5" borderId="8" xfId="0" applyNumberFormat="1" applyFont="1" applyFill="1" applyBorder="1" applyAlignment="1" applyProtection="1">
      <alignment horizontal="left" vertical="center"/>
    </xf>
    <xf numFmtId="0" fontId="47" fillId="5" borderId="61" xfId="0" applyFont="1" applyFill="1" applyBorder="1" applyAlignment="1" applyProtection="1">
      <alignment horizontal="left" vertical="center"/>
    </xf>
    <xf numFmtId="0" fontId="47" fillId="5" borderId="61" xfId="0" applyFont="1" applyFill="1" applyBorder="1" applyAlignment="1" applyProtection="1">
      <alignment horizontal="center" vertical="center"/>
    </xf>
    <xf numFmtId="0" fontId="42" fillId="5" borderId="61" xfId="0" applyFont="1" applyFill="1" applyBorder="1" applyAlignment="1" applyProtection="1">
      <alignment vertical="center"/>
    </xf>
    <xf numFmtId="0" fontId="42" fillId="5" borderId="61" xfId="0" applyFont="1" applyFill="1" applyBorder="1" applyAlignment="1" applyProtection="1">
      <alignment horizontal="left" vertical="center"/>
    </xf>
    <xf numFmtId="179" fontId="47" fillId="5" borderId="43" xfId="0" applyNumberFormat="1" applyFont="1" applyFill="1" applyBorder="1" applyAlignment="1" applyProtection="1">
      <alignment horizontal="center" vertical="center"/>
    </xf>
    <xf numFmtId="0" fontId="53" fillId="0" borderId="0" xfId="0" applyFont="1" applyFill="1" applyAlignment="1" applyProtection="1">
      <alignment horizontal="left" vertical="center"/>
      <protection locked="0"/>
    </xf>
    <xf numFmtId="0" fontId="39" fillId="5" borderId="1" xfId="0" applyFont="1" applyFill="1" applyBorder="1" applyAlignment="1" applyProtection="1"/>
    <xf numFmtId="0" fontId="39" fillId="5" borderId="1" xfId="0" applyFont="1" applyFill="1" applyBorder="1" applyAlignment="1" applyProtection="1">
      <alignment horizontal="center"/>
    </xf>
    <xf numFmtId="0" fontId="48" fillId="5" borderId="1" xfId="0" applyFont="1" applyFill="1" applyBorder="1" applyAlignment="1" applyProtection="1">
      <alignment horizontal="left"/>
    </xf>
    <xf numFmtId="186" fontId="48" fillId="5" borderId="1" xfId="0" applyNumberFormat="1" applyFont="1" applyFill="1" applyBorder="1" applyAlignment="1" applyProtection="1">
      <alignment horizontal="center"/>
    </xf>
    <xf numFmtId="0" fontId="48" fillId="5" borderId="1" xfId="0" applyFont="1" applyFill="1" applyBorder="1" applyAlignment="1" applyProtection="1">
      <alignment vertical="center" wrapText="1"/>
    </xf>
    <xf numFmtId="181" fontId="47" fillId="5" borderId="1" xfId="0" applyNumberFormat="1" applyFont="1" applyFill="1" applyBorder="1" applyAlignment="1" applyProtection="1">
      <alignment horizontal="center" vertical="center"/>
    </xf>
    <xf numFmtId="0" fontId="102" fillId="5" borderId="1" xfId="0" applyFont="1" applyFill="1" applyBorder="1" applyAlignment="1" applyProtection="1">
      <alignment horizontal="left"/>
    </xf>
    <xf numFmtId="0" fontId="102" fillId="5" borderId="1" xfId="0" applyFont="1" applyFill="1" applyBorder="1" applyAlignment="1" applyProtection="1">
      <alignment horizontal="center"/>
    </xf>
    <xf numFmtId="0" fontId="55" fillId="5" borderId="1" xfId="0" applyFont="1" applyFill="1" applyBorder="1" applyAlignment="1" applyProtection="1">
      <alignment horizontal="center"/>
    </xf>
    <xf numFmtId="0" fontId="53" fillId="0" borderId="0" xfId="0" applyFont="1" applyFill="1" applyAlignment="1" applyProtection="1">
      <alignment horizontal="center" vertical="center"/>
      <protection locked="0"/>
    </xf>
    <xf numFmtId="0" fontId="100" fillId="5" borderId="35" xfId="0" applyFont="1" applyFill="1" applyBorder="1" applyAlignment="1" applyProtection="1">
      <alignment vertical="center"/>
    </xf>
    <xf numFmtId="0" fontId="57" fillId="5" borderId="36" xfId="0" applyFont="1" applyFill="1" applyBorder="1" applyAlignment="1" applyProtection="1">
      <alignment horizontal="right" vertical="center"/>
    </xf>
    <xf numFmtId="0" fontId="57" fillId="5" borderId="0" xfId="0" applyFont="1" applyFill="1" applyAlignment="1" applyProtection="1">
      <alignment horizontal="center" vertical="center"/>
    </xf>
    <xf numFmtId="0" fontId="59" fillId="0" borderId="0" xfId="0" applyFont="1" applyFill="1" applyAlignment="1" applyProtection="1">
      <alignment horizontal="center" vertical="center"/>
      <protection locked="0"/>
    </xf>
    <xf numFmtId="0" fontId="52" fillId="5" borderId="18" xfId="0" applyFont="1" applyFill="1" applyBorder="1" applyAlignment="1" applyProtection="1">
      <alignment horizontal="right" vertical="center"/>
    </xf>
    <xf numFmtId="0" fontId="52" fillId="5" borderId="18" xfId="0" applyFont="1" applyFill="1" applyBorder="1" applyAlignment="1" applyProtection="1">
      <alignment horizontal="center" vertical="center"/>
    </xf>
    <xf numFmtId="0" fontId="45" fillId="5" borderId="5" xfId="0" applyFont="1" applyFill="1" applyBorder="1" applyAlignment="1" applyProtection="1">
      <alignment vertical="center" wrapText="1"/>
    </xf>
    <xf numFmtId="0" fontId="45" fillId="5" borderId="37" xfId="0" applyFont="1" applyFill="1" applyBorder="1" applyAlignment="1" applyProtection="1">
      <alignment vertical="center" wrapText="1"/>
    </xf>
    <xf numFmtId="0" fontId="46" fillId="0" borderId="0" xfId="0" applyFont="1" applyFill="1" applyAlignment="1" applyProtection="1">
      <alignment horizontal="center" vertical="center"/>
      <protection locked="0"/>
    </xf>
    <xf numFmtId="0" fontId="45" fillId="5" borderId="39" xfId="0" applyFont="1" applyFill="1" applyBorder="1" applyAlignment="1" applyProtection="1">
      <alignment vertical="center" wrapText="1"/>
    </xf>
    <xf numFmtId="0" fontId="45" fillId="5" borderId="0" xfId="0" applyFont="1" applyFill="1" applyBorder="1" applyAlignment="1" applyProtection="1">
      <alignment vertical="center" wrapText="1"/>
    </xf>
    <xf numFmtId="0" fontId="45" fillId="5" borderId="29" xfId="0" applyFont="1" applyFill="1" applyBorder="1" applyAlignment="1" applyProtection="1">
      <alignment vertical="center" wrapText="1"/>
    </xf>
    <xf numFmtId="0" fontId="45" fillId="5" borderId="40" xfId="0" applyFont="1" applyFill="1" applyBorder="1" applyAlignment="1" applyProtection="1">
      <alignment vertical="center" wrapText="1"/>
    </xf>
    <xf numFmtId="0" fontId="41" fillId="5" borderId="55" xfId="0" applyFont="1" applyFill="1" applyBorder="1" applyAlignment="1" applyProtection="1">
      <alignment vertical="center" wrapText="1"/>
    </xf>
    <xf numFmtId="0" fontId="41" fillId="5" borderId="66" xfId="0" applyFont="1" applyFill="1" applyBorder="1" applyAlignment="1" applyProtection="1">
      <alignment vertical="center" wrapText="1"/>
    </xf>
    <xf numFmtId="184" fontId="39" fillId="5" borderId="9" xfId="0" applyNumberFormat="1" applyFont="1" applyFill="1" applyBorder="1" applyAlignment="1" applyProtection="1">
      <alignment horizontal="center" vertical="center" wrapText="1"/>
    </xf>
    <xf numFmtId="0" fontId="39" fillId="5" borderId="15" xfId="0" applyNumberFormat="1" applyFont="1" applyFill="1" applyBorder="1" applyAlignment="1" applyProtection="1">
      <alignment horizontal="center" vertical="center" wrapText="1"/>
    </xf>
    <xf numFmtId="184" fontId="39" fillId="0" borderId="67" xfId="0" applyNumberFormat="1" applyFont="1" applyFill="1" applyBorder="1" applyAlignment="1" applyProtection="1">
      <alignment horizontal="center" vertical="center" wrapText="1"/>
      <protection locked="0"/>
    </xf>
    <xf numFmtId="0" fontId="39" fillId="5" borderId="14" xfId="0" applyNumberFormat="1" applyFont="1" applyFill="1" applyBorder="1" applyAlignment="1" applyProtection="1">
      <alignment horizontal="center" vertical="center" wrapText="1"/>
    </xf>
    <xf numFmtId="49" fontId="39" fillId="2" borderId="9" xfId="0" applyNumberFormat="1" applyFont="1" applyFill="1" applyBorder="1" applyAlignment="1" applyProtection="1">
      <alignment horizontal="center" vertical="center" wrapText="1"/>
      <protection locked="0"/>
    </xf>
    <xf numFmtId="0" fontId="41" fillId="5" borderId="22" xfId="0" applyFont="1" applyFill="1" applyBorder="1" applyAlignment="1" applyProtection="1">
      <alignment vertical="center" wrapText="1"/>
    </xf>
    <xf numFmtId="0" fontId="39" fillId="0" borderId="46" xfId="0" applyNumberFormat="1" applyFont="1" applyFill="1" applyBorder="1" applyAlignment="1" applyProtection="1">
      <alignment horizontal="center" vertical="center" wrapText="1"/>
      <protection locked="0"/>
    </xf>
    <xf numFmtId="49" fontId="39" fillId="2" borderId="28" xfId="0" applyNumberFormat="1" applyFont="1" applyFill="1" applyBorder="1" applyAlignment="1" applyProtection="1">
      <alignment horizontal="center" vertical="center" wrapText="1"/>
      <protection locked="0"/>
    </xf>
    <xf numFmtId="49" fontId="39" fillId="2" borderId="4" xfId="0" applyNumberFormat="1" applyFont="1" applyFill="1" applyBorder="1" applyAlignment="1" applyProtection="1">
      <alignment horizontal="center" vertical="center" wrapText="1"/>
      <protection locked="0"/>
    </xf>
    <xf numFmtId="0" fontId="66" fillId="5" borderId="26" xfId="0" applyFont="1" applyFill="1" applyBorder="1" applyAlignment="1" applyProtection="1">
      <alignment vertical="center" wrapText="1"/>
    </xf>
    <xf numFmtId="0" fontId="39" fillId="5" borderId="2" xfId="0" applyFont="1" applyFill="1" applyBorder="1" applyAlignment="1" applyProtection="1">
      <alignment horizontal="center" vertical="center" wrapText="1"/>
    </xf>
    <xf numFmtId="49" fontId="39" fillId="2" borderId="7" xfId="0" applyNumberFormat="1" applyFont="1" applyFill="1" applyBorder="1" applyAlignment="1" applyProtection="1">
      <alignment horizontal="center" vertical="center" wrapText="1"/>
      <protection locked="0"/>
    </xf>
    <xf numFmtId="49" fontId="39" fillId="2" borderId="3" xfId="0" applyNumberFormat="1" applyFont="1" applyFill="1" applyBorder="1" applyAlignment="1" applyProtection="1">
      <alignment horizontal="center" vertical="center" wrapText="1"/>
      <protection locked="0"/>
    </xf>
    <xf numFmtId="0" fontId="39" fillId="5" borderId="2" xfId="0" applyNumberFormat="1" applyFont="1" applyFill="1" applyBorder="1" applyAlignment="1" applyProtection="1">
      <alignment horizontal="center" vertical="center" wrapText="1"/>
    </xf>
    <xf numFmtId="0" fontId="67"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wrapText="1"/>
    </xf>
    <xf numFmtId="0" fontId="39" fillId="0" borderId="7" xfId="0" applyNumberFormat="1" applyFont="1" applyFill="1" applyBorder="1" applyAlignment="1" applyProtection="1">
      <alignment horizontal="center" vertical="center" wrapText="1"/>
      <protection locked="0"/>
    </xf>
    <xf numFmtId="0" fontId="39" fillId="0" borderId="3" xfId="0" applyNumberFormat="1" applyFont="1" applyFill="1" applyBorder="1" applyAlignment="1" applyProtection="1">
      <alignment horizontal="center" vertical="center" wrapText="1"/>
      <protection locked="0"/>
    </xf>
    <xf numFmtId="0" fontId="41" fillId="5" borderId="26" xfId="0" applyFont="1" applyFill="1" applyBorder="1" applyAlignment="1" applyProtection="1">
      <alignment vertical="center" wrapText="1"/>
    </xf>
    <xf numFmtId="0" fontId="39" fillId="0" borderId="23" xfId="0" applyNumberFormat="1" applyFont="1" applyFill="1" applyBorder="1" applyAlignment="1" applyProtection="1">
      <alignment horizontal="center" vertical="center" wrapText="1"/>
      <protection locked="0"/>
    </xf>
    <xf numFmtId="0" fontId="39" fillId="5" borderId="68" xfId="0" applyNumberFormat="1" applyFont="1" applyFill="1" applyBorder="1" applyAlignment="1" applyProtection="1">
      <alignment horizontal="center" vertical="center" wrapText="1"/>
    </xf>
    <xf numFmtId="0" fontId="46" fillId="0" borderId="19" xfId="0" applyNumberFormat="1" applyFont="1" applyFill="1" applyBorder="1" applyAlignment="1" applyProtection="1">
      <alignment horizontal="center" vertical="center" wrapText="1"/>
      <protection locked="0"/>
    </xf>
    <xf numFmtId="0" fontId="46" fillId="5" borderId="6" xfId="0" applyNumberFormat="1" applyFont="1" applyFill="1" applyBorder="1" applyAlignment="1" applyProtection="1">
      <alignment horizontal="center" vertical="center" wrapText="1"/>
    </xf>
    <xf numFmtId="0" fontId="45" fillId="5" borderId="42" xfId="0" applyFont="1" applyFill="1" applyBorder="1" applyAlignment="1" applyProtection="1">
      <alignment vertical="center" wrapText="1"/>
    </xf>
    <xf numFmtId="0" fontId="46" fillId="5" borderId="43" xfId="0" applyNumberFormat="1" applyFont="1" applyFill="1" applyBorder="1" applyAlignment="1" applyProtection="1">
      <alignment horizontal="center" vertical="center" wrapText="1"/>
    </xf>
    <xf numFmtId="0" fontId="46" fillId="5" borderId="44" xfId="0" applyNumberFormat="1" applyFont="1" applyFill="1" applyBorder="1" applyAlignment="1" applyProtection="1">
      <alignment horizontal="center" vertical="center" wrapText="1"/>
    </xf>
    <xf numFmtId="0" fontId="45" fillId="5" borderId="22" xfId="0" applyFont="1" applyFill="1" applyBorder="1" applyAlignment="1" applyProtection="1">
      <alignment vertical="center" wrapText="1"/>
    </xf>
    <xf numFmtId="0" fontId="46" fillId="5" borderId="59" xfId="0" applyNumberFormat="1" applyFont="1" applyFill="1" applyBorder="1" applyAlignment="1" applyProtection="1">
      <alignment horizontal="center" vertical="center" wrapText="1"/>
    </xf>
    <xf numFmtId="49" fontId="46" fillId="0" borderId="21" xfId="0" applyNumberFormat="1" applyFont="1" applyFill="1" applyBorder="1" applyAlignment="1" applyProtection="1">
      <alignment horizontal="center" vertical="center" wrapText="1"/>
      <protection locked="0"/>
    </xf>
    <xf numFmtId="0" fontId="46" fillId="5" borderId="12" xfId="0" applyNumberFormat="1" applyFont="1" applyFill="1" applyBorder="1" applyAlignment="1" applyProtection="1">
      <alignment horizontal="center" vertical="center" wrapText="1"/>
    </xf>
    <xf numFmtId="49" fontId="46" fillId="0" borderId="22" xfId="0" applyNumberFormat="1" applyFont="1" applyFill="1" applyBorder="1" applyAlignment="1" applyProtection="1">
      <alignment horizontal="center" vertical="center" wrapText="1"/>
      <protection locked="0"/>
    </xf>
    <xf numFmtId="0" fontId="46" fillId="5" borderId="0" xfId="0" applyFont="1" applyFill="1" applyBorder="1" applyAlignment="1" applyProtection="1">
      <alignment horizontal="center" vertical="center"/>
    </xf>
    <xf numFmtId="0" fontId="46" fillId="2" borderId="23" xfId="0" applyNumberFormat="1" applyFont="1" applyFill="1" applyBorder="1" applyAlignment="1" applyProtection="1">
      <alignment horizontal="center" vertical="center" wrapText="1"/>
      <protection locked="0"/>
    </xf>
    <xf numFmtId="0" fontId="46" fillId="5" borderId="34" xfId="0" applyNumberFormat="1" applyFont="1" applyFill="1" applyBorder="1" applyAlignment="1" applyProtection="1">
      <alignment horizontal="center" vertical="center" wrapText="1"/>
    </xf>
    <xf numFmtId="49" fontId="46" fillId="2" borderId="24" xfId="0" applyNumberFormat="1" applyFont="1" applyFill="1" applyBorder="1" applyAlignment="1" applyProtection="1">
      <alignment horizontal="center" vertical="center" wrapText="1"/>
      <protection locked="0"/>
    </xf>
    <xf numFmtId="0" fontId="46" fillId="5" borderId="64" xfId="0" applyNumberFormat="1" applyFont="1" applyFill="1" applyBorder="1" applyAlignment="1" applyProtection="1">
      <alignment horizontal="center" vertical="center" wrapText="1"/>
    </xf>
    <xf numFmtId="0" fontId="46" fillId="5" borderId="50" xfId="0" applyNumberFormat="1" applyFont="1" applyFill="1" applyBorder="1" applyAlignment="1" applyProtection="1">
      <alignment horizontal="center" vertical="center" wrapText="1"/>
    </xf>
    <xf numFmtId="0" fontId="39" fillId="5" borderId="35" xfId="0" applyFont="1" applyFill="1" applyBorder="1" applyAlignment="1" applyProtection="1">
      <alignment horizontal="center" vertical="center" wrapText="1"/>
    </xf>
    <xf numFmtId="49" fontId="46" fillId="0" borderId="25" xfId="0" applyNumberFormat="1" applyFont="1" applyFill="1" applyBorder="1" applyAlignment="1" applyProtection="1">
      <alignment horizontal="center" vertical="center" wrapText="1"/>
      <protection locked="0"/>
    </xf>
    <xf numFmtId="0" fontId="46" fillId="5" borderId="60" xfId="0" applyNumberFormat="1" applyFont="1" applyFill="1" applyBorder="1" applyAlignment="1" applyProtection="1">
      <alignment horizontal="center" vertical="center" wrapText="1"/>
    </xf>
    <xf numFmtId="49" fontId="46" fillId="0" borderId="26" xfId="0" applyNumberFormat="1" applyFont="1" applyFill="1" applyBorder="1" applyAlignment="1" applyProtection="1">
      <alignment horizontal="center" vertical="center" wrapText="1"/>
      <protection locked="0"/>
    </xf>
    <xf numFmtId="0" fontId="46" fillId="5" borderId="58" xfId="0" applyNumberFormat="1" applyFont="1" applyFill="1" applyBorder="1" applyAlignment="1" applyProtection="1">
      <alignment horizontal="center" vertical="center" wrapText="1"/>
    </xf>
    <xf numFmtId="0" fontId="39" fillId="5" borderId="64" xfId="0" applyFont="1" applyFill="1" applyBorder="1" applyAlignment="1" applyProtection="1">
      <alignment horizontal="center" vertical="center" wrapText="1"/>
    </xf>
    <xf numFmtId="0" fontId="46" fillId="2" borderId="26" xfId="0" applyNumberFormat="1" applyFont="1" applyFill="1" applyBorder="1" applyAlignment="1" applyProtection="1">
      <alignment horizontal="center" vertical="center" wrapText="1"/>
      <protection locked="0"/>
    </xf>
    <xf numFmtId="49" fontId="46" fillId="0" borderId="27" xfId="0" applyNumberFormat="1" applyFont="1" applyFill="1" applyBorder="1" applyAlignment="1" applyProtection="1">
      <alignment horizontal="center" vertical="center" wrapText="1"/>
      <protection locked="0"/>
    </xf>
    <xf numFmtId="0" fontId="46" fillId="5" borderId="35" xfId="0" applyNumberFormat="1" applyFont="1" applyFill="1" applyBorder="1" applyAlignment="1" applyProtection="1">
      <alignment horizontal="center" vertical="center" wrapText="1"/>
    </xf>
    <xf numFmtId="49" fontId="46" fillId="0" borderId="16" xfId="0" applyNumberFormat="1" applyFont="1" applyFill="1" applyBorder="1" applyAlignment="1" applyProtection="1">
      <alignment horizontal="center" vertical="center" wrapText="1"/>
      <protection locked="0"/>
    </xf>
    <xf numFmtId="0" fontId="46" fillId="2" borderId="7" xfId="0" applyNumberFormat="1" applyFont="1" applyFill="1" applyBorder="1" applyAlignment="1" applyProtection="1">
      <alignment horizontal="center" vertical="center" wrapText="1"/>
      <protection locked="0"/>
    </xf>
    <xf numFmtId="0" fontId="46" fillId="5" borderId="2" xfId="0" applyNumberFormat="1" applyFont="1" applyFill="1" applyBorder="1" applyAlignment="1" applyProtection="1">
      <alignment horizontal="center" vertical="center" wrapText="1"/>
    </xf>
    <xf numFmtId="0" fontId="39" fillId="5" borderId="34" xfId="0" applyNumberFormat="1" applyFont="1" applyFill="1" applyBorder="1" applyAlignment="1" applyProtection="1">
      <alignment horizontal="center" vertical="center" wrapText="1"/>
    </xf>
    <xf numFmtId="0" fontId="39" fillId="5" borderId="64" xfId="0" applyNumberFormat="1" applyFont="1" applyFill="1" applyBorder="1" applyAlignment="1" applyProtection="1">
      <alignment horizontal="center" vertical="center" wrapText="1"/>
    </xf>
    <xf numFmtId="0" fontId="45" fillId="5" borderId="22" xfId="0" applyFont="1" applyFill="1" applyBorder="1" applyAlignment="1" applyProtection="1">
      <alignment vertical="center" textRotation="255" wrapText="1"/>
    </xf>
    <xf numFmtId="0" fontId="46" fillId="5" borderId="31" xfId="0" applyNumberFormat="1" applyFont="1" applyFill="1" applyBorder="1" applyAlignment="1" applyProtection="1">
      <alignment horizontal="center" vertical="center" wrapText="1"/>
    </xf>
    <xf numFmtId="0" fontId="69" fillId="5" borderId="26" xfId="0" applyFont="1" applyFill="1" applyBorder="1" applyAlignment="1" applyProtection="1">
      <alignment vertical="center" textRotation="255" wrapText="1"/>
    </xf>
    <xf numFmtId="0" fontId="39" fillId="0" borderId="19"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protection locked="0"/>
    </xf>
    <xf numFmtId="0" fontId="44"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textRotation="255" wrapText="1"/>
    </xf>
    <xf numFmtId="0" fontId="41" fillId="5" borderId="26" xfId="0" applyFont="1" applyFill="1" applyBorder="1" applyAlignment="1" applyProtection="1">
      <alignment vertical="center" textRotation="255" wrapText="1"/>
    </xf>
    <xf numFmtId="9" fontId="39" fillId="0" borderId="19" xfId="0" applyNumberFormat="1" applyFont="1" applyFill="1" applyBorder="1" applyAlignment="1" applyProtection="1">
      <alignment horizontal="center" vertical="center" wrapText="1"/>
      <protection locked="0"/>
    </xf>
    <xf numFmtId="9" fontId="39" fillId="0" borderId="3" xfId="0" applyNumberFormat="1" applyFont="1" applyFill="1" applyBorder="1" applyAlignment="1" applyProtection="1">
      <alignment horizontal="center" vertical="center" wrapText="1"/>
      <protection locked="0"/>
    </xf>
    <xf numFmtId="9" fontId="39" fillId="0" borderId="7" xfId="0" applyNumberFormat="1" applyFont="1" applyFill="1" applyBorder="1" applyAlignment="1" applyProtection="1">
      <alignment horizontal="center" vertical="center" wrapText="1"/>
      <protection locked="0"/>
    </xf>
    <xf numFmtId="0" fontId="46" fillId="0" borderId="3" xfId="0" applyNumberFormat="1" applyFont="1" applyFill="1" applyBorder="1" applyAlignment="1" applyProtection="1">
      <alignment horizontal="center" vertical="center" wrapText="1"/>
      <protection locked="0"/>
    </xf>
    <xf numFmtId="0" fontId="45" fillId="5" borderId="42" xfId="0" applyFont="1" applyFill="1" applyBorder="1" applyAlignment="1" applyProtection="1">
      <alignment vertical="center" textRotation="255" wrapText="1"/>
    </xf>
    <xf numFmtId="49" fontId="45" fillId="5" borderId="46" xfId="0" applyNumberFormat="1" applyFont="1" applyFill="1" applyBorder="1" applyAlignment="1" applyProtection="1">
      <alignment vertical="center"/>
    </xf>
    <xf numFmtId="49" fontId="45" fillId="5" borderId="47" xfId="0" applyNumberFormat="1" applyFont="1" applyFill="1" applyBorder="1" applyAlignment="1" applyProtection="1">
      <alignment vertical="center"/>
    </xf>
    <xf numFmtId="0" fontId="45" fillId="5" borderId="38" xfId="0" applyFont="1" applyFill="1" applyBorder="1" applyAlignment="1" applyProtection="1">
      <alignment vertical="center" wrapText="1"/>
    </xf>
    <xf numFmtId="0" fontId="70" fillId="3" borderId="47" xfId="0" applyFont="1" applyFill="1" applyBorder="1" applyAlignment="1" applyProtection="1">
      <alignment vertical="center" wrapText="1"/>
      <protection locked="0"/>
    </xf>
    <xf numFmtId="0" fontId="70" fillId="5" borderId="47" xfId="0" applyFont="1" applyFill="1" applyBorder="1" applyAlignment="1" applyProtection="1">
      <alignment vertical="center" wrapText="1"/>
    </xf>
    <xf numFmtId="0" fontId="70" fillId="3" borderId="46" xfId="0" applyFont="1" applyFill="1" applyBorder="1" applyAlignment="1" applyProtection="1">
      <alignment vertical="center" wrapText="1"/>
      <protection locked="0"/>
    </xf>
    <xf numFmtId="0" fontId="70" fillId="5" borderId="38" xfId="0" applyFont="1" applyFill="1" applyBorder="1" applyAlignment="1" applyProtection="1">
      <alignment vertical="center" wrapText="1"/>
    </xf>
    <xf numFmtId="49" fontId="45" fillId="5" borderId="20" xfId="0" applyNumberFormat="1" applyFont="1" applyFill="1" applyBorder="1" applyAlignment="1" applyProtection="1">
      <alignment vertical="center"/>
    </xf>
    <xf numFmtId="49" fontId="45" fillId="5" borderId="48" xfId="0" applyNumberFormat="1" applyFont="1" applyFill="1" applyBorder="1" applyAlignment="1" applyProtection="1">
      <alignment vertical="center"/>
    </xf>
    <xf numFmtId="186" fontId="45" fillId="5" borderId="20" xfId="0" applyNumberFormat="1" applyFont="1" applyFill="1" applyBorder="1" applyAlignment="1" applyProtection="1">
      <alignment vertical="center" wrapText="1"/>
    </xf>
    <xf numFmtId="186" fontId="45" fillId="5" borderId="48" xfId="0" applyNumberFormat="1" applyFont="1" applyFill="1" applyBorder="1" applyAlignment="1" applyProtection="1">
      <alignment vertical="center" wrapText="1"/>
    </xf>
    <xf numFmtId="49" fontId="45" fillId="0" borderId="29" xfId="0" applyNumberFormat="1" applyFont="1" applyFill="1" applyBorder="1" applyAlignment="1" applyProtection="1">
      <alignment vertical="center"/>
      <protection locked="0"/>
    </xf>
    <xf numFmtId="49" fontId="45" fillId="0" borderId="30" xfId="0" applyNumberFormat="1" applyFont="1" applyFill="1" applyBorder="1" applyAlignment="1" applyProtection="1">
      <alignment vertical="center"/>
      <protection locked="0"/>
    </xf>
    <xf numFmtId="186" fontId="45" fillId="5" borderId="40" xfId="0" applyNumberFormat="1" applyFont="1" applyFill="1" applyBorder="1" applyAlignment="1" applyProtection="1">
      <alignment vertical="center" wrapText="1"/>
    </xf>
    <xf numFmtId="189" fontId="46" fillId="0" borderId="0" xfId="0" applyNumberFormat="1" applyFont="1" applyFill="1" applyAlignment="1" applyProtection="1">
      <alignment horizontal="center" vertical="center"/>
      <protection locked="0"/>
    </xf>
    <xf numFmtId="181" fontId="46" fillId="0" borderId="0" xfId="0" applyNumberFormat="1" applyFont="1" applyFill="1" applyAlignment="1" applyProtection="1">
      <alignment horizontal="center" vertical="center"/>
      <protection locked="0"/>
    </xf>
    <xf numFmtId="0" fontId="45" fillId="5" borderId="1" xfId="0" applyFont="1" applyFill="1" applyBorder="1" applyAlignment="1" applyProtection="1">
      <alignment horizontal="left" vertical="center"/>
    </xf>
    <xf numFmtId="0" fontId="45" fillId="5" borderId="1" xfId="0" applyFont="1" applyFill="1" applyBorder="1" applyAlignment="1" applyProtection="1">
      <alignment horizontal="center" vertical="center" wrapText="1"/>
    </xf>
    <xf numFmtId="181" fontId="46" fillId="5" borderId="2" xfId="0" applyNumberFormat="1" applyFont="1" applyFill="1" applyBorder="1" applyAlignment="1" applyProtection="1">
      <alignment horizontal="center" vertical="center"/>
    </xf>
    <xf numFmtId="181" fontId="46" fillId="5" borderId="3" xfId="0" applyNumberFormat="1" applyFont="1" applyFill="1" applyBorder="1" applyAlignment="1" applyProtection="1">
      <alignment vertical="center"/>
    </xf>
    <xf numFmtId="0" fontId="45" fillId="5" borderId="3" xfId="0" applyFont="1" applyFill="1" applyBorder="1" applyAlignment="1" applyProtection="1">
      <alignment horizontal="center" vertical="center" wrapText="1"/>
    </xf>
    <xf numFmtId="0" fontId="68" fillId="0" borderId="0" xfId="0" applyFont="1" applyFill="1" applyAlignment="1" applyProtection="1">
      <alignment horizontal="center" vertical="center"/>
      <protection locked="0"/>
    </xf>
    <xf numFmtId="0" fontId="46" fillId="0" borderId="0" xfId="0" applyFont="1" applyBorder="1" applyAlignment="1" applyProtection="1">
      <protection locked="0"/>
    </xf>
    <xf numFmtId="9" fontId="39" fillId="0" borderId="0" xfId="0" applyNumberFormat="1" applyFont="1" applyFill="1" applyBorder="1" applyAlignment="1" applyProtection="1">
      <alignment horizontal="center" vertical="center" wrapText="1"/>
      <protection locked="0"/>
    </xf>
    <xf numFmtId="0" fontId="41" fillId="5" borderId="5" xfId="0" applyNumberFormat="1" applyFont="1" applyFill="1" applyBorder="1" applyAlignment="1" applyProtection="1">
      <alignment vertical="center" wrapText="1"/>
    </xf>
    <xf numFmtId="0" fontId="41" fillId="5" borderId="21" xfId="0" applyNumberFormat="1" applyFont="1" applyFill="1" applyBorder="1" applyAlignment="1" applyProtection="1">
      <alignment vertical="center" wrapText="1"/>
    </xf>
    <xf numFmtId="49" fontId="39" fillId="0" borderId="0" xfId="0" applyNumberFormat="1" applyFont="1" applyFill="1" applyBorder="1" applyAlignment="1" applyProtection="1">
      <alignment horizontal="center" vertical="center"/>
      <protection locked="0"/>
    </xf>
    <xf numFmtId="49" fontId="39" fillId="0" borderId="0" xfId="0" applyNumberFormat="1" applyFont="1" applyFill="1" applyAlignment="1" applyProtection="1">
      <alignment horizontal="center" vertical="center"/>
      <protection locked="0"/>
    </xf>
    <xf numFmtId="0" fontId="41" fillId="5" borderId="39" xfId="0" applyNumberFormat="1" applyFont="1" applyFill="1" applyBorder="1" applyAlignment="1" applyProtection="1">
      <alignment vertical="center" wrapText="1"/>
    </xf>
    <xf numFmtId="0" fontId="41" fillId="5" borderId="25" xfId="0" applyNumberFormat="1" applyFont="1" applyFill="1" applyBorder="1" applyAlignment="1" applyProtection="1">
      <alignment vertical="center" wrapText="1"/>
    </xf>
    <xf numFmtId="0" fontId="39" fillId="0" borderId="18" xfId="0" applyNumberFormat="1" applyFont="1" applyFill="1" applyBorder="1" applyAlignment="1" applyProtection="1">
      <alignment horizontal="center" vertical="center" wrapText="1"/>
      <protection locked="0"/>
    </xf>
    <xf numFmtId="0" fontId="39" fillId="0" borderId="35" xfId="0" applyNumberFormat="1" applyFont="1" applyFill="1" applyBorder="1" applyAlignment="1" applyProtection="1">
      <alignment horizontal="center" vertical="center" wrapText="1"/>
      <protection locked="0"/>
    </xf>
    <xf numFmtId="0" fontId="39" fillId="0" borderId="58" xfId="0" applyNumberFormat="1" applyFont="1" applyFill="1" applyBorder="1" applyAlignment="1" applyProtection="1">
      <alignment horizontal="center" vertical="center" wrapText="1"/>
      <protection locked="0"/>
    </xf>
    <xf numFmtId="0" fontId="41" fillId="5" borderId="29" xfId="0" applyNumberFormat="1" applyFont="1" applyFill="1" applyBorder="1" applyAlignment="1" applyProtection="1">
      <alignment vertical="center"/>
    </xf>
    <xf numFmtId="0" fontId="41" fillId="5" borderId="70" xfId="0" applyNumberFormat="1" applyFont="1" applyFill="1" applyBorder="1" applyAlignment="1" applyProtection="1">
      <alignment vertical="center" wrapText="1"/>
    </xf>
    <xf numFmtId="0" fontId="39" fillId="0" borderId="70" xfId="0" applyNumberFormat="1" applyFont="1" applyFill="1" applyBorder="1" applyAlignment="1" applyProtection="1">
      <alignment horizontal="center" vertical="center" wrapText="1"/>
      <protection locked="0"/>
    </xf>
    <xf numFmtId="0" fontId="39" fillId="0" borderId="71" xfId="0" applyNumberFormat="1" applyFont="1" applyFill="1" applyBorder="1" applyAlignment="1" applyProtection="1">
      <alignment horizontal="center" vertical="center" wrapText="1"/>
      <protection locked="0"/>
    </xf>
    <xf numFmtId="0" fontId="39" fillId="0" borderId="72" xfId="0" applyNumberFormat="1" applyFont="1" applyFill="1" applyBorder="1" applyAlignment="1" applyProtection="1">
      <alignment horizontal="center" vertical="center" wrapText="1"/>
      <protection locked="0"/>
    </xf>
    <xf numFmtId="0" fontId="39" fillId="0" borderId="73" xfId="0" applyNumberFormat="1" applyFont="1" applyFill="1" applyBorder="1" applyAlignment="1" applyProtection="1">
      <alignment horizontal="center" vertical="center" wrapText="1"/>
      <protection locked="0"/>
    </xf>
    <xf numFmtId="0" fontId="41" fillId="5" borderId="60" xfId="0" applyNumberFormat="1" applyFont="1" applyFill="1" applyBorder="1" applyAlignment="1" applyProtection="1">
      <alignment vertical="center" wrapText="1"/>
    </xf>
    <xf numFmtId="0" fontId="39" fillId="5" borderId="24" xfId="0" applyNumberFormat="1" applyFont="1" applyFill="1" applyBorder="1" applyAlignment="1" applyProtection="1">
      <alignment horizontal="center" vertical="center" wrapText="1"/>
    </xf>
    <xf numFmtId="0" fontId="39" fillId="0" borderId="17" xfId="0" applyNumberFormat="1" applyFont="1" applyFill="1" applyBorder="1" applyAlignment="1" applyProtection="1">
      <alignment horizontal="center" vertical="center" wrapText="1"/>
      <protection locked="0"/>
    </xf>
    <xf numFmtId="0" fontId="39" fillId="0" borderId="17" xfId="0" applyNumberFormat="1" applyFont="1" applyFill="1" applyBorder="1" applyAlignment="1" applyProtection="1">
      <alignment horizontal="left" vertical="center" wrapText="1"/>
      <protection locked="0"/>
    </xf>
    <xf numFmtId="0" fontId="39" fillId="0" borderId="34" xfId="0" applyNumberFormat="1" applyFont="1" applyFill="1" applyBorder="1" applyAlignment="1" applyProtection="1">
      <alignment horizontal="center" vertical="center" wrapText="1"/>
      <protection locked="0"/>
    </xf>
    <xf numFmtId="0" fontId="98" fillId="0" borderId="0" xfId="0" applyFont="1" applyFill="1" applyBorder="1" applyAlignment="1" applyProtection="1">
      <alignment vertical="center"/>
      <protection locked="0"/>
    </xf>
    <xf numFmtId="0" fontId="45" fillId="5" borderId="22" xfId="0" applyNumberFormat="1" applyFont="1" applyFill="1" applyBorder="1" applyAlignment="1" applyProtection="1">
      <alignment vertical="center" wrapText="1"/>
    </xf>
    <xf numFmtId="0" fontId="39" fillId="5" borderId="57" xfId="0" applyNumberFormat="1" applyFont="1" applyFill="1" applyBorder="1" applyAlignment="1" applyProtection="1">
      <alignment horizontal="center" vertical="center" wrapText="1"/>
    </xf>
    <xf numFmtId="0" fontId="46" fillId="5" borderId="11" xfId="0" applyNumberFormat="1" applyFont="1" applyFill="1" applyBorder="1" applyAlignment="1" applyProtection="1">
      <alignment horizontal="center" vertical="center" wrapText="1"/>
    </xf>
    <xf numFmtId="0" fontId="46"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left" vertical="center" wrapText="1"/>
      <protection locked="0"/>
    </xf>
    <xf numFmtId="0" fontId="68" fillId="0" borderId="31" xfId="0" applyNumberFormat="1" applyFont="1" applyFill="1" applyBorder="1" applyAlignment="1" applyProtection="1">
      <alignment horizontal="center" vertical="center" wrapText="1"/>
      <protection locked="0"/>
    </xf>
    <xf numFmtId="0" fontId="68" fillId="0" borderId="0"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wrapText="1"/>
    </xf>
    <xf numFmtId="0" fontId="44" fillId="5" borderId="74" xfId="0" applyNumberFormat="1" applyFont="1" applyFill="1" applyBorder="1" applyAlignment="1" applyProtection="1">
      <alignment horizontal="center" vertical="center" wrapText="1"/>
    </xf>
    <xf numFmtId="0" fontId="46" fillId="0" borderId="75" xfId="0" applyNumberFormat="1" applyFont="1" applyFill="1" applyBorder="1" applyAlignment="1" applyProtection="1">
      <alignment horizontal="center" vertical="center" wrapText="1"/>
      <protection locked="0"/>
    </xf>
    <xf numFmtId="0" fontId="46" fillId="0" borderId="76" xfId="0" applyNumberFormat="1" applyFont="1" applyFill="1" applyBorder="1" applyAlignment="1" applyProtection="1">
      <alignment horizontal="center" vertical="center" wrapText="1"/>
      <protection locked="0"/>
    </xf>
    <xf numFmtId="0" fontId="46" fillId="0" borderId="0" xfId="0" applyNumberFormat="1" applyFont="1" applyFill="1" applyBorder="1" applyAlignment="1" applyProtection="1">
      <alignment horizontal="center" vertical="center" wrapText="1"/>
      <protection locked="0"/>
    </xf>
    <xf numFmtId="0" fontId="39" fillId="5" borderId="54" xfId="0" applyNumberFormat="1" applyFont="1" applyFill="1" applyBorder="1" applyAlignment="1" applyProtection="1">
      <alignment horizontal="center" vertical="center" wrapText="1"/>
    </xf>
    <xf numFmtId="0" fontId="46"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left" vertical="center" wrapText="1"/>
    </xf>
    <xf numFmtId="0" fontId="68" fillId="5" borderId="33" xfId="0" applyNumberFormat="1" applyFont="1" applyFill="1" applyBorder="1" applyAlignment="1" applyProtection="1">
      <alignment horizontal="center" vertical="center" wrapText="1"/>
    </xf>
    <xf numFmtId="0" fontId="39" fillId="5" borderId="74" xfId="0" applyNumberFormat="1" applyFont="1" applyFill="1" applyBorder="1" applyAlignment="1" applyProtection="1">
      <alignment horizontal="center" vertical="center" wrapText="1"/>
    </xf>
    <xf numFmtId="0" fontId="46" fillId="5" borderId="75" xfId="0" applyNumberFormat="1" applyFont="1" applyFill="1" applyBorder="1" applyAlignment="1" applyProtection="1">
      <alignment horizontal="center" vertical="center" wrapText="1"/>
    </xf>
    <xf numFmtId="0" fontId="46" fillId="5" borderId="76" xfId="0" applyNumberFormat="1" applyFont="1" applyFill="1" applyBorder="1" applyAlignment="1" applyProtection="1">
      <alignment horizontal="center" vertical="center" wrapText="1"/>
    </xf>
    <xf numFmtId="0" fontId="39" fillId="5" borderId="49" xfId="0" applyNumberFormat="1" applyFont="1" applyFill="1" applyBorder="1" applyAlignment="1" applyProtection="1">
      <alignment horizontal="center" vertical="center" wrapText="1"/>
    </xf>
    <xf numFmtId="0" fontId="46" fillId="5" borderId="17" xfId="0" applyNumberFormat="1" applyFont="1" applyFill="1" applyBorder="1" applyAlignment="1" applyProtection="1">
      <alignment horizontal="center" vertical="center" wrapText="1"/>
    </xf>
    <xf numFmtId="0" fontId="44" fillId="5" borderId="49" xfId="0" applyNumberFormat="1" applyFont="1" applyFill="1" applyBorder="1" applyAlignment="1" applyProtection="1">
      <alignment horizontal="center" vertical="center" wrapText="1"/>
    </xf>
    <xf numFmtId="0" fontId="46"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left" vertical="center" wrapText="1"/>
      <protection locked="0"/>
    </xf>
    <xf numFmtId="0" fontId="68" fillId="0" borderId="6"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left" vertical="center" wrapText="1"/>
      <protection locked="0"/>
    </xf>
    <xf numFmtId="0" fontId="44" fillId="0" borderId="33" xfId="0" applyNumberFormat="1" applyFont="1" applyFill="1" applyBorder="1" applyAlignment="1" applyProtection="1">
      <alignment horizontal="center" vertical="center" wrapText="1"/>
      <protection locked="0"/>
    </xf>
    <xf numFmtId="0" fontId="44" fillId="0" borderId="0"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wrapText="1"/>
      <protection locked="0"/>
    </xf>
    <xf numFmtId="0" fontId="39" fillId="0" borderId="75" xfId="0" applyNumberFormat="1"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protection locked="0"/>
    </xf>
    <xf numFmtId="0" fontId="44" fillId="0" borderId="75" xfId="0" applyNumberFormat="1" applyFont="1" applyFill="1" applyBorder="1" applyAlignment="1" applyProtection="1">
      <alignment horizontal="center" vertical="center" wrapText="1"/>
      <protection locked="0"/>
    </xf>
    <xf numFmtId="0" fontId="44" fillId="0" borderId="76"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left" vertical="center" wrapText="1"/>
      <protection locked="0"/>
    </xf>
    <xf numFmtId="0" fontId="44" fillId="0" borderId="34"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vertical="center" wrapText="1"/>
      <protection locked="0"/>
    </xf>
    <xf numFmtId="0" fontId="69" fillId="5" borderId="42" xfId="0" applyNumberFormat="1" applyFont="1" applyFill="1" applyBorder="1" applyAlignment="1" applyProtection="1">
      <alignment vertical="center" wrapText="1"/>
    </xf>
    <xf numFmtId="0" fontId="39" fillId="5" borderId="71" xfId="0" applyNumberFormat="1" applyFont="1" applyFill="1" applyBorder="1" applyAlignment="1" applyProtection="1">
      <alignment horizontal="center" vertical="center" wrapText="1"/>
    </xf>
    <xf numFmtId="0" fontId="39" fillId="0" borderId="61" xfId="0" applyNumberFormat="1" applyFont="1" applyFill="1" applyBorder="1" applyAlignment="1" applyProtection="1">
      <alignment horizontal="center" vertical="center" wrapText="1"/>
      <protection locked="0"/>
    </xf>
    <xf numFmtId="0" fontId="44" fillId="0" borderId="61" xfId="0" applyNumberFormat="1" applyFont="1" applyFill="1" applyBorder="1" applyAlignment="1" applyProtection="1">
      <alignment horizontal="center" vertical="center" wrapText="1"/>
      <protection locked="0"/>
    </xf>
    <xf numFmtId="0" fontId="44" fillId="0" borderId="43" xfId="0" applyNumberFormat="1" applyFont="1" applyFill="1" applyBorder="1" applyAlignment="1" applyProtection="1">
      <alignment horizontal="center" vertical="center" wrapText="1"/>
      <protection locked="0"/>
    </xf>
    <xf numFmtId="0" fontId="39"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left" vertical="center" wrapText="1"/>
    </xf>
    <xf numFmtId="0" fontId="68" fillId="5" borderId="31" xfId="0" applyNumberFormat="1" applyFont="1" applyFill="1" applyBorder="1" applyAlignment="1" applyProtection="1">
      <alignment horizontal="center" vertical="center" wrapText="1"/>
    </xf>
    <xf numFmtId="0" fontId="39" fillId="0" borderId="0" xfId="0" applyFont="1" applyFill="1" applyBorder="1" applyAlignment="1" applyProtection="1">
      <alignment vertical="center" wrapText="1"/>
      <protection locked="0"/>
    </xf>
    <xf numFmtId="0" fontId="39" fillId="5" borderId="32" xfId="0" applyNumberFormat="1" applyFont="1" applyFill="1" applyBorder="1" applyAlignment="1" applyProtection="1">
      <alignment horizontal="center" vertical="center" wrapText="1"/>
    </xf>
    <xf numFmtId="0" fontId="41"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left" vertical="center" wrapText="1"/>
      <protection locked="0"/>
    </xf>
    <xf numFmtId="0" fontId="39" fillId="0" borderId="33" xfId="0" applyNumberFormat="1" applyFont="1" applyFill="1" applyBorder="1" applyAlignment="1" applyProtection="1">
      <alignment horizontal="center" vertical="center" wrapText="1"/>
      <protection locked="0"/>
    </xf>
    <xf numFmtId="0" fontId="39" fillId="5" borderId="75" xfId="0" applyNumberFormat="1" applyFont="1" applyFill="1" applyBorder="1" applyAlignment="1" applyProtection="1">
      <alignment horizontal="center" vertical="center" wrapText="1"/>
    </xf>
    <xf numFmtId="0" fontId="46"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left" vertical="center" wrapText="1"/>
      <protection locked="0"/>
    </xf>
    <xf numFmtId="0" fontId="68" fillId="0" borderId="33" xfId="0" applyNumberFormat="1" applyFont="1" applyFill="1" applyBorder="1" applyAlignment="1" applyProtection="1">
      <alignment horizontal="center" vertical="center" wrapText="1"/>
      <protection locked="0"/>
    </xf>
    <xf numFmtId="0" fontId="46"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left" vertical="center" wrapText="1"/>
      <protection locked="0"/>
    </xf>
    <xf numFmtId="0" fontId="68" fillId="0" borderId="34" xfId="0" applyNumberFormat="1" applyFont="1" applyFill="1" applyBorder="1" applyAlignment="1" applyProtection="1">
      <alignment horizontal="center" vertical="center" wrapText="1"/>
      <protection locked="0"/>
    </xf>
    <xf numFmtId="0" fontId="46" fillId="0" borderId="61" xfId="0" applyNumberFormat="1" applyFont="1" applyFill="1" applyBorder="1" applyAlignment="1" applyProtection="1">
      <alignment horizontal="center" vertical="center" wrapText="1"/>
      <protection locked="0"/>
    </xf>
    <xf numFmtId="0" fontId="46" fillId="0" borderId="43"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textRotation="255" wrapText="1"/>
    </xf>
    <xf numFmtId="0" fontId="39" fillId="5" borderId="60" xfId="0" applyNumberFormat="1" applyFont="1" applyFill="1" applyBorder="1" applyAlignment="1" applyProtection="1">
      <alignment horizontal="center" vertical="center"/>
    </xf>
    <xf numFmtId="0" fontId="39"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left" vertical="center" wrapText="1"/>
      <protection locked="0"/>
    </xf>
    <xf numFmtId="0" fontId="44" fillId="0" borderId="6"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textRotation="255" wrapText="1"/>
    </xf>
    <xf numFmtId="0" fontId="44" fillId="5" borderId="32" xfId="0" applyNumberFormat="1" applyFont="1" applyFill="1" applyBorder="1" applyAlignment="1" applyProtection="1">
      <alignment horizontal="center" vertical="center" wrapText="1"/>
    </xf>
    <xf numFmtId="0" fontId="44" fillId="5" borderId="32" xfId="0" applyNumberFormat="1" applyFont="1" applyFill="1" applyBorder="1" applyAlignment="1" applyProtection="1">
      <alignment horizontal="left" vertical="center" wrapText="1"/>
    </xf>
    <xf numFmtId="0" fontId="44" fillId="5" borderId="33" xfId="0" applyNumberFormat="1" applyFont="1" applyFill="1" applyBorder="1" applyAlignment="1" applyProtection="1">
      <alignment horizontal="center" vertical="center" wrapText="1"/>
    </xf>
    <xf numFmtId="0" fontId="39" fillId="5" borderId="1" xfId="0" applyNumberFormat="1" applyFont="1" applyFill="1" applyBorder="1" applyAlignment="1" applyProtection="1">
      <alignment horizontal="center" vertical="center" wrapText="1"/>
    </xf>
    <xf numFmtId="0" fontId="44" fillId="5" borderId="1" xfId="0" applyNumberFormat="1" applyFont="1" applyFill="1" applyBorder="1" applyAlignment="1" applyProtection="1">
      <alignment horizontal="left" vertical="center" wrapText="1"/>
    </xf>
    <xf numFmtId="0" fontId="44" fillId="5" borderId="75" xfId="0" applyNumberFormat="1" applyFont="1" applyFill="1" applyBorder="1" applyAlignment="1" applyProtection="1">
      <alignment horizontal="center" vertical="center" wrapText="1"/>
    </xf>
    <xf numFmtId="0" fontId="44" fillId="5" borderId="76" xfId="0" applyNumberFormat="1" applyFont="1" applyFill="1" applyBorder="1" applyAlignment="1" applyProtection="1">
      <alignment horizontal="center" vertical="center" wrapText="1"/>
    </xf>
    <xf numFmtId="186" fontId="52" fillId="5" borderId="18" xfId="0" applyNumberFormat="1" applyFont="1" applyFill="1" applyBorder="1" applyAlignment="1" applyProtection="1">
      <alignment horizontal="right" vertical="center"/>
    </xf>
    <xf numFmtId="189" fontId="39" fillId="5" borderId="3" xfId="0" applyNumberFormat="1" applyFont="1" applyFill="1" applyBorder="1" applyAlignment="1" applyProtection="1">
      <alignment horizontal="center" vertical="center" wrapText="1"/>
    </xf>
    <xf numFmtId="0" fontId="39" fillId="5" borderId="3" xfId="0" applyNumberFormat="1" applyFont="1" applyFill="1" applyBorder="1" applyAlignment="1" applyProtection="1">
      <alignment horizontal="center" vertical="center" wrapText="1"/>
    </xf>
    <xf numFmtId="0" fontId="53" fillId="0" borderId="3" xfId="0" applyNumberFormat="1" applyFont="1" applyFill="1" applyBorder="1" applyAlignment="1" applyProtection="1">
      <alignment horizontal="center" vertical="center" wrapText="1"/>
      <protection locked="0"/>
    </xf>
    <xf numFmtId="0" fontId="53" fillId="5" borderId="3" xfId="0" applyNumberFormat="1" applyFont="1" applyFill="1" applyBorder="1" applyAlignment="1" applyProtection="1">
      <alignment horizontal="center" vertical="center" wrapText="1"/>
    </xf>
    <xf numFmtId="0" fontId="53" fillId="0" borderId="16" xfId="0" applyNumberFormat="1" applyFont="1" applyFill="1" applyBorder="1" applyAlignment="1" applyProtection="1">
      <alignment horizontal="center" vertical="center" wrapText="1"/>
      <protection locked="0"/>
    </xf>
    <xf numFmtId="0" fontId="53" fillId="5" borderId="23" xfId="0" applyNumberFormat="1" applyFont="1" applyFill="1" applyBorder="1" applyAlignment="1" applyProtection="1">
      <alignment horizontal="center" vertical="center" wrapText="1"/>
    </xf>
    <xf numFmtId="0" fontId="46" fillId="2" borderId="19" xfId="0" applyNumberFormat="1" applyFont="1" applyFill="1" applyBorder="1" applyAlignment="1" applyProtection="1">
      <alignment horizontal="center" vertical="center" wrapText="1"/>
      <protection locked="0"/>
    </xf>
    <xf numFmtId="189" fontId="46" fillId="3" borderId="3" xfId="0" applyNumberFormat="1" applyFont="1" applyFill="1" applyBorder="1" applyAlignment="1" applyProtection="1">
      <alignment horizontal="center" vertical="center"/>
      <protection locked="0"/>
    </xf>
    <xf numFmtId="189" fontId="46" fillId="3" borderId="1" xfId="0" applyNumberFormat="1" applyFont="1" applyFill="1" applyBorder="1" applyAlignment="1" applyProtection="1">
      <alignment horizontal="center" vertical="center" wrapText="1"/>
      <protection locked="0"/>
    </xf>
    <xf numFmtId="0" fontId="39" fillId="5" borderId="33" xfId="0" applyNumberFormat="1" applyFont="1" applyFill="1" applyBorder="1" applyAlignment="1" applyProtection="1">
      <alignment horizontal="center" vertical="center" wrapText="1"/>
    </xf>
    <xf numFmtId="0" fontId="46"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left" vertical="center" wrapText="1"/>
      <protection locked="0"/>
    </xf>
    <xf numFmtId="0" fontId="68" fillId="0" borderId="50" xfId="0" applyNumberFormat="1" applyFont="1" applyFill="1" applyBorder="1" applyAlignment="1" applyProtection="1">
      <alignment horizontal="center" vertical="center" wrapText="1"/>
      <protection locked="0"/>
    </xf>
    <xf numFmtId="0" fontId="39" fillId="0" borderId="42" xfId="0" applyNumberFormat="1" applyFont="1" applyFill="1" applyBorder="1" applyAlignment="1" applyProtection="1">
      <alignment horizontal="center" vertical="center" wrapText="1"/>
      <protection locked="0"/>
    </xf>
    <xf numFmtId="0" fontId="39" fillId="5" borderId="59" xfId="0" applyFont="1" applyFill="1" applyBorder="1" applyAlignment="1" applyProtection="1">
      <alignment horizontal="center" vertical="center" wrapText="1"/>
    </xf>
    <xf numFmtId="0" fontId="46" fillId="5" borderId="53" xfId="0" applyFont="1" applyFill="1" applyBorder="1" applyAlignment="1" applyProtection="1">
      <alignment horizontal="center" vertical="center"/>
    </xf>
    <xf numFmtId="0" fontId="39" fillId="5" borderId="58" xfId="0" applyFont="1" applyFill="1" applyBorder="1" applyAlignment="1" applyProtection="1">
      <alignment horizontal="center" vertical="center" wrapText="1"/>
    </xf>
    <xf numFmtId="0" fontId="39" fillId="5" borderId="34" xfId="0" applyFont="1" applyFill="1" applyBorder="1" applyAlignment="1" applyProtection="1">
      <alignment horizontal="center" vertical="center" wrapText="1"/>
    </xf>
    <xf numFmtId="0" fontId="39" fillId="5" borderId="50" xfId="0" applyFont="1" applyFill="1" applyBorder="1" applyAlignment="1" applyProtection="1">
      <alignment horizontal="center" vertical="center" wrapText="1"/>
    </xf>
    <xf numFmtId="0" fontId="46" fillId="2" borderId="51" xfId="0" applyNumberFormat="1" applyFont="1" applyFill="1" applyBorder="1" applyAlignment="1" applyProtection="1">
      <alignment horizontal="center" vertical="center" wrapText="1"/>
      <protection locked="0"/>
    </xf>
    <xf numFmtId="0" fontId="39" fillId="0" borderId="43" xfId="0" applyFont="1" applyFill="1" applyBorder="1" applyAlignment="1" applyProtection="1">
      <alignment horizontal="center" vertical="center" wrapText="1"/>
      <protection locked="0"/>
    </xf>
    <xf numFmtId="0" fontId="46" fillId="5" borderId="54" xfId="0" applyNumberFormat="1" applyFont="1" applyFill="1" applyBorder="1" applyAlignment="1" applyProtection="1">
      <alignment horizontal="center" vertical="center" wrapText="1"/>
    </xf>
    <xf numFmtId="0" fontId="46" fillId="0" borderId="0" xfId="0" applyFont="1" applyFill="1" applyBorder="1" applyAlignment="1" applyProtection="1">
      <alignment horizontal="center" vertical="center" wrapText="1"/>
      <protection locked="0"/>
    </xf>
    <xf numFmtId="9" fontId="46" fillId="0" borderId="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xf>
    <xf numFmtId="0" fontId="39" fillId="5" borderId="47" xfId="0" applyFont="1" applyFill="1" applyBorder="1" applyAlignment="1" applyProtection="1">
      <alignment horizontal="center" vertical="center" wrapText="1"/>
    </xf>
    <xf numFmtId="0" fontId="66" fillId="5" borderId="77" xfId="0" applyFont="1" applyFill="1" applyBorder="1" applyAlignment="1" applyProtection="1">
      <alignment vertical="center" wrapText="1"/>
    </xf>
    <xf numFmtId="0" fontId="39" fillId="5" borderId="51" xfId="0" applyFont="1" applyFill="1" applyBorder="1" applyAlignment="1" applyProtection="1">
      <alignment horizontal="center" vertical="center" wrapText="1"/>
    </xf>
    <xf numFmtId="0" fontId="45" fillId="5" borderId="77" xfId="0" applyFont="1" applyFill="1" applyBorder="1" applyAlignment="1" applyProtection="1">
      <alignment vertical="center" wrapText="1"/>
    </xf>
    <xf numFmtId="0" fontId="39" fillId="0" borderId="36" xfId="0" applyFont="1" applyFill="1" applyBorder="1" applyAlignment="1" applyProtection="1">
      <alignment horizontal="center" vertical="center" wrapText="1"/>
      <protection locked="0"/>
    </xf>
    <xf numFmtId="0" fontId="41" fillId="5" borderId="77" xfId="0" applyFont="1" applyFill="1" applyBorder="1" applyAlignment="1" applyProtection="1">
      <alignment vertical="center" wrapText="1"/>
    </xf>
    <xf numFmtId="0" fontId="45" fillId="5" borderId="78" xfId="0" applyFont="1" applyFill="1" applyBorder="1" applyAlignment="1" applyProtection="1">
      <alignment vertical="center" wrapText="1"/>
    </xf>
    <xf numFmtId="0" fontId="46" fillId="5" borderId="50" xfId="0"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wrapText="1"/>
    </xf>
    <xf numFmtId="0" fontId="39" fillId="5" borderId="73" xfId="0" applyNumberFormat="1" applyFont="1" applyFill="1" applyBorder="1" applyAlignment="1" applyProtection="1">
      <alignment horizontal="center" vertical="center" wrapText="1"/>
    </xf>
    <xf numFmtId="0" fontId="45" fillId="5" borderId="5" xfId="0" applyFont="1" applyFill="1" applyBorder="1" applyAlignment="1" applyProtection="1">
      <alignment vertical="center" textRotation="255" wrapText="1"/>
    </xf>
    <xf numFmtId="0" fontId="69" fillId="5" borderId="39" xfId="0" applyFont="1" applyFill="1" applyBorder="1" applyAlignment="1" applyProtection="1">
      <alignment vertical="center" textRotation="255" wrapText="1"/>
    </xf>
    <xf numFmtId="0" fontId="39" fillId="5" borderId="6" xfId="0" applyFont="1" applyFill="1" applyBorder="1" applyAlignment="1" applyProtection="1">
      <alignment horizontal="center" vertical="center" wrapText="1"/>
    </xf>
    <xf numFmtId="49" fontId="39" fillId="0" borderId="19" xfId="0" applyNumberFormat="1" applyFont="1" applyFill="1" applyBorder="1" applyAlignment="1" applyProtection="1">
      <alignment horizontal="center" vertical="center" wrapText="1"/>
      <protection locked="0"/>
    </xf>
    <xf numFmtId="0" fontId="45" fillId="5" borderId="39" xfId="0" applyFont="1" applyFill="1" applyBorder="1" applyAlignment="1" applyProtection="1">
      <alignment vertical="center" textRotation="255" wrapText="1"/>
    </xf>
    <xf numFmtId="0" fontId="39" fillId="2" borderId="19" xfId="0" applyNumberFormat="1"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textRotation="255" wrapText="1"/>
    </xf>
    <xf numFmtId="0" fontId="45" fillId="5" borderId="29" xfId="0" applyFont="1" applyFill="1" applyBorder="1" applyAlignment="1" applyProtection="1">
      <alignment vertical="center" textRotation="255" wrapText="1"/>
    </xf>
    <xf numFmtId="0" fontId="46" fillId="5" borderId="49" xfId="0" applyNumberFormat="1" applyFont="1" applyFill="1" applyBorder="1" applyAlignment="1" applyProtection="1">
      <alignment horizontal="center" vertical="center" wrapText="1"/>
    </xf>
    <xf numFmtId="49" fontId="46"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left" vertical="center" wrapText="1"/>
      <protection locked="0"/>
    </xf>
    <xf numFmtId="49" fontId="68" fillId="0" borderId="31" xfId="0" applyNumberFormat="1" applyFont="1" applyFill="1" applyBorder="1" applyAlignment="1" applyProtection="1">
      <alignment horizontal="center" vertical="center" wrapText="1"/>
      <protection locked="0"/>
    </xf>
    <xf numFmtId="0" fontId="39" fillId="5" borderId="50" xfId="0" applyNumberFormat="1" applyFont="1" applyFill="1" applyBorder="1" applyAlignment="1" applyProtection="1">
      <alignment horizontal="center" vertical="center" wrapText="1"/>
    </xf>
    <xf numFmtId="0" fontId="39" fillId="5" borderId="60" xfId="0" applyNumberFormat="1" applyFont="1" applyFill="1" applyBorder="1" applyAlignment="1" applyProtection="1">
      <alignment horizontal="center" vertical="center" wrapText="1"/>
    </xf>
    <xf numFmtId="0" fontId="46" fillId="5" borderId="13"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left" vertical="center" wrapText="1"/>
    </xf>
    <xf numFmtId="0" fontId="68" fillId="5" borderId="50" xfId="0" applyNumberFormat="1" applyFont="1" applyFill="1" applyBorder="1" applyAlignment="1" applyProtection="1">
      <alignment horizontal="center" vertical="center" wrapText="1"/>
    </xf>
    <xf numFmtId="177" fontId="52" fillId="5" borderId="1" xfId="0" applyNumberFormat="1" applyFont="1" applyFill="1" applyBorder="1" applyAlignment="1" applyProtection="1">
      <alignment horizontal="right" vertical="center"/>
    </xf>
    <xf numFmtId="0" fontId="56" fillId="5" borderId="3" xfId="0" applyNumberFormat="1" applyFont="1" applyFill="1" applyBorder="1" applyAlignment="1" applyProtection="1">
      <alignment horizontal="center" vertical="center" wrapText="1"/>
    </xf>
    <xf numFmtId="0" fontId="56" fillId="0" borderId="3" xfId="0" applyNumberFormat="1" applyFont="1" applyFill="1" applyBorder="1" applyAlignment="1" applyProtection="1">
      <alignment horizontal="center" vertical="center" wrapText="1"/>
      <protection locked="0"/>
    </xf>
    <xf numFmtId="0" fontId="46" fillId="0" borderId="7" xfId="0" applyNumberFormat="1" applyFont="1" applyFill="1" applyBorder="1" applyAlignment="1" applyProtection="1">
      <alignment horizontal="center" vertical="center" wrapText="1"/>
      <protection locked="0"/>
    </xf>
    <xf numFmtId="0" fontId="46" fillId="5" borderId="39" xfId="0" applyFont="1" applyFill="1" applyBorder="1" applyAlignment="1" applyProtection="1">
      <alignment horizontal="center" vertical="center"/>
    </xf>
    <xf numFmtId="0" fontId="69" fillId="5" borderId="29" xfId="0" applyFont="1" applyFill="1" applyBorder="1" applyAlignment="1" applyProtection="1">
      <alignment vertical="center" textRotation="255" wrapText="1"/>
    </xf>
    <xf numFmtId="0" fontId="46" fillId="0" borderId="18" xfId="0" applyNumberFormat="1" applyFont="1" applyFill="1" applyBorder="1" applyAlignment="1" applyProtection="1">
      <alignment horizontal="center" vertical="center" wrapText="1"/>
      <protection locked="0"/>
    </xf>
    <xf numFmtId="0" fontId="46" fillId="0" borderId="8" xfId="0" applyNumberFormat="1" applyFont="1" applyFill="1" applyBorder="1" applyAlignment="1" applyProtection="1">
      <alignment horizontal="center" vertical="center" wrapText="1"/>
      <protection locked="0"/>
    </xf>
    <xf numFmtId="0" fontId="46" fillId="0" borderId="4" xfId="0" applyNumberFormat="1" applyFont="1" applyFill="1" applyBorder="1" applyAlignment="1" applyProtection="1">
      <alignment horizontal="center" vertical="center" wrapText="1"/>
      <protection locked="0"/>
    </xf>
    <xf numFmtId="0" fontId="71" fillId="5" borderId="3" xfId="0" applyNumberFormat="1" applyFont="1" applyFill="1" applyBorder="1" applyAlignment="1" applyProtection="1">
      <alignment horizontal="center" vertical="center" wrapText="1"/>
    </xf>
    <xf numFmtId="0" fontId="45" fillId="5" borderId="47" xfId="0" applyFont="1" applyFill="1" applyBorder="1" applyAlignment="1" applyProtection="1">
      <alignment horizontal="right" vertical="center" wrapText="1"/>
    </xf>
    <xf numFmtId="49" fontId="45" fillId="5" borderId="62" xfId="0" applyNumberFormat="1" applyFont="1" applyFill="1" applyBorder="1" applyAlignment="1" applyProtection="1">
      <alignment vertical="center"/>
    </xf>
    <xf numFmtId="14" fontId="46" fillId="5" borderId="4" xfId="0" applyNumberFormat="1" applyFont="1" applyFill="1" applyBorder="1" applyAlignment="1" applyProtection="1">
      <alignment horizontal="left" vertical="center"/>
    </xf>
    <xf numFmtId="176" fontId="46" fillId="5" borderId="11" xfId="0" applyNumberFormat="1" applyFont="1" applyFill="1" applyBorder="1" applyAlignment="1" applyProtection="1">
      <alignment horizontal="center" vertical="center"/>
    </xf>
    <xf numFmtId="0" fontId="46" fillId="5" borderId="11" xfId="0" applyFont="1" applyFill="1" applyBorder="1" applyAlignment="1" applyProtection="1">
      <alignment horizontal="center" vertical="center"/>
    </xf>
    <xf numFmtId="0" fontId="46" fillId="5" borderId="31" xfId="0" applyFont="1" applyFill="1" applyBorder="1" applyAlignment="1" applyProtection="1">
      <alignment horizontal="center" vertical="center"/>
    </xf>
    <xf numFmtId="0" fontId="48" fillId="5" borderId="7" xfId="0" applyFont="1" applyFill="1" applyBorder="1" applyAlignment="1" applyProtection="1"/>
    <xf numFmtId="186" fontId="48" fillId="5" borderId="1" xfId="1" applyNumberFormat="1" applyFont="1" applyFill="1" applyBorder="1" applyAlignment="1" applyProtection="1">
      <alignment horizontal="center"/>
    </xf>
    <xf numFmtId="0" fontId="48" fillId="5" borderId="1" xfId="0" applyFont="1" applyFill="1" applyBorder="1" applyAlignment="1" applyProtection="1">
      <alignment horizontal="center"/>
    </xf>
    <xf numFmtId="177" fontId="48" fillId="5" borderId="6" xfId="1" applyNumberFormat="1" applyFont="1" applyFill="1" applyBorder="1" applyAlignment="1" applyProtection="1">
      <alignment horizontal="center"/>
    </xf>
    <xf numFmtId="0" fontId="72" fillId="0" borderId="0" xfId="0" applyFont="1" applyFill="1" applyAlignment="1" applyProtection="1">
      <alignment horizontal="center" vertical="center"/>
      <protection locked="0"/>
    </xf>
    <xf numFmtId="0" fontId="48" fillId="5" borderId="7" xfId="1" applyFont="1" applyFill="1" applyBorder="1" applyAlignment="1" applyProtection="1"/>
    <xf numFmtId="179" fontId="48" fillId="0" borderId="1" xfId="1" applyNumberFormat="1" applyFont="1" applyFill="1" applyBorder="1" applyAlignment="1" applyProtection="1">
      <alignment horizontal="center"/>
      <protection locked="0"/>
    </xf>
    <xf numFmtId="0" fontId="42" fillId="5" borderId="61" xfId="0" applyFont="1" applyFill="1" applyBorder="1" applyAlignment="1" applyProtection="1">
      <alignment horizontal="center" vertical="center"/>
    </xf>
    <xf numFmtId="0" fontId="49" fillId="5" borderId="8" xfId="1" applyFont="1" applyFill="1" applyBorder="1" applyAlignment="1" applyProtection="1"/>
    <xf numFmtId="0" fontId="48" fillId="5" borderId="61" xfId="0" applyFont="1" applyFill="1" applyBorder="1" applyAlignment="1" applyProtection="1">
      <alignment horizontal="center"/>
    </xf>
    <xf numFmtId="177" fontId="49" fillId="5" borderId="43" xfId="0" applyNumberFormat="1" applyFont="1" applyFill="1" applyBorder="1" applyAlignment="1" applyProtection="1">
      <alignment horizontal="center"/>
    </xf>
    <xf numFmtId="0" fontId="39" fillId="5" borderId="32" xfId="0" applyNumberFormat="1" applyFont="1" applyFill="1" applyBorder="1" applyAlignment="1" applyProtection="1">
      <alignment horizontal="left" vertical="center" wrapText="1"/>
    </xf>
    <xf numFmtId="0" fontId="46" fillId="0" borderId="58" xfId="0" applyNumberFormat="1" applyFont="1" applyFill="1" applyBorder="1" applyAlignment="1" applyProtection="1">
      <alignment horizontal="center" vertical="center" wrapText="1"/>
      <protection locked="0"/>
    </xf>
    <xf numFmtId="0" fontId="46" fillId="0" borderId="56" xfId="0" applyNumberFormat="1" applyFont="1" applyFill="1" applyBorder="1" applyAlignment="1" applyProtection="1">
      <alignment horizontal="center" vertical="center" wrapText="1"/>
      <protection locked="0"/>
    </xf>
    <xf numFmtId="0" fontId="42" fillId="0" borderId="0" xfId="0" applyNumberFormat="1" applyFont="1" applyAlignment="1" applyProtection="1">
      <alignment horizontal="center" vertical="center"/>
      <protection locked="0"/>
    </xf>
    <xf numFmtId="0" fontId="42" fillId="5" borderId="5" xfId="0" applyNumberFormat="1" applyFont="1" applyFill="1" applyBorder="1" applyAlignment="1" applyProtection="1">
      <alignment horizontal="center" vertical="center" wrapText="1"/>
    </xf>
    <xf numFmtId="0" fontId="42" fillId="5" borderId="4" xfId="0" applyNumberFormat="1" applyFont="1" applyFill="1" applyBorder="1" applyAlignment="1" applyProtection="1">
      <alignment horizontal="center" vertical="center" wrapText="1"/>
    </xf>
    <xf numFmtId="0" fontId="42" fillId="5" borderId="11" xfId="0" applyNumberFormat="1" applyFont="1" applyFill="1" applyBorder="1" applyAlignment="1" applyProtection="1">
      <alignment horizontal="center" vertical="center" wrapText="1"/>
    </xf>
    <xf numFmtId="0" fontId="42" fillId="5" borderId="79" xfId="0" applyNumberFormat="1" applyFont="1" applyFill="1" applyBorder="1" applyAlignment="1" applyProtection="1">
      <alignment horizontal="center" vertical="center" wrapText="1"/>
    </xf>
    <xf numFmtId="0" fontId="48" fillId="0" borderId="0" xfId="0" applyFont="1" applyFill="1" applyAlignment="1" applyProtection="1">
      <alignment horizontal="center" vertical="center"/>
      <protection locked="0"/>
    </xf>
    <xf numFmtId="0" fontId="42" fillId="5" borderId="39" xfId="0" applyNumberFormat="1" applyFont="1" applyFill="1" applyBorder="1" applyAlignment="1" applyProtection="1">
      <alignment horizontal="center" vertical="center"/>
    </xf>
    <xf numFmtId="0" fontId="42" fillId="0" borderId="7" xfId="0" applyNumberFormat="1" applyFont="1" applyFill="1" applyBorder="1" applyAlignment="1" applyProtection="1">
      <alignment horizontal="center" vertical="center" wrapText="1"/>
      <protection locked="0"/>
    </xf>
    <xf numFmtId="0" fontId="42"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left" vertical="center" wrapText="1"/>
      <protection locked="0"/>
    </xf>
    <xf numFmtId="0" fontId="43" fillId="5" borderId="80" xfId="0" applyNumberFormat="1" applyFont="1" applyFill="1" applyBorder="1" applyAlignment="1" applyProtection="1">
      <alignment horizontal="center" vertical="center" wrapText="1"/>
    </xf>
    <xf numFmtId="0" fontId="43" fillId="0" borderId="0" xfId="0" applyFont="1" applyFill="1" applyAlignment="1" applyProtection="1">
      <alignment horizontal="center" vertical="center"/>
      <protection locked="0"/>
    </xf>
    <xf numFmtId="0" fontId="42" fillId="0" borderId="53" xfId="0" applyNumberFormat="1" applyFont="1" applyFill="1" applyBorder="1" applyAlignment="1" applyProtection="1">
      <alignment horizontal="center" vertical="center" wrapText="1"/>
      <protection locked="0"/>
    </xf>
    <xf numFmtId="0" fontId="48" fillId="5" borderId="53" xfId="0" applyNumberFormat="1" applyFont="1" applyFill="1" applyBorder="1" applyAlignment="1" applyProtection="1">
      <alignment horizontal="center" vertical="center" wrapText="1"/>
    </xf>
    <xf numFmtId="0" fontId="42" fillId="5" borderId="1" xfId="0" applyNumberFormat="1" applyFont="1" applyFill="1" applyBorder="1" applyAlignment="1" applyProtection="1">
      <alignment horizontal="center" vertical="center"/>
    </xf>
    <xf numFmtId="0" fontId="42" fillId="5" borderId="1" xfId="0" applyNumberFormat="1" applyFont="1" applyFill="1" applyBorder="1" applyAlignment="1" applyProtection="1">
      <alignment horizontal="center" vertical="center" wrapText="1"/>
    </xf>
    <xf numFmtId="0" fontId="55" fillId="0" borderId="1" xfId="0" applyFont="1" applyFill="1" applyBorder="1" applyAlignment="1" applyProtection="1">
      <alignment horizontal="center" vertical="center"/>
      <protection locked="0"/>
    </xf>
    <xf numFmtId="0" fontId="55" fillId="5" borderId="1" xfId="0" applyFont="1" applyFill="1" applyBorder="1" applyAlignment="1" applyProtection="1">
      <alignment horizontal="center" vertical="center"/>
    </xf>
    <xf numFmtId="0" fontId="55" fillId="2" borderId="1" xfId="0" applyFont="1" applyFill="1" applyBorder="1" applyAlignment="1" applyProtection="1">
      <alignment horizontal="center" vertical="center"/>
      <protection locked="0"/>
    </xf>
    <xf numFmtId="0" fontId="55" fillId="0" borderId="0" xfId="0" applyFont="1" applyProtection="1">
      <alignment vertical="center"/>
      <protection locked="0"/>
    </xf>
    <xf numFmtId="0" fontId="103" fillId="0" borderId="0" xfId="0" applyFont="1" applyProtection="1">
      <alignment vertical="center"/>
    </xf>
    <xf numFmtId="0" fontId="98" fillId="0" borderId="0" xfId="0" applyFont="1" applyAlignment="1" applyProtection="1">
      <alignment horizontal="center" vertical="center" wrapText="1"/>
    </xf>
    <xf numFmtId="0" fontId="98" fillId="0" borderId="0" xfId="0" applyFont="1" applyProtection="1">
      <alignment vertical="center"/>
    </xf>
    <xf numFmtId="0" fontId="98" fillId="0" borderId="0" xfId="0" applyFont="1" applyBorder="1" applyAlignment="1" applyProtection="1">
      <alignment horizontal="center" vertical="center"/>
    </xf>
    <xf numFmtId="0" fontId="98" fillId="5" borderId="0" xfId="0" applyFont="1" applyFill="1" applyAlignment="1" applyProtection="1">
      <alignment vertical="center"/>
    </xf>
    <xf numFmtId="0" fontId="98" fillId="5" borderId="0" xfId="0" applyFont="1" applyFill="1" applyAlignment="1" applyProtection="1">
      <alignment horizontal="left" vertical="center"/>
    </xf>
    <xf numFmtId="0" fontId="98" fillId="5" borderId="0" xfId="2" applyFont="1" applyFill="1" applyAlignment="1" applyProtection="1">
      <alignment horizontal="left"/>
    </xf>
    <xf numFmtId="186" fontId="101" fillId="0" borderId="1" xfId="0" applyNumberFormat="1" applyFont="1" applyFill="1" applyBorder="1" applyAlignment="1" applyProtection="1">
      <alignment horizontal="center"/>
      <protection locked="0"/>
    </xf>
    <xf numFmtId="49" fontId="57" fillId="5" borderId="0" xfId="0" applyNumberFormat="1" applyFont="1" applyFill="1" applyBorder="1" applyAlignment="1" applyProtection="1"/>
    <xf numFmtId="0" fontId="52" fillId="5" borderId="0" xfId="0" applyFont="1" applyFill="1" applyBorder="1" applyAlignment="1" applyProtection="1">
      <alignment vertical="center"/>
    </xf>
    <xf numFmtId="0" fontId="65" fillId="5" borderId="36" xfId="0" applyFont="1" applyFill="1" applyBorder="1" applyAlignment="1" applyProtection="1">
      <alignment vertical="center"/>
    </xf>
    <xf numFmtId="0" fontId="57" fillId="5" borderId="36" xfId="0" applyFont="1" applyFill="1" applyBorder="1" applyAlignment="1" applyProtection="1">
      <alignment vertical="center"/>
    </xf>
    <xf numFmtId="189" fontId="57" fillId="5" borderId="36" xfId="0" applyNumberFormat="1" applyFont="1" applyFill="1" applyBorder="1" applyAlignment="1" applyProtection="1">
      <alignment horizontal="center" vertical="center"/>
    </xf>
    <xf numFmtId="181" fontId="57" fillId="5" borderId="36" xfId="0" applyNumberFormat="1" applyFont="1" applyFill="1" applyBorder="1" applyAlignment="1" applyProtection="1">
      <alignment vertical="center"/>
    </xf>
    <xf numFmtId="0" fontId="57" fillId="5" borderId="36" xfId="0" applyFont="1" applyFill="1" applyBorder="1" applyAlignment="1" applyProtection="1">
      <alignment horizontal="center" vertical="center"/>
    </xf>
    <xf numFmtId="0" fontId="46" fillId="5" borderId="0" xfId="0" applyFont="1" applyFill="1" applyAlignment="1" applyProtection="1">
      <alignment horizontal="center" vertical="center"/>
    </xf>
    <xf numFmtId="0" fontId="68" fillId="5" borderId="0" xfId="0" applyFont="1" applyFill="1" applyAlignment="1" applyProtection="1">
      <alignment horizontal="center" vertical="center"/>
    </xf>
    <xf numFmtId="0" fontId="51" fillId="5" borderId="0" xfId="0" applyFont="1" applyFill="1" applyBorder="1" applyAlignment="1" applyProtection="1"/>
    <xf numFmtId="0" fontId="46" fillId="5" borderId="0" xfId="0" applyFont="1" applyFill="1" applyBorder="1" applyAlignment="1" applyProtection="1"/>
    <xf numFmtId="0" fontId="46" fillId="5" borderId="0" xfId="0" applyFont="1" applyFill="1" applyBorder="1" applyAlignment="1" applyProtection="1">
      <alignment horizontal="center"/>
    </xf>
    <xf numFmtId="189" fontId="46" fillId="5" borderId="0" xfId="0" applyNumberFormat="1" applyFont="1" applyFill="1" applyBorder="1" applyAlignment="1" applyProtection="1">
      <alignment horizontal="center"/>
    </xf>
    <xf numFmtId="181" fontId="46" fillId="5" borderId="0" xfId="0" applyNumberFormat="1" applyFont="1" applyFill="1" applyBorder="1" applyAlignment="1" applyProtection="1"/>
    <xf numFmtId="0" fontId="57" fillId="5" borderId="0" xfId="0" applyFont="1" applyFill="1" applyBorder="1" applyAlignment="1" applyProtection="1">
      <alignment horizontal="center" vertical="center"/>
    </xf>
    <xf numFmtId="0" fontId="59" fillId="5" borderId="0" xfId="0" applyFont="1" applyFill="1" applyBorder="1" applyAlignment="1" applyProtection="1">
      <alignment horizontal="center" vertical="center"/>
    </xf>
    <xf numFmtId="188" fontId="39" fillId="5" borderId="2" xfId="0" applyNumberFormat="1" applyFont="1" applyFill="1" applyBorder="1" applyAlignment="1" applyProtection="1">
      <alignment horizontal="center" vertical="center"/>
    </xf>
    <xf numFmtId="49" fontId="39" fillId="5" borderId="3" xfId="0" applyNumberFormat="1" applyFont="1" applyFill="1" applyBorder="1" applyAlignment="1" applyProtection="1">
      <alignment horizontal="center" vertical="center"/>
    </xf>
    <xf numFmtId="0" fontId="39" fillId="5" borderId="49" xfId="0" applyFont="1" applyFill="1" applyBorder="1" applyAlignment="1" applyProtection="1">
      <alignment horizontal="center" vertical="center"/>
    </xf>
    <xf numFmtId="0" fontId="39" fillId="5" borderId="1" xfId="0" applyNumberFormat="1" applyFont="1" applyFill="1" applyBorder="1" applyAlignment="1" applyProtection="1">
      <alignment horizontal="center" vertical="center"/>
    </xf>
    <xf numFmtId="188" fontId="46" fillId="5" borderId="2" xfId="0" applyNumberFormat="1" applyFont="1" applyFill="1" applyBorder="1" applyAlignment="1" applyProtection="1">
      <alignment horizontal="center" vertical="center"/>
    </xf>
    <xf numFmtId="49" fontId="46" fillId="5" borderId="3" xfId="0" applyNumberFormat="1" applyFont="1" applyFill="1" applyBorder="1" applyAlignment="1" applyProtection="1">
      <alignment horizontal="center" vertical="center"/>
    </xf>
    <xf numFmtId="0" fontId="44" fillId="5" borderId="1" xfId="0" applyFont="1" applyFill="1" applyBorder="1" applyAlignment="1" applyProtection="1">
      <alignment horizontal="center" vertical="center" wrapText="1"/>
    </xf>
    <xf numFmtId="188" fontId="44" fillId="5" borderId="2" xfId="0" applyNumberFormat="1" applyFont="1" applyFill="1" applyBorder="1" applyAlignment="1" applyProtection="1">
      <alignment horizontal="center" vertical="center"/>
    </xf>
    <xf numFmtId="49" fontId="44" fillId="5" borderId="3" xfId="0" applyNumberFormat="1" applyFont="1" applyFill="1" applyBorder="1" applyAlignment="1" applyProtection="1">
      <alignment horizontal="center" vertical="center"/>
    </xf>
    <xf numFmtId="0" fontId="44" fillId="5" borderId="49" xfId="0" applyFont="1" applyFill="1" applyBorder="1" applyAlignment="1" applyProtection="1">
      <alignment horizontal="center" vertical="center"/>
    </xf>
    <xf numFmtId="0" fontId="44" fillId="5" borderId="1" xfId="0" applyFont="1" applyFill="1" applyBorder="1" applyAlignment="1" applyProtection="1">
      <alignment horizontal="center" vertical="center"/>
    </xf>
    <xf numFmtId="0" fontId="46" fillId="5" borderId="17" xfId="0" applyFont="1" applyFill="1" applyBorder="1" applyAlignment="1" applyProtection="1">
      <alignment vertical="center" textRotation="255" wrapText="1"/>
    </xf>
    <xf numFmtId="0" fontId="59" fillId="5" borderId="0" xfId="0" applyFont="1" applyFill="1" applyAlignment="1" applyProtection="1">
      <alignment horizontal="center" vertical="center"/>
    </xf>
    <xf numFmtId="189" fontId="46" fillId="5" borderId="3" xfId="0" applyNumberFormat="1" applyFont="1" applyFill="1" applyBorder="1" applyAlignment="1" applyProtection="1">
      <alignment horizontal="center" vertical="center"/>
    </xf>
    <xf numFmtId="189" fontId="46" fillId="5" borderId="1" xfId="0" applyNumberFormat="1" applyFont="1" applyFill="1" applyBorder="1" applyAlignment="1" applyProtection="1">
      <alignment horizontal="center" vertical="center" wrapText="1"/>
    </xf>
    <xf numFmtId="0" fontId="40" fillId="5" borderId="1" xfId="0" applyFont="1" applyFill="1" applyBorder="1" applyAlignment="1" applyProtection="1">
      <alignment horizontal="right" vertical="center"/>
    </xf>
    <xf numFmtId="0" fontId="40" fillId="5" borderId="61" xfId="0" applyFont="1" applyFill="1" applyBorder="1" applyAlignment="1" applyProtection="1">
      <alignment horizontal="right" vertical="center"/>
    </xf>
    <xf numFmtId="0" fontId="57" fillId="5" borderId="65" xfId="0" applyFont="1" applyFill="1" applyBorder="1" applyAlignment="1" applyProtection="1">
      <alignment horizontal="center" vertical="center"/>
    </xf>
    <xf numFmtId="0" fontId="42" fillId="5" borderId="0" xfId="0" applyNumberFormat="1" applyFont="1" applyFill="1" applyAlignment="1" applyProtection="1">
      <alignment horizontal="center" vertical="center"/>
      <protection locked="0"/>
    </xf>
    <xf numFmtId="0" fontId="56" fillId="8" borderId="0" xfId="0" applyFont="1" applyFill="1" applyAlignment="1" applyProtection="1">
      <protection locked="0"/>
    </xf>
    <xf numFmtId="0" fontId="41" fillId="8" borderId="0" xfId="0" applyFont="1" applyFill="1" applyAlignment="1" applyProtection="1">
      <protection locked="0"/>
    </xf>
    <xf numFmtId="0" fontId="42" fillId="8" borderId="0" xfId="0" applyFont="1" applyFill="1" applyAlignment="1" applyProtection="1">
      <protection locked="0"/>
    </xf>
    <xf numFmtId="0" fontId="39" fillId="8" borderId="0" xfId="0" applyFont="1" applyFill="1" applyAlignment="1" applyProtection="1">
      <protection locked="0"/>
    </xf>
    <xf numFmtId="0" fontId="44" fillId="8" borderId="0" xfId="0" applyFont="1" applyFill="1" applyProtection="1">
      <alignment vertical="center"/>
      <protection locked="0"/>
    </xf>
    <xf numFmtId="0" fontId="39" fillId="8" borderId="0" xfId="0" applyFont="1" applyFill="1" applyAlignment="1" applyProtection="1">
      <alignment horizontal="center"/>
      <protection locked="0"/>
    </xf>
    <xf numFmtId="0" fontId="53" fillId="8" borderId="0" xfId="0" applyFont="1" applyFill="1" applyAlignment="1" applyProtection="1">
      <alignment vertical="center"/>
      <protection locked="0"/>
    </xf>
    <xf numFmtId="0" fontId="53" fillId="8" borderId="0" xfId="0" applyFont="1" applyFill="1" applyAlignment="1" applyProtection="1">
      <alignment horizontal="left" vertical="center"/>
      <protection locked="0"/>
    </xf>
    <xf numFmtId="179" fontId="48" fillId="8" borderId="0" xfId="0" applyNumberFormat="1" applyFont="1" applyFill="1" applyBorder="1" applyAlignment="1" applyProtection="1">
      <alignment horizontal="center" vertical="center"/>
      <protection locked="0"/>
    </xf>
    <xf numFmtId="0" fontId="53" fillId="8" borderId="0" xfId="0" applyFont="1" applyFill="1" applyBorder="1" applyAlignment="1" applyProtection="1">
      <alignment vertical="center"/>
      <protection locked="0"/>
    </xf>
    <xf numFmtId="0" fontId="53" fillId="8" borderId="0" xfId="0" applyFont="1" applyFill="1" applyAlignment="1" applyProtection="1">
      <alignment horizontal="center" vertical="center"/>
      <protection locked="0"/>
    </xf>
    <xf numFmtId="0" fontId="60" fillId="8" borderId="0" xfId="0" applyFont="1" applyFill="1" applyAlignment="1" applyProtection="1">
      <alignment vertical="center"/>
      <protection locked="0"/>
    </xf>
    <xf numFmtId="0" fontId="59" fillId="8" borderId="0" xfId="0" applyFont="1" applyFill="1" applyAlignment="1" applyProtection="1">
      <alignment vertical="center"/>
      <protection locked="0"/>
    </xf>
    <xf numFmtId="0" fontId="42" fillId="8" borderId="0" xfId="0" applyFont="1" applyFill="1" applyProtection="1">
      <alignment vertical="center"/>
      <protection locked="0"/>
    </xf>
    <xf numFmtId="0" fontId="48" fillId="8" borderId="0" xfId="0" applyFont="1" applyFill="1" applyAlignment="1" applyProtection="1">
      <alignment horizontal="center" vertical="center"/>
      <protection locked="0"/>
    </xf>
    <xf numFmtId="0" fontId="43"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wrapText="1"/>
      <protection locked="0"/>
    </xf>
    <xf numFmtId="0" fontId="55" fillId="8" borderId="0" xfId="0" applyFont="1" applyFill="1" applyProtection="1">
      <alignment vertical="center"/>
      <protection locked="0"/>
    </xf>
    <xf numFmtId="0" fontId="56" fillId="5" borderId="3" xfId="0" applyNumberFormat="1" applyFont="1" applyFill="1" applyBorder="1" applyAlignment="1" applyProtection="1">
      <alignment horizontal="center" vertical="center" wrapText="1"/>
      <protection locked="0"/>
    </xf>
    <xf numFmtId="0" fontId="46" fillId="5" borderId="1" xfId="0" applyNumberFormat="1" applyFont="1" applyFill="1" applyBorder="1" applyAlignment="1" applyProtection="1">
      <alignment horizontal="center" vertical="center" wrapText="1"/>
    </xf>
    <xf numFmtId="9" fontId="46" fillId="5" borderId="1" xfId="0" applyNumberFormat="1" applyFont="1" applyFill="1" applyBorder="1" applyAlignment="1" applyProtection="1">
      <alignment horizontal="center" vertical="center" wrapText="1"/>
    </xf>
    <xf numFmtId="0" fontId="107" fillId="6" borderId="1" xfId="0" applyFont="1" applyFill="1" applyBorder="1" applyAlignment="1" applyProtection="1">
      <alignment horizontal="center" vertical="center" wrapText="1"/>
      <protection locked="0"/>
    </xf>
    <xf numFmtId="0" fontId="108" fillId="0" borderId="1" xfId="0" applyFont="1" applyFill="1" applyBorder="1" applyAlignment="1" applyProtection="1">
      <alignment horizontal="center" vertical="center" wrapText="1"/>
      <protection locked="0"/>
    </xf>
    <xf numFmtId="0" fontId="108" fillId="0" borderId="18" xfId="0" applyFont="1" applyFill="1" applyBorder="1" applyAlignment="1" applyProtection="1">
      <alignment horizontal="center" vertical="center" wrapText="1"/>
      <protection locked="0"/>
    </xf>
    <xf numFmtId="0" fontId="108" fillId="0" borderId="61" xfId="0" applyFont="1" applyFill="1" applyBorder="1" applyAlignment="1" applyProtection="1">
      <alignment horizontal="center" vertical="center" wrapText="1"/>
      <protection locked="0"/>
    </xf>
    <xf numFmtId="0" fontId="109" fillId="5" borderId="0" xfId="0" applyFont="1" applyFill="1" applyProtection="1">
      <alignment vertical="center"/>
    </xf>
    <xf numFmtId="187" fontId="0" fillId="5" borderId="0" xfId="0" applyNumberFormat="1" applyFill="1" applyAlignment="1" applyProtection="1">
      <alignment horizontal="center" vertical="center" wrapText="1"/>
    </xf>
    <xf numFmtId="0" fontId="0" fillId="5" borderId="0" xfId="0" applyFill="1" applyProtection="1">
      <alignment vertical="center"/>
    </xf>
    <xf numFmtId="0" fontId="109" fillId="5" borderId="46" xfId="0" applyFont="1" applyFill="1" applyBorder="1" applyAlignment="1" applyProtection="1">
      <alignment vertical="center"/>
    </xf>
    <xf numFmtId="187" fontId="94" fillId="5" borderId="37" xfId="0" applyNumberFormat="1" applyFont="1" applyFill="1" applyBorder="1" applyAlignment="1" applyProtection="1">
      <alignment horizontal="center" vertical="center" wrapText="1"/>
    </xf>
    <xf numFmtId="0" fontId="97" fillId="5" borderId="37" xfId="0" applyFont="1" applyFill="1" applyBorder="1" applyProtection="1">
      <alignment vertical="center"/>
    </xf>
    <xf numFmtId="0" fontId="110" fillId="5" borderId="47" xfId="0" applyFont="1" applyFill="1" applyBorder="1" applyAlignment="1" applyProtection="1">
      <alignment vertical="center"/>
    </xf>
    <xf numFmtId="0" fontId="110" fillId="5" borderId="38" xfId="0" applyFont="1" applyFill="1" applyBorder="1" applyAlignment="1" applyProtection="1">
      <alignment horizontal="center" vertical="center"/>
    </xf>
    <xf numFmtId="0" fontId="0" fillId="0" borderId="0" xfId="0" applyProtection="1">
      <alignment vertical="center"/>
    </xf>
    <xf numFmtId="0" fontId="108" fillId="5" borderId="7"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wrapText="1"/>
    </xf>
    <xf numFmtId="0" fontId="107" fillId="5" borderId="1" xfId="0" applyFont="1" applyFill="1" applyBorder="1" applyAlignment="1" applyProtection="1">
      <alignment horizontal="center" vertical="center" wrapText="1"/>
    </xf>
    <xf numFmtId="0" fontId="101" fillId="5" borderId="1" xfId="0" applyFont="1" applyFill="1" applyBorder="1" applyAlignment="1" applyProtection="1">
      <alignment horizontal="center" vertical="center" wrapText="1"/>
    </xf>
    <xf numFmtId="0" fontId="48" fillId="5" borderId="6" xfId="0" applyFont="1" applyFill="1" applyBorder="1" applyAlignment="1" applyProtection="1">
      <alignment horizontal="center" vertical="center" wrapText="1"/>
    </xf>
    <xf numFmtId="0" fontId="16" fillId="5" borderId="60" xfId="0" applyFont="1" applyFill="1" applyBorder="1" applyAlignment="1" applyProtection="1">
      <alignment horizontal="center" vertical="center" wrapText="1"/>
    </xf>
    <xf numFmtId="49" fontId="108" fillId="5" borderId="1" xfId="0" applyNumberFormat="1" applyFont="1" applyFill="1" applyBorder="1" applyAlignment="1" applyProtection="1">
      <alignment horizontal="center" vertical="center" wrapText="1"/>
    </xf>
    <xf numFmtId="181" fontId="101" fillId="5" borderId="1" xfId="0" applyNumberFormat="1" applyFont="1" applyFill="1" applyBorder="1" applyAlignment="1" applyProtection="1">
      <alignment horizontal="center" vertical="center" wrapText="1"/>
    </xf>
    <xf numFmtId="9" fontId="101" fillId="5" borderId="1" xfId="0" applyNumberFormat="1" applyFont="1" applyFill="1" applyBorder="1" applyAlignment="1" applyProtection="1">
      <alignment horizontal="center" vertical="center" wrapText="1"/>
    </xf>
    <xf numFmtId="10" fontId="48" fillId="5" borderId="58" xfId="0" applyNumberFormat="1" applyFont="1" applyFill="1" applyBorder="1" applyAlignment="1" applyProtection="1">
      <alignment horizontal="center" vertical="center" wrapText="1"/>
    </xf>
    <xf numFmtId="10" fontId="16" fillId="5" borderId="0" xfId="0" applyNumberFormat="1" applyFont="1" applyFill="1" applyBorder="1" applyAlignment="1" applyProtection="1">
      <alignment horizontal="center" vertical="center" wrapText="1"/>
    </xf>
    <xf numFmtId="0" fontId="108" fillId="5" borderId="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vertical="center" wrapText="1"/>
    </xf>
    <xf numFmtId="0" fontId="108" fillId="5" borderId="19" xfId="0" applyFont="1" applyFill="1" applyBorder="1" applyAlignment="1" applyProtection="1">
      <alignment horizontal="center" vertical="center" wrapText="1"/>
    </xf>
    <xf numFmtId="0" fontId="108" fillId="5" borderId="18" xfId="0" applyFont="1" applyFill="1" applyBorder="1" applyAlignment="1" applyProtection="1">
      <alignment horizontal="center" vertical="center" wrapText="1"/>
    </xf>
    <xf numFmtId="0" fontId="108" fillId="5" borderId="8" xfId="0" applyFont="1" applyFill="1" applyBorder="1" applyAlignment="1" applyProtection="1">
      <alignment horizontal="center" vertical="center" wrapText="1"/>
    </xf>
    <xf numFmtId="49" fontId="108" fillId="5" borderId="71" xfId="0" applyNumberFormat="1" applyFont="1" applyFill="1" applyBorder="1" applyAlignment="1" applyProtection="1">
      <alignment horizontal="center" vertical="center" wrapText="1"/>
    </xf>
    <xf numFmtId="9" fontId="101" fillId="5" borderId="61"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vertical="center" wrapText="1"/>
    </xf>
    <xf numFmtId="49" fontId="108" fillId="5" borderId="6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horizontal="center" vertical="center" wrapText="1"/>
    </xf>
    <xf numFmtId="0" fontId="108" fillId="5" borderId="61" xfId="0" applyFont="1" applyFill="1" applyBorder="1" applyAlignment="1" applyProtection="1">
      <alignment horizontal="center" vertical="center" wrapText="1"/>
    </xf>
    <xf numFmtId="0" fontId="0" fillId="8" borderId="0" xfId="0" applyFill="1" applyProtection="1">
      <alignment vertical="center"/>
    </xf>
    <xf numFmtId="0" fontId="0" fillId="5" borderId="39" xfId="0" applyFill="1" applyBorder="1" applyProtection="1">
      <alignment vertical="center"/>
    </xf>
    <xf numFmtId="0" fontId="94" fillId="5" borderId="0" xfId="0" applyFont="1" applyFill="1" applyProtection="1">
      <alignment vertical="center"/>
    </xf>
    <xf numFmtId="0" fontId="0" fillId="5" borderId="22" xfId="0" applyFill="1" applyBorder="1" applyAlignment="1" applyProtection="1">
      <alignment horizontal="center" vertical="center"/>
    </xf>
    <xf numFmtId="0" fontId="0" fillId="5" borderId="57" xfId="0" applyFill="1" applyBorder="1" applyAlignment="1" applyProtection="1">
      <alignment horizontal="center" vertical="center"/>
    </xf>
    <xf numFmtId="0" fontId="0" fillId="5" borderId="59" xfId="0" applyFill="1" applyBorder="1" applyAlignment="1" applyProtection="1">
      <alignment horizontal="center" vertical="center"/>
    </xf>
    <xf numFmtId="0" fontId="111" fillId="5" borderId="7" xfId="0" applyFont="1" applyFill="1" applyBorder="1" applyAlignment="1" applyProtection="1">
      <alignment horizontal="center" vertical="center" wrapText="1"/>
    </xf>
    <xf numFmtId="0" fontId="111" fillId="5" borderId="1" xfId="0" applyFont="1" applyFill="1" applyBorder="1" applyAlignment="1" applyProtection="1">
      <alignment horizontal="center" vertical="center" wrapText="1"/>
    </xf>
    <xf numFmtId="0" fontId="94" fillId="5" borderId="37" xfId="0" applyFont="1" applyFill="1" applyBorder="1" applyProtection="1">
      <alignment vertical="center"/>
    </xf>
    <xf numFmtId="0" fontId="112" fillId="5" borderId="13" xfId="0" applyFont="1" applyFill="1" applyBorder="1" applyAlignment="1" applyProtection="1">
      <alignment horizontal="center" vertical="center"/>
    </xf>
    <xf numFmtId="0" fontId="94" fillId="5" borderId="39" xfId="0" applyFont="1" applyFill="1" applyBorder="1" applyProtection="1">
      <alignment vertical="center"/>
    </xf>
    <xf numFmtId="0" fontId="112" fillId="5" borderId="61" xfId="0" applyFont="1" applyFill="1" applyBorder="1" applyAlignment="1" applyProtection="1">
      <alignment horizontal="center" vertical="center"/>
    </xf>
    <xf numFmtId="0" fontId="112" fillId="5" borderId="44" xfId="0" applyFont="1" applyFill="1" applyBorder="1" applyAlignment="1" applyProtection="1">
      <alignment horizontal="center" vertical="center"/>
    </xf>
    <xf numFmtId="0" fontId="111" fillId="5" borderId="22" xfId="0" applyFont="1" applyFill="1" applyBorder="1" applyAlignment="1" applyProtection="1">
      <alignment vertical="center" wrapText="1"/>
    </xf>
    <xf numFmtId="0" fontId="111" fillId="5" borderId="11" xfId="0" applyFont="1" applyFill="1" applyBorder="1" applyAlignment="1" applyProtection="1">
      <alignment horizontal="center" vertical="center" wrapText="1"/>
    </xf>
    <xf numFmtId="0" fontId="111" fillId="5" borderId="13" xfId="0" applyFont="1" applyFill="1" applyBorder="1" applyAlignment="1" applyProtection="1">
      <alignment horizontal="center" vertical="center" wrapText="1"/>
    </xf>
    <xf numFmtId="0" fontId="95" fillId="5" borderId="4" xfId="0" applyFont="1" applyFill="1" applyBorder="1" applyAlignment="1" applyProtection="1">
      <alignment horizontal="center" vertical="center"/>
    </xf>
    <xf numFmtId="0" fontId="95" fillId="5" borderId="13" xfId="0" applyFont="1" applyFill="1" applyBorder="1" applyProtection="1">
      <alignment vertical="center"/>
    </xf>
    <xf numFmtId="0" fontId="111" fillId="5" borderId="64" xfId="0" applyFont="1" applyFill="1" applyBorder="1" applyAlignment="1" applyProtection="1">
      <alignment horizontal="center" vertical="center" wrapText="1"/>
    </xf>
    <xf numFmtId="0" fontId="95" fillId="5" borderId="7" xfId="0" applyFont="1" applyFill="1" applyBorder="1" applyAlignment="1" applyProtection="1">
      <alignment horizontal="center" vertical="center"/>
    </xf>
    <xf numFmtId="0" fontId="95" fillId="5" borderId="2" xfId="0" applyFont="1" applyFill="1" applyBorder="1" applyProtection="1">
      <alignment vertical="center"/>
    </xf>
    <xf numFmtId="0" fontId="111" fillId="5" borderId="17" xfId="0" applyFont="1" applyFill="1" applyBorder="1" applyAlignment="1" applyProtection="1">
      <alignment horizontal="center" vertical="center" wrapText="1"/>
    </xf>
    <xf numFmtId="0" fontId="111" fillId="5" borderId="71" xfId="0" applyFont="1" applyFill="1" applyBorder="1" applyAlignment="1" applyProtection="1">
      <alignment horizontal="center" vertical="center" wrapText="1"/>
    </xf>
    <xf numFmtId="0" fontId="111" fillId="5" borderId="61" xfId="0" applyFont="1" applyFill="1" applyBorder="1" applyAlignment="1" applyProtection="1">
      <alignment horizontal="center" vertical="center" wrapText="1"/>
    </xf>
    <xf numFmtId="0" fontId="113" fillId="5" borderId="44" xfId="0" applyFont="1" applyFill="1" applyBorder="1" applyProtection="1">
      <alignment vertical="center"/>
    </xf>
    <xf numFmtId="0" fontId="111" fillId="5" borderId="2" xfId="0" applyFont="1" applyFill="1" applyBorder="1" applyAlignment="1" applyProtection="1">
      <alignment horizontal="center" vertical="center" wrapText="1"/>
    </xf>
    <xf numFmtId="0" fontId="95" fillId="5" borderId="8" xfId="0" applyFont="1" applyFill="1" applyBorder="1" applyAlignment="1" applyProtection="1">
      <alignment horizontal="center" vertical="center"/>
    </xf>
    <xf numFmtId="0" fontId="95" fillId="5" borderId="44" xfId="0" applyFont="1" applyFill="1" applyBorder="1" applyProtection="1">
      <alignment vertical="center"/>
    </xf>
    <xf numFmtId="0" fontId="113" fillId="5" borderId="2" xfId="0" applyFont="1" applyFill="1" applyBorder="1" applyProtection="1">
      <alignment vertical="center"/>
    </xf>
    <xf numFmtId="0" fontId="114" fillId="5" borderId="0" xfId="0" applyFont="1" applyFill="1" applyBorder="1" applyProtection="1">
      <alignment vertical="center"/>
    </xf>
    <xf numFmtId="0" fontId="111" fillId="5" borderId="9" xfId="0" applyFont="1" applyFill="1" applyBorder="1" applyAlignment="1" applyProtection="1">
      <alignment vertical="center" wrapText="1"/>
    </xf>
    <xf numFmtId="0" fontId="115" fillId="5" borderId="0" xfId="0" applyFont="1" applyFill="1" applyProtection="1">
      <alignment vertical="center"/>
    </xf>
    <xf numFmtId="0" fontId="114" fillId="5" borderId="0" xfId="0" applyFont="1" applyFill="1" applyProtection="1">
      <alignment vertical="center"/>
    </xf>
    <xf numFmtId="0" fontId="111" fillId="5" borderId="44" xfId="0" applyFont="1" applyFill="1" applyBorder="1" applyAlignment="1" applyProtection="1">
      <alignment horizontal="center" vertical="center" wrapText="1"/>
    </xf>
    <xf numFmtId="0" fontId="0" fillId="5" borderId="2" xfId="0" applyFill="1" applyBorder="1" applyProtection="1">
      <alignment vertical="center"/>
    </xf>
    <xf numFmtId="0" fontId="0" fillId="5" borderId="1" xfId="0" applyFill="1" applyBorder="1" applyProtection="1">
      <alignment vertical="center"/>
    </xf>
    <xf numFmtId="0" fontId="0" fillId="5" borderId="13" xfId="0" applyFill="1" applyBorder="1" applyProtection="1">
      <alignment vertical="center"/>
    </xf>
    <xf numFmtId="0" fontId="0" fillId="5" borderId="0" xfId="0" applyFill="1" applyAlignment="1" applyProtection="1">
      <alignment horizontal="center" vertical="center"/>
    </xf>
    <xf numFmtId="0" fontId="0" fillId="5" borderId="22" xfId="0" applyFill="1" applyBorder="1" applyAlignment="1" applyProtection="1">
      <alignment horizontal="right" vertical="center"/>
    </xf>
    <xf numFmtId="0" fontId="0" fillId="5" borderId="4" xfId="0" applyFill="1" applyBorder="1" applyAlignment="1" applyProtection="1">
      <alignment horizontal="center" vertical="center"/>
    </xf>
    <xf numFmtId="178" fontId="0" fillId="5" borderId="11" xfId="0" applyNumberFormat="1" applyFill="1" applyBorder="1" applyAlignment="1" applyProtection="1">
      <alignment horizontal="center" vertical="center"/>
    </xf>
    <xf numFmtId="178" fontId="0" fillId="5" borderId="13" xfId="0" applyNumberFormat="1" applyFill="1" applyBorder="1" applyAlignment="1" applyProtection="1">
      <alignment horizontal="center" vertical="center"/>
    </xf>
    <xf numFmtId="178" fontId="0" fillId="5" borderId="31" xfId="0" applyNumberFormat="1" applyFill="1" applyBorder="1" applyAlignment="1" applyProtection="1">
      <alignment horizontal="center" vertical="center"/>
    </xf>
    <xf numFmtId="0" fontId="0" fillId="5" borderId="7" xfId="0" applyFill="1" applyBorder="1" applyAlignment="1" applyProtection="1">
      <alignment horizontal="center" vertical="center"/>
    </xf>
    <xf numFmtId="178" fontId="0" fillId="5" borderId="1" xfId="0" applyNumberFormat="1" applyFill="1" applyBorder="1" applyAlignment="1" applyProtection="1">
      <alignment horizontal="center" vertical="center"/>
    </xf>
    <xf numFmtId="178" fontId="0" fillId="5" borderId="2" xfId="0" applyNumberFormat="1" applyFill="1" applyBorder="1" applyAlignment="1" applyProtection="1">
      <alignment horizontal="center" vertical="center"/>
    </xf>
    <xf numFmtId="178" fontId="0" fillId="5" borderId="6" xfId="0" applyNumberFormat="1" applyFill="1" applyBorder="1" applyAlignment="1" applyProtection="1">
      <alignment horizontal="center" vertical="center"/>
    </xf>
    <xf numFmtId="0" fontId="0" fillId="5" borderId="8" xfId="0" applyFill="1" applyBorder="1" applyAlignment="1" applyProtection="1">
      <alignment horizontal="center" vertical="center"/>
    </xf>
    <xf numFmtId="178" fontId="0" fillId="5" borderId="44" xfId="0" applyNumberFormat="1" applyFill="1" applyBorder="1" applyAlignment="1" applyProtection="1">
      <alignment horizontal="center" vertical="center"/>
    </xf>
    <xf numFmtId="178" fontId="0" fillId="5" borderId="61" xfId="0" applyNumberFormat="1" applyFill="1" applyBorder="1" applyAlignment="1" applyProtection="1">
      <alignment horizontal="center" vertical="center"/>
    </xf>
    <xf numFmtId="178" fontId="0" fillId="5" borderId="43" xfId="0" applyNumberFormat="1" applyFill="1" applyBorder="1" applyAlignment="1" applyProtection="1">
      <alignment horizontal="center" vertical="center"/>
    </xf>
    <xf numFmtId="0" fontId="108" fillId="5" borderId="4" xfId="0" applyFont="1" applyFill="1" applyBorder="1" applyAlignment="1" applyProtection="1">
      <alignment horizontal="center" vertical="center" wrapText="1"/>
    </xf>
    <xf numFmtId="0" fontId="108" fillId="5" borderId="11" xfId="0" applyFont="1" applyFill="1" applyBorder="1" applyAlignment="1" applyProtection="1">
      <alignment horizontal="center" vertical="center" wrapText="1"/>
    </xf>
    <xf numFmtId="0" fontId="108" fillId="5" borderId="31" xfId="0" applyFont="1" applyFill="1" applyBorder="1" applyAlignment="1" applyProtection="1">
      <alignment horizontal="center" vertical="center" wrapText="1"/>
    </xf>
    <xf numFmtId="0" fontId="108" fillId="5" borderId="6" xfId="0" applyFont="1" applyFill="1" applyBorder="1" applyAlignment="1" applyProtection="1">
      <alignment horizontal="center" vertical="center" wrapText="1"/>
    </xf>
    <xf numFmtId="0" fontId="108" fillId="5" borderId="16" xfId="0" applyFont="1" applyFill="1" applyBorder="1" applyAlignment="1" applyProtection="1">
      <alignment horizontal="center" vertical="center" wrapText="1"/>
    </xf>
    <xf numFmtId="0" fontId="108" fillId="5" borderId="58" xfId="0" applyFont="1" applyFill="1" applyBorder="1" applyAlignment="1" applyProtection="1">
      <alignment horizontal="center" vertical="center" wrapText="1"/>
    </xf>
    <xf numFmtId="0" fontId="0" fillId="5" borderId="1" xfId="0" applyFill="1" applyBorder="1" applyAlignment="1" applyProtection="1">
      <alignment horizontal="center" vertical="center"/>
    </xf>
    <xf numFmtId="0" fontId="116" fillId="5" borderId="65" xfId="0" applyFont="1" applyFill="1" applyBorder="1" applyAlignment="1" applyProtection="1">
      <alignment vertical="center"/>
    </xf>
    <xf numFmtId="0" fontId="116" fillId="5" borderId="0" xfId="0" applyFont="1" applyFill="1" applyBorder="1" applyAlignment="1" applyProtection="1">
      <alignment vertical="center"/>
    </xf>
    <xf numFmtId="0" fontId="0" fillId="0" borderId="0" xfId="0" applyAlignment="1" applyProtection="1">
      <alignment horizontal="center" vertical="center"/>
    </xf>
    <xf numFmtId="0" fontId="108" fillId="5" borderId="2" xfId="0" applyFont="1" applyFill="1" applyBorder="1" applyAlignment="1" applyProtection="1">
      <alignment horizontal="center" vertical="center" wrapText="1"/>
    </xf>
    <xf numFmtId="0" fontId="108" fillId="5" borderId="3" xfId="0" applyFont="1" applyFill="1" applyBorder="1" applyAlignment="1" applyProtection="1">
      <alignment horizontal="center" vertical="center" wrapText="1"/>
    </xf>
    <xf numFmtId="0" fontId="108" fillId="5" borderId="0"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xf>
    <xf numFmtId="0" fontId="108" fillId="5" borderId="2" xfId="0" applyFont="1" applyFill="1" applyBorder="1" applyAlignment="1" applyProtection="1">
      <alignment horizontal="left" vertical="center"/>
    </xf>
    <xf numFmtId="0" fontId="108" fillId="5" borderId="3" xfId="0" applyFont="1" applyFill="1" applyBorder="1" applyAlignment="1" applyProtection="1">
      <alignment horizontal="left" vertical="center"/>
    </xf>
    <xf numFmtId="0" fontId="108" fillId="5" borderId="0" xfId="0" applyFont="1" applyFill="1" applyBorder="1" applyAlignment="1" applyProtection="1">
      <alignment vertical="center"/>
    </xf>
    <xf numFmtId="0" fontId="108" fillId="5" borderId="0" xfId="0" applyFont="1" applyFill="1" applyBorder="1" applyAlignment="1" applyProtection="1">
      <alignment horizontal="center" vertical="center"/>
    </xf>
    <xf numFmtId="0" fontId="0" fillId="0" borderId="0" xfId="0" applyAlignment="1" applyProtection="1">
      <alignment vertical="center"/>
    </xf>
    <xf numFmtId="0" fontId="108" fillId="0" borderId="36" xfId="0" applyFont="1" applyBorder="1" applyAlignment="1" applyProtection="1">
      <alignment vertical="center"/>
    </xf>
    <xf numFmtId="0" fontId="108" fillId="0" borderId="0" xfId="0" applyFont="1" applyBorder="1" applyAlignment="1" applyProtection="1">
      <alignment vertical="center"/>
    </xf>
    <xf numFmtId="0" fontId="108" fillId="5" borderId="64" xfId="0" applyFont="1" applyFill="1" applyBorder="1" applyAlignment="1" applyProtection="1">
      <alignment vertical="center" wrapText="1"/>
    </xf>
    <xf numFmtId="0" fontId="108" fillId="5" borderId="17" xfId="0" applyFont="1" applyFill="1" applyBorder="1" applyAlignment="1" applyProtection="1">
      <alignment vertical="center" wrapText="1"/>
    </xf>
    <xf numFmtId="0" fontId="108" fillId="5" borderId="24" xfId="0" applyFont="1" applyFill="1" applyBorder="1" applyAlignment="1" applyProtection="1">
      <alignment vertical="center" wrapText="1"/>
    </xf>
    <xf numFmtId="0" fontId="108" fillId="5" borderId="17" xfId="0" applyFont="1" applyFill="1" applyBorder="1" applyAlignment="1" applyProtection="1">
      <alignment horizontal="center" vertical="center"/>
    </xf>
    <xf numFmtId="0" fontId="108" fillId="5" borderId="0" xfId="0" applyFont="1" applyFill="1" applyAlignment="1" applyProtection="1">
      <alignment horizontal="center" vertical="center"/>
    </xf>
    <xf numFmtId="9" fontId="108" fillId="5" borderId="1" xfId="0" applyNumberFormat="1" applyFont="1" applyFill="1" applyBorder="1" applyAlignment="1" applyProtection="1">
      <alignment horizontal="center" vertical="center"/>
    </xf>
    <xf numFmtId="179" fontId="76" fillId="0" borderId="65" xfId="3" applyNumberFormat="1" applyFont="1" applyBorder="1" applyAlignment="1" applyProtection="1">
      <alignment vertical="center"/>
    </xf>
    <xf numFmtId="0" fontId="76" fillId="0" borderId="65" xfId="3" applyNumberFormat="1" applyFont="1" applyBorder="1" applyAlignment="1" applyProtection="1">
      <alignment vertical="center"/>
    </xf>
    <xf numFmtId="0" fontId="0" fillId="0" borderId="0" xfId="0" applyNumberFormat="1" applyProtection="1">
      <alignment vertical="center"/>
    </xf>
    <xf numFmtId="179"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wrapText="1"/>
    </xf>
    <xf numFmtId="0" fontId="77" fillId="5" borderId="49" xfId="3" applyNumberFormat="1" applyFont="1" applyFill="1" applyBorder="1" applyAlignment="1" applyProtection="1">
      <alignment horizontal="center" vertical="center"/>
    </xf>
    <xf numFmtId="0" fontId="118" fillId="5" borderId="1" xfId="3" applyNumberFormat="1" applyFont="1" applyFill="1" applyBorder="1" applyAlignment="1" applyProtection="1">
      <alignment horizontal="center" vertical="center"/>
    </xf>
    <xf numFmtId="0" fontId="0" fillId="0" borderId="0" xfId="0" applyNumberFormat="1" applyFont="1" applyProtection="1">
      <alignment vertical="center"/>
    </xf>
    <xf numFmtId="179" fontId="77" fillId="5" borderId="1" xfId="3" applyNumberFormat="1" applyFont="1" applyFill="1" applyBorder="1" applyAlignment="1" applyProtection="1">
      <alignment horizontal="center" vertical="center" wrapText="1"/>
    </xf>
    <xf numFmtId="179" fontId="0" fillId="0" borderId="0" xfId="0" applyNumberFormat="1" applyProtection="1">
      <alignment vertical="center"/>
    </xf>
    <xf numFmtId="0" fontId="108" fillId="5" borderId="2" xfId="0" applyFont="1" applyFill="1" applyBorder="1" applyAlignment="1" applyProtection="1">
      <alignment horizontal="center" vertical="center" wrapText="1"/>
    </xf>
    <xf numFmtId="181" fontId="98" fillId="0" borderId="1" xfId="0" applyNumberFormat="1" applyFont="1" applyBorder="1" applyAlignment="1" applyProtection="1">
      <alignment horizontal="center" vertical="center"/>
      <protection locked="0"/>
    </xf>
    <xf numFmtId="0" fontId="108" fillId="5" borderId="1" xfId="0" applyFont="1" applyFill="1" applyBorder="1" applyAlignment="1" applyProtection="1">
      <alignment horizontal="center" vertical="center"/>
    </xf>
    <xf numFmtId="0" fontId="101" fillId="5" borderId="1" xfId="0" applyFont="1" applyFill="1" applyBorder="1" applyAlignment="1" applyProtection="1">
      <alignment horizontal="center" vertical="center"/>
    </xf>
    <xf numFmtId="0" fontId="101" fillId="0" borderId="1" xfId="0" applyFont="1" applyFill="1" applyBorder="1" applyAlignment="1" applyProtection="1">
      <alignment horizontal="center" vertical="center"/>
      <protection locked="0"/>
    </xf>
    <xf numFmtId="0" fontId="42" fillId="0" borderId="6" xfId="0" applyFont="1" applyBorder="1" applyAlignment="1" applyProtection="1">
      <alignment vertical="center" wrapText="1"/>
      <protection locked="0"/>
    </xf>
    <xf numFmtId="181" fontId="47" fillId="5" borderId="41" xfId="0" applyNumberFormat="1" applyFont="1" applyFill="1" applyBorder="1" applyAlignment="1" applyProtection="1">
      <alignment horizontal="center" vertical="center"/>
    </xf>
    <xf numFmtId="0" fontId="42" fillId="5" borderId="0" xfId="0" applyFont="1" applyFill="1" applyAlignment="1" applyProtection="1">
      <alignment vertical="center" wrapText="1"/>
    </xf>
    <xf numFmtId="0" fontId="42" fillId="0" borderId="31" xfId="0" applyFont="1" applyBorder="1" applyAlignment="1" applyProtection="1">
      <alignment vertical="center" wrapText="1"/>
      <protection locked="0"/>
    </xf>
    <xf numFmtId="0" fontId="42" fillId="0" borderId="43" xfId="0" applyFont="1" applyBorder="1" applyAlignment="1" applyProtection="1">
      <alignment vertical="center" wrapText="1"/>
      <protection locked="0"/>
    </xf>
    <xf numFmtId="0" fontId="42" fillId="5" borderId="4" xfId="0" applyFont="1" applyFill="1" applyBorder="1" applyAlignment="1" applyProtection="1">
      <alignment vertical="center" wrapText="1"/>
    </xf>
    <xf numFmtId="0" fontId="42" fillId="5" borderId="7" xfId="0" applyFont="1" applyFill="1" applyBorder="1" applyAlignment="1" applyProtection="1">
      <alignment vertical="center" wrapText="1"/>
    </xf>
    <xf numFmtId="0" fontId="42" fillId="5" borderId="8" xfId="0" applyFont="1" applyFill="1" applyBorder="1" applyAlignment="1" applyProtection="1">
      <alignment vertical="center" wrapText="1"/>
    </xf>
    <xf numFmtId="0" fontId="42" fillId="5" borderId="23" xfId="0" applyFont="1" applyFill="1" applyBorder="1" applyAlignment="1" applyProtection="1">
      <alignment vertical="center" wrapText="1"/>
    </xf>
    <xf numFmtId="0" fontId="47" fillId="5" borderId="37" xfId="0" applyFont="1" applyFill="1" applyBorder="1" applyAlignment="1" applyProtection="1">
      <alignment vertical="center" wrapText="1"/>
    </xf>
    <xf numFmtId="0" fontId="42" fillId="0" borderId="11" xfId="0" applyFont="1" applyFill="1" applyBorder="1" applyAlignment="1" applyProtection="1">
      <alignment vertical="center" wrapText="1"/>
      <protection locked="0"/>
    </xf>
    <xf numFmtId="0" fontId="42" fillId="0" borderId="61" xfId="0" applyFont="1" applyFill="1" applyBorder="1" applyAlignment="1" applyProtection="1">
      <alignment vertical="center" wrapText="1"/>
      <protection locked="0"/>
    </xf>
    <xf numFmtId="0" fontId="42" fillId="0" borderId="0" xfId="0" applyFont="1" applyAlignment="1" applyProtection="1">
      <alignment vertical="center"/>
    </xf>
    <xf numFmtId="0" fontId="42" fillId="5" borderId="0" xfId="0" applyFont="1" applyFill="1" applyBorder="1" applyAlignment="1" applyProtection="1">
      <alignment vertical="center" wrapText="1"/>
    </xf>
    <xf numFmtId="0" fontId="42" fillId="5" borderId="0" xfId="0" applyFont="1" applyFill="1" applyBorder="1" applyAlignment="1" applyProtection="1">
      <alignment horizontal="center" vertical="center" wrapText="1"/>
    </xf>
    <xf numFmtId="0" fontId="126" fillId="0" borderId="0" xfId="0" applyFont="1">
      <alignment vertical="center"/>
    </xf>
    <xf numFmtId="0" fontId="126" fillId="0" borderId="0" xfId="0" applyFont="1" applyAlignment="1">
      <alignment vertical="top" wrapText="1"/>
    </xf>
    <xf numFmtId="0" fontId="0" fillId="0" borderId="0" xfId="0" applyAlignment="1">
      <alignment vertical="top" wrapText="1"/>
    </xf>
    <xf numFmtId="0" fontId="127" fillId="0" borderId="0" xfId="0" applyFont="1" applyAlignment="1">
      <alignment horizontal="left" vertical="center"/>
    </xf>
    <xf numFmtId="0" fontId="128" fillId="0" borderId="0" xfId="0" applyFont="1">
      <alignment vertical="center"/>
    </xf>
    <xf numFmtId="0" fontId="56" fillId="0" borderId="1" xfId="0" applyFont="1" applyFill="1" applyBorder="1" applyAlignment="1" applyProtection="1">
      <alignment horizontal="center" vertical="center" wrapText="1"/>
    </xf>
    <xf numFmtId="0" fontId="42" fillId="0" borderId="2" xfId="0" applyFont="1" applyBorder="1" applyAlignment="1" applyProtection="1">
      <alignment vertical="center" wrapText="1"/>
      <protection locked="0"/>
    </xf>
    <xf numFmtId="0" fontId="42" fillId="0" borderId="58" xfId="0" applyFont="1" applyBorder="1" applyAlignment="1" applyProtection="1">
      <alignment vertical="center" wrapText="1"/>
      <protection locked="0"/>
    </xf>
    <xf numFmtId="0" fontId="42" fillId="5" borderId="26" xfId="0" applyFont="1" applyFill="1" applyBorder="1" applyAlignment="1" applyProtection="1">
      <alignment vertical="center" wrapText="1"/>
    </xf>
    <xf numFmtId="0" fontId="42" fillId="0" borderId="50" xfId="0" applyFont="1" applyBorder="1" applyAlignment="1" applyProtection="1">
      <alignment vertical="center" wrapText="1"/>
      <protection locked="0"/>
    </xf>
    <xf numFmtId="0" fontId="42" fillId="5" borderId="89" xfId="0" applyFont="1" applyFill="1" applyBorder="1" applyAlignment="1" applyProtection="1">
      <alignment vertical="center" wrapText="1"/>
    </xf>
    <xf numFmtId="0" fontId="42" fillId="5" borderId="83" xfId="0" applyFont="1" applyFill="1" applyBorder="1" applyAlignment="1" applyProtection="1">
      <alignment vertical="center" wrapText="1"/>
    </xf>
    <xf numFmtId="0" fontId="42" fillId="5" borderId="90" xfId="0" applyFont="1" applyFill="1" applyBorder="1" applyAlignment="1" applyProtection="1">
      <alignment vertical="center" wrapText="1"/>
    </xf>
    <xf numFmtId="0" fontId="42" fillId="0" borderId="94" xfId="0" applyFont="1" applyFill="1" applyBorder="1" applyAlignment="1" applyProtection="1">
      <alignment vertical="center" wrapText="1"/>
      <protection locked="0"/>
    </xf>
    <xf numFmtId="0" fontId="42" fillId="0" borderId="0" xfId="0" applyFont="1" applyAlignment="1" applyProtection="1">
      <alignment vertical="center" wrapText="1"/>
    </xf>
    <xf numFmtId="0" fontId="47" fillId="5" borderId="78" xfId="0" applyFont="1" applyFill="1" applyBorder="1" applyAlignment="1" applyProtection="1">
      <alignment vertical="center"/>
    </xf>
    <xf numFmtId="0" fontId="42" fillId="5" borderId="40" xfId="0" applyFont="1" applyFill="1" applyBorder="1" applyAlignment="1" applyProtection="1">
      <alignment vertical="center" wrapText="1"/>
    </xf>
    <xf numFmtId="0" fontId="42" fillId="5" borderId="53" xfId="0" applyFont="1" applyFill="1" applyBorder="1" applyAlignment="1" applyProtection="1">
      <alignment vertical="center" wrapText="1"/>
    </xf>
    <xf numFmtId="0" fontId="42" fillId="5" borderId="30" xfId="0" applyFont="1" applyFill="1" applyBorder="1" applyAlignment="1" applyProtection="1">
      <alignment vertical="center" wrapText="1"/>
    </xf>
    <xf numFmtId="0" fontId="0" fillId="0" borderId="0" xfId="0" applyBorder="1">
      <alignment vertical="center"/>
    </xf>
    <xf numFmtId="0" fontId="127" fillId="8" borderId="0" xfId="0" applyFont="1" applyFill="1" applyProtection="1">
      <alignment vertical="center"/>
    </xf>
    <xf numFmtId="0" fontId="127" fillId="8" borderId="0" xfId="0" applyFont="1" applyFill="1" applyAlignment="1" applyProtection="1">
      <alignment vertical="top" wrapText="1"/>
    </xf>
    <xf numFmtId="0" fontId="0" fillId="0" borderId="0" xfId="0" applyProtection="1">
      <alignment vertical="center"/>
      <protection locked="0"/>
    </xf>
    <xf numFmtId="0" fontId="47" fillId="0" borderId="0" xfId="0" applyFont="1" applyAlignment="1" applyProtection="1">
      <alignment vertical="center" wrapText="1"/>
    </xf>
    <xf numFmtId="0" fontId="42" fillId="5" borderId="37" xfId="0" applyFont="1" applyFill="1" applyBorder="1" applyAlignment="1" applyProtection="1">
      <alignment vertical="center" wrapText="1"/>
    </xf>
    <xf numFmtId="0" fontId="42" fillId="5" borderId="79" xfId="0" applyFont="1" applyFill="1" applyBorder="1" applyAlignment="1" applyProtection="1">
      <alignment vertical="center" wrapText="1"/>
    </xf>
    <xf numFmtId="0" fontId="52" fillId="5" borderId="18" xfId="0" applyFont="1" applyFill="1" applyBorder="1" applyAlignment="1" applyProtection="1">
      <alignment horizontal="center" vertical="center"/>
      <protection locked="0"/>
    </xf>
    <xf numFmtId="49" fontId="45" fillId="6" borderId="47" xfId="0" applyNumberFormat="1" applyFont="1" applyFill="1" applyBorder="1" applyAlignment="1" applyProtection="1">
      <alignment vertical="center"/>
      <protection locked="0"/>
    </xf>
    <xf numFmtId="0" fontId="131" fillId="5" borderId="0" xfId="0" applyFont="1" applyFill="1" applyAlignment="1" applyProtection="1">
      <alignment horizontal="center" vertical="center"/>
    </xf>
    <xf numFmtId="0" fontId="112" fillId="5" borderId="12" xfId="0" applyFont="1" applyFill="1" applyBorder="1" applyAlignment="1" applyProtection="1">
      <alignment horizontal="center" vertical="center"/>
    </xf>
    <xf numFmtId="0" fontId="112" fillId="5" borderId="22" xfId="0" applyFont="1" applyFill="1" applyBorder="1" applyAlignment="1" applyProtection="1">
      <alignment vertical="center" wrapText="1"/>
    </xf>
    <xf numFmtId="0" fontId="112" fillId="5" borderId="18" xfId="0" applyFont="1" applyFill="1" applyBorder="1" applyAlignment="1" applyProtection="1">
      <alignment horizontal="center" vertical="center"/>
    </xf>
    <xf numFmtId="10" fontId="101" fillId="0" borderId="11" xfId="0" applyNumberFormat="1" applyFont="1" applyBorder="1" applyAlignment="1">
      <alignment horizontal="center" vertical="center" wrapText="1"/>
    </xf>
    <xf numFmtId="10" fontId="101" fillId="0" borderId="31" xfId="0" applyNumberFormat="1" applyFont="1" applyBorder="1" applyAlignment="1">
      <alignment horizontal="center" vertical="center" wrapText="1"/>
    </xf>
    <xf numFmtId="10" fontId="101" fillId="0" borderId="1" xfId="0" applyNumberFormat="1" applyFont="1" applyBorder="1" applyAlignment="1">
      <alignment horizontal="center" vertical="center" wrapText="1"/>
    </xf>
    <xf numFmtId="10" fontId="101" fillId="0" borderId="6" xfId="0" applyNumberFormat="1" applyFont="1" applyBorder="1" applyAlignment="1">
      <alignment horizontal="center" vertical="center" wrapText="1"/>
    </xf>
    <xf numFmtId="10" fontId="101" fillId="0" borderId="61" xfId="0" applyNumberFormat="1" applyFont="1" applyBorder="1" applyAlignment="1">
      <alignment horizontal="center" vertical="center" wrapText="1"/>
    </xf>
    <xf numFmtId="10" fontId="0" fillId="0" borderId="40" xfId="0" applyNumberFormat="1" applyBorder="1">
      <alignment vertical="center"/>
    </xf>
    <xf numFmtId="10" fontId="0" fillId="0" borderId="30" xfId="0" applyNumberFormat="1" applyBorder="1">
      <alignment vertical="center"/>
    </xf>
    <xf numFmtId="10" fontId="0" fillId="0" borderId="53" xfId="0" applyNumberFormat="1" applyBorder="1">
      <alignment vertical="center"/>
    </xf>
    <xf numFmtId="10" fontId="0" fillId="0" borderId="0" xfId="0" applyNumberFormat="1" applyBorder="1">
      <alignment vertical="center"/>
    </xf>
    <xf numFmtId="10" fontId="101" fillId="0" borderId="43" xfId="0" applyNumberFormat="1" applyFont="1" applyBorder="1" applyAlignment="1">
      <alignment horizontal="center" vertical="center" wrapText="1"/>
    </xf>
    <xf numFmtId="0" fontId="111" fillId="5" borderId="18" xfId="0" applyFont="1" applyFill="1" applyBorder="1" applyAlignment="1" applyProtection="1">
      <alignment horizontal="center" vertical="center" wrapText="1"/>
    </xf>
    <xf numFmtId="10" fontId="101" fillId="0" borderId="18" xfId="0" applyNumberFormat="1" applyFont="1" applyBorder="1" applyAlignment="1">
      <alignment horizontal="center" vertical="center" wrapText="1"/>
    </xf>
    <xf numFmtId="0" fontId="111" fillId="5" borderId="84" xfId="0" applyFont="1" applyFill="1" applyBorder="1" applyAlignment="1" applyProtection="1">
      <alignment horizontal="center" vertical="center" wrapText="1"/>
    </xf>
    <xf numFmtId="10" fontId="0" fillId="0" borderId="66" xfId="0" applyNumberFormat="1" applyBorder="1">
      <alignment vertical="center"/>
    </xf>
    <xf numFmtId="10" fontId="101" fillId="0" borderId="15" xfId="0" applyNumberFormat="1" applyFont="1" applyBorder="1" applyAlignment="1">
      <alignment horizontal="center" vertical="center" wrapText="1"/>
    </xf>
    <xf numFmtId="0" fontId="111" fillId="5" borderId="26" xfId="0" applyFont="1" applyFill="1" applyBorder="1" applyAlignment="1" applyProtection="1">
      <alignment vertical="center" wrapText="1"/>
    </xf>
    <xf numFmtId="10" fontId="101" fillId="0" borderId="34" xfId="0" applyNumberFormat="1" applyFont="1" applyBorder="1" applyAlignment="1">
      <alignment horizontal="center" vertical="center" wrapText="1"/>
    </xf>
    <xf numFmtId="10" fontId="0" fillId="0" borderId="79" xfId="0" applyNumberFormat="1" applyBorder="1">
      <alignment vertical="center"/>
    </xf>
    <xf numFmtId="0" fontId="53" fillId="5" borderId="6" xfId="0" applyFont="1" applyFill="1" applyBorder="1" applyAlignment="1" applyProtection="1">
      <alignment horizontal="center" vertical="center"/>
    </xf>
    <xf numFmtId="0" fontId="42" fillId="5" borderId="0" xfId="0" applyFont="1" applyFill="1" applyAlignment="1" applyProtection="1">
      <alignment horizontal="center" vertical="center"/>
    </xf>
    <xf numFmtId="0" fontId="43" fillId="0" borderId="2" xfId="0" applyNumberFormat="1" applyFont="1" applyFill="1" applyBorder="1" applyAlignment="1" applyProtection="1">
      <alignment horizontal="center" vertical="center" wrapText="1"/>
      <protection locked="0"/>
    </xf>
    <xf numFmtId="0" fontId="42" fillId="0" borderId="60" xfId="0" applyFont="1" applyFill="1" applyBorder="1" applyAlignment="1" applyProtection="1">
      <alignment horizontal="center" vertical="center"/>
      <protection locked="0"/>
    </xf>
    <xf numFmtId="0" fontId="42" fillId="0" borderId="2" xfId="0" applyNumberFormat="1" applyFont="1" applyFill="1" applyBorder="1" applyAlignment="1" applyProtection="1">
      <alignment horizontal="center" vertical="center" wrapText="1"/>
      <protection locked="0"/>
    </xf>
    <xf numFmtId="0"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wrapText="1"/>
      <protection locked="0"/>
    </xf>
    <xf numFmtId="9"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left" vertical="center" wrapText="1"/>
      <protection locked="0"/>
    </xf>
    <xf numFmtId="0" fontId="42" fillId="0" borderId="64" xfId="0" applyNumberFormat="1" applyFont="1" applyFill="1" applyBorder="1" applyAlignment="1" applyProtection="1">
      <alignment horizontal="center" vertical="center" wrapText="1"/>
      <protection locked="0"/>
    </xf>
    <xf numFmtId="0" fontId="42" fillId="0" borderId="39" xfId="0" applyNumberFormat="1" applyFont="1" applyFill="1" applyBorder="1" applyAlignment="1" applyProtection="1">
      <alignment horizontal="center" vertical="center" wrapText="1"/>
      <protection locked="0"/>
    </xf>
    <xf numFmtId="0" fontId="42" fillId="5" borderId="98" xfId="0" applyNumberFormat="1" applyFont="1" applyFill="1" applyBorder="1" applyAlignment="1" applyProtection="1">
      <alignment horizontal="center" vertical="center" wrapText="1"/>
    </xf>
    <xf numFmtId="0" fontId="42" fillId="5" borderId="99" xfId="0" applyNumberFormat="1" applyFont="1" applyFill="1" applyBorder="1" applyAlignment="1" applyProtection="1">
      <alignment horizontal="center" vertical="center" wrapText="1"/>
    </xf>
    <xf numFmtId="0" fontId="48" fillId="5" borderId="100" xfId="0" applyNumberFormat="1" applyFont="1" applyFill="1" applyBorder="1" applyAlignment="1" applyProtection="1">
      <alignment horizontal="center" vertical="center" wrapText="1"/>
    </xf>
    <xf numFmtId="0" fontId="48" fillId="5" borderId="101" xfId="0" applyNumberFormat="1" applyFont="1" applyFill="1" applyBorder="1" applyAlignment="1" applyProtection="1">
      <alignment horizontal="center" vertical="center" wrapText="1"/>
    </xf>
    <xf numFmtId="0" fontId="48" fillId="5" borderId="102" xfId="0" applyNumberFormat="1" applyFont="1" applyFill="1" applyBorder="1" applyAlignment="1" applyProtection="1">
      <alignment horizontal="center" vertical="center" wrapText="1"/>
    </xf>
    <xf numFmtId="0" fontId="42" fillId="5" borderId="39" xfId="0" applyNumberFormat="1" applyFont="1" applyFill="1" applyBorder="1" applyAlignment="1" applyProtection="1">
      <alignment horizontal="center" vertical="center" wrapText="1"/>
    </xf>
    <xf numFmtId="0" fontId="42" fillId="0" borderId="16" xfId="0" applyNumberFormat="1" applyFont="1" applyFill="1" applyBorder="1" applyAlignment="1" applyProtection="1">
      <alignment horizontal="center" vertical="center" wrapText="1"/>
      <protection locked="0"/>
    </xf>
    <xf numFmtId="0" fontId="48" fillId="0" borderId="18" xfId="0" applyNumberFormat="1" applyFont="1" applyFill="1" applyBorder="1" applyAlignment="1" applyProtection="1">
      <alignment horizontal="center" vertical="center" wrapText="1"/>
      <protection locked="0"/>
    </xf>
    <xf numFmtId="0" fontId="48" fillId="0" borderId="35" xfId="0" applyNumberFormat="1" applyFont="1" applyFill="1" applyBorder="1" applyAlignment="1" applyProtection="1">
      <alignment horizontal="center" vertical="center" wrapText="1"/>
      <protection locked="0"/>
    </xf>
    <xf numFmtId="0" fontId="42" fillId="0" borderId="35" xfId="0" applyNumberFormat="1" applyFont="1" applyFill="1" applyBorder="1" applyAlignment="1" applyProtection="1">
      <alignment horizontal="center" vertical="center" wrapText="1"/>
      <protection locked="0"/>
    </xf>
    <xf numFmtId="0" fontId="42" fillId="0" borderId="103"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left" vertical="center" wrapText="1"/>
      <protection locked="0"/>
    </xf>
    <xf numFmtId="0" fontId="42" fillId="0" borderId="105" xfId="0" applyNumberFormat="1" applyFont="1" applyFill="1" applyBorder="1" applyAlignment="1" applyProtection="1">
      <alignment horizontal="center" vertical="center" wrapText="1"/>
      <protection locked="0"/>
    </xf>
    <xf numFmtId="0" fontId="42" fillId="0" borderId="106" xfId="0" applyNumberFormat="1" applyFont="1" applyFill="1" applyBorder="1" applyAlignment="1" applyProtection="1">
      <alignment horizontal="center" vertical="center" wrapText="1"/>
      <protection locked="0"/>
    </xf>
    <xf numFmtId="0" fontId="42" fillId="5" borderId="16" xfId="0" applyNumberFormat="1" applyFont="1" applyFill="1" applyBorder="1" applyAlignment="1" applyProtection="1">
      <alignment horizontal="center" vertical="center" wrapText="1"/>
    </xf>
    <xf numFmtId="0" fontId="48" fillId="5" borderId="18" xfId="0" applyNumberFormat="1" applyFont="1" applyFill="1" applyBorder="1" applyAlignment="1" applyProtection="1">
      <alignment horizontal="center" vertical="center" wrapText="1"/>
    </xf>
    <xf numFmtId="0" fontId="48" fillId="5" borderId="35" xfId="0" applyNumberFormat="1" applyFont="1" applyFill="1" applyBorder="1" applyAlignment="1" applyProtection="1">
      <alignment horizontal="center" vertical="center" wrapText="1"/>
    </xf>
    <xf numFmtId="0" fontId="42" fillId="0" borderId="107" xfId="0" applyNumberFormat="1" applyFont="1" applyFill="1" applyBorder="1" applyAlignment="1" applyProtection="1">
      <alignment horizontal="center" vertical="center" wrapText="1"/>
      <protection locked="0"/>
    </xf>
    <xf numFmtId="0" fontId="42" fillId="0" borderId="108" xfId="0" applyFont="1" applyFill="1" applyBorder="1" applyAlignment="1" applyProtection="1">
      <alignment horizontal="center" vertical="center"/>
      <protection locked="0"/>
    </xf>
    <xf numFmtId="0"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wrapText="1"/>
      <protection locked="0"/>
    </xf>
    <xf numFmtId="9"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protection locked="0"/>
    </xf>
    <xf numFmtId="0" fontId="102" fillId="5" borderId="1" xfId="0" applyFont="1" applyFill="1" applyBorder="1" applyAlignment="1" applyProtection="1">
      <alignment horizontal="center" vertical="center"/>
    </xf>
    <xf numFmtId="0" fontId="47" fillId="5" borderId="0" xfId="0" applyFont="1" applyFill="1" applyAlignment="1" applyProtection="1">
      <alignment horizontal="left" vertical="center"/>
    </xf>
    <xf numFmtId="0" fontId="0" fillId="8" borderId="0" xfId="0" applyFill="1">
      <alignment vertical="center"/>
    </xf>
    <xf numFmtId="0" fontId="128" fillId="8" borderId="0" xfId="0" applyFont="1" applyFill="1">
      <alignment vertical="center"/>
    </xf>
    <xf numFmtId="0" fontId="127" fillId="8" borderId="0" xfId="0" applyFont="1" applyFill="1" applyProtection="1">
      <alignment vertical="center"/>
    </xf>
    <xf numFmtId="0" fontId="0" fillId="8" borderId="0" xfId="0" applyFont="1" applyFill="1">
      <alignment vertical="center"/>
    </xf>
    <xf numFmtId="0" fontId="55" fillId="0" borderId="1" xfId="0" applyNumberFormat="1" applyFont="1" applyFill="1" applyBorder="1" applyAlignment="1" applyProtection="1">
      <alignment horizontal="center" vertical="center"/>
      <protection locked="0"/>
    </xf>
    <xf numFmtId="0" fontId="42" fillId="0" borderId="99" xfId="0" applyNumberFormat="1" applyFont="1" applyFill="1" applyBorder="1" applyAlignment="1" applyProtection="1">
      <alignment horizontal="center" vertical="center" wrapText="1"/>
      <protection locked="0"/>
    </xf>
    <xf numFmtId="0" fontId="48" fillId="0" borderId="100" xfId="0" applyNumberFormat="1" applyFont="1" applyFill="1" applyBorder="1" applyAlignment="1" applyProtection="1">
      <alignment horizontal="center" vertical="center" wrapText="1"/>
      <protection locked="0"/>
    </xf>
    <xf numFmtId="0" fontId="48" fillId="0" borderId="101" xfId="0" applyNumberFormat="1" applyFont="1" applyFill="1" applyBorder="1" applyAlignment="1" applyProtection="1">
      <alignment horizontal="center" vertical="center" wrapText="1"/>
      <protection locked="0"/>
    </xf>
    <xf numFmtId="0" fontId="42" fillId="5" borderId="106" xfId="0" applyNumberFormat="1" applyFont="1" applyFill="1" applyBorder="1" applyAlignment="1" applyProtection="1">
      <alignment horizontal="center" vertical="center" wrapText="1"/>
    </xf>
    <xf numFmtId="0" fontId="42" fillId="5" borderId="38" xfId="0" applyNumberFormat="1" applyFont="1" applyFill="1" applyBorder="1" applyAlignment="1" applyProtection="1">
      <alignment horizontal="center" vertical="center" wrapText="1"/>
    </xf>
    <xf numFmtId="0" fontId="42" fillId="0" borderId="41" xfId="0" applyNumberFormat="1" applyFont="1" applyFill="1" applyBorder="1" applyAlignment="1" applyProtection="1">
      <alignment horizontal="center" vertical="center" wrapText="1"/>
      <protection locked="0"/>
    </xf>
    <xf numFmtId="0" fontId="48" fillId="0" borderId="80" xfId="0" applyNumberFormat="1" applyFont="1" applyFill="1" applyBorder="1" applyAlignment="1" applyProtection="1">
      <alignment horizontal="center" vertical="center" wrapText="1"/>
      <protection locked="0"/>
    </xf>
    <xf numFmtId="0" fontId="42" fillId="0" borderId="110" xfId="0" applyNumberFormat="1" applyFont="1" applyFill="1" applyBorder="1" applyAlignment="1" applyProtection="1">
      <alignment horizontal="center" vertical="center" wrapText="1"/>
      <protection locked="0"/>
    </xf>
    <xf numFmtId="0" fontId="48" fillId="5" borderId="111" xfId="0" applyNumberFormat="1" applyFont="1" applyFill="1" applyBorder="1" applyAlignment="1" applyProtection="1">
      <alignment horizontal="center" vertical="center" wrapText="1"/>
    </xf>
    <xf numFmtId="0" fontId="42" fillId="0" borderId="53" xfId="0" applyFont="1" applyFill="1" applyBorder="1" applyAlignment="1" applyProtection="1">
      <alignment horizontal="center" vertical="center"/>
      <protection locked="0"/>
    </xf>
    <xf numFmtId="0" fontId="48" fillId="5" borderId="80" xfId="0" applyNumberFormat="1" applyFont="1" applyFill="1" applyBorder="1" applyAlignment="1" applyProtection="1">
      <alignment horizontal="center" vertical="center" wrapText="1"/>
    </xf>
    <xf numFmtId="0" fontId="42" fillId="0" borderId="106" xfId="0" applyFont="1" applyFill="1" applyBorder="1" applyAlignment="1" applyProtection="1">
      <alignment horizontal="center" vertical="center"/>
      <protection locked="0"/>
    </xf>
    <xf numFmtId="0" fontId="48" fillId="0" borderId="111" xfId="0" applyNumberFormat="1" applyFont="1" applyFill="1" applyBorder="1" applyAlignment="1" applyProtection="1">
      <alignment horizontal="center" vertical="center" wrapText="1"/>
      <protection locked="0"/>
    </xf>
    <xf numFmtId="0" fontId="108" fillId="5" borderId="18" xfId="0" applyFont="1" applyFill="1" applyBorder="1" applyAlignment="1" applyProtection="1">
      <alignment horizontal="center" vertical="center" wrapText="1"/>
    </xf>
    <xf numFmtId="0" fontId="108" fillId="5" borderId="17" xfId="0" applyFont="1" applyFill="1" applyBorder="1" applyAlignment="1" applyProtection="1">
      <alignment horizontal="center" vertical="center" wrapText="1"/>
    </xf>
    <xf numFmtId="0" fontId="97" fillId="8" borderId="0" xfId="0" applyFont="1" applyFill="1" applyProtection="1">
      <alignment vertical="center"/>
      <protection locked="0"/>
    </xf>
    <xf numFmtId="0" fontId="40" fillId="5" borderId="0" xfId="1" applyFont="1" applyFill="1" applyBorder="1" applyAlignment="1" applyProtection="1">
      <alignment vertical="center"/>
      <protection locked="0"/>
    </xf>
    <xf numFmtId="49" fontId="57" fillId="5" borderId="0" xfId="0" applyNumberFormat="1" applyFont="1" applyFill="1" applyBorder="1" applyAlignment="1" applyProtection="1">
      <alignment horizontal="center"/>
      <protection locked="0"/>
    </xf>
    <xf numFmtId="49" fontId="57" fillId="5" borderId="0" xfId="0" applyNumberFormat="1" applyFont="1" applyFill="1" applyBorder="1" applyAlignment="1" applyProtection="1">
      <alignment horizontal="left"/>
      <protection locked="0"/>
    </xf>
    <xf numFmtId="0" fontId="53" fillId="5" borderId="0" xfId="0" applyFont="1" applyFill="1" applyBorder="1" applyAlignment="1" applyProtection="1">
      <alignment vertical="center"/>
      <protection locked="0"/>
    </xf>
    <xf numFmtId="49" fontId="52" fillId="5" borderId="0" xfId="0" applyNumberFormat="1" applyFont="1" applyFill="1" applyBorder="1" applyAlignment="1" applyProtection="1">
      <protection locked="0"/>
    </xf>
    <xf numFmtId="49" fontId="52" fillId="5" borderId="0" xfId="0" applyNumberFormat="1" applyFont="1" applyFill="1" applyBorder="1" applyAlignment="1" applyProtection="1">
      <alignment horizontal="center"/>
      <protection locked="0"/>
    </xf>
    <xf numFmtId="49" fontId="52" fillId="5" borderId="0" xfId="0" applyNumberFormat="1" applyFont="1" applyFill="1" applyBorder="1" applyAlignment="1" applyProtection="1">
      <alignment horizontal="left"/>
      <protection locked="0"/>
    </xf>
    <xf numFmtId="49" fontId="49" fillId="5" borderId="0" xfId="0" applyNumberFormat="1" applyFont="1" applyFill="1" applyBorder="1" applyAlignment="1" applyProtection="1">
      <alignment horizontal="left" vertical="center"/>
      <protection locked="0"/>
    </xf>
    <xf numFmtId="0" fontId="49" fillId="5" borderId="0" xfId="0" applyFont="1" applyFill="1" applyBorder="1" applyAlignment="1" applyProtection="1">
      <alignment horizontal="left" vertical="center"/>
      <protection locked="0"/>
    </xf>
    <xf numFmtId="0" fontId="55" fillId="5" borderId="0" xfId="0" applyFont="1" applyFill="1" applyBorder="1" applyAlignment="1" applyProtection="1">
      <alignment horizontal="center" vertical="center"/>
      <protection locked="0"/>
    </xf>
    <xf numFmtId="0" fontId="42" fillId="5" borderId="0" xfId="0" applyFont="1" applyFill="1" applyBorder="1" applyAlignment="1" applyProtection="1">
      <alignment vertical="center"/>
      <protection locked="0"/>
    </xf>
    <xf numFmtId="0" fontId="48" fillId="5" borderId="0" xfId="0" applyFont="1" applyFill="1" applyBorder="1" applyAlignment="1" applyProtection="1">
      <alignment horizontal="left" vertical="center"/>
      <protection locked="0"/>
    </xf>
    <xf numFmtId="179" fontId="55" fillId="5" borderId="0" xfId="0" applyNumberFormat="1" applyFont="1" applyFill="1" applyBorder="1" applyAlignment="1" applyProtection="1">
      <alignment horizontal="center" vertical="center"/>
      <protection locked="0"/>
    </xf>
    <xf numFmtId="49" fontId="61" fillId="5" borderId="0" xfId="0" applyNumberFormat="1" applyFont="1" applyFill="1" applyBorder="1" applyAlignment="1" applyProtection="1">
      <alignment horizontal="left" vertical="center"/>
      <protection locked="0"/>
    </xf>
    <xf numFmtId="0" fontId="61" fillId="5" borderId="0" xfId="0" applyFont="1" applyFill="1" applyBorder="1" applyAlignment="1" applyProtection="1">
      <alignment horizontal="left" vertical="center"/>
      <protection locked="0"/>
    </xf>
    <xf numFmtId="0" fontId="62" fillId="5" borderId="0" xfId="0" applyFont="1" applyFill="1" applyBorder="1" applyAlignment="1" applyProtection="1">
      <alignment horizontal="center" vertical="center"/>
      <protection locked="0"/>
    </xf>
    <xf numFmtId="0" fontId="63" fillId="5" borderId="0" xfId="0" applyFont="1" applyFill="1" applyBorder="1" applyAlignment="1" applyProtection="1">
      <alignment vertical="center"/>
      <protection locked="0"/>
    </xf>
    <xf numFmtId="0" fontId="64" fillId="5" borderId="0" xfId="0" applyFont="1" applyFill="1" applyBorder="1" applyAlignment="1" applyProtection="1">
      <alignment horizontal="left" vertical="center"/>
      <protection locked="0"/>
    </xf>
    <xf numFmtId="179" fontId="62" fillId="5" borderId="0" xfId="0" applyNumberFormat="1" applyFont="1" applyFill="1" applyBorder="1" applyAlignment="1" applyProtection="1">
      <alignment horizontal="center" vertical="center"/>
      <protection locked="0"/>
    </xf>
    <xf numFmtId="0" fontId="98" fillId="5" borderId="0" xfId="0" applyFont="1" applyFill="1" applyAlignment="1" applyProtection="1">
      <protection locked="0"/>
    </xf>
    <xf numFmtId="0" fontId="98" fillId="5" borderId="0" xfId="0" applyFont="1" applyFill="1" applyAlignment="1" applyProtection="1">
      <alignment horizontal="left"/>
      <protection locked="0"/>
    </xf>
    <xf numFmtId="0" fontId="41" fillId="5" borderId="0" xfId="0" applyFont="1" applyFill="1" applyAlignment="1" applyProtection="1">
      <alignment horizontal="left"/>
      <protection locked="0"/>
    </xf>
    <xf numFmtId="0" fontId="41" fillId="5" borderId="0" xfId="0" applyFont="1" applyFill="1" applyAlignment="1" applyProtection="1">
      <protection locked="0"/>
    </xf>
    <xf numFmtId="0" fontId="42" fillId="5" borderId="0" xfId="0" applyFont="1" applyFill="1" applyAlignment="1" applyProtection="1">
      <alignment horizontal="left" vertical="center"/>
      <protection locked="0"/>
    </xf>
    <xf numFmtId="0" fontId="53" fillId="5" borderId="0" xfId="0" applyFont="1" applyFill="1" applyAlignment="1" applyProtection="1">
      <alignment horizontal="left" vertical="center"/>
      <protection locked="0"/>
    </xf>
    <xf numFmtId="0" fontId="53" fillId="5" borderId="0" xfId="0" applyFont="1" applyFill="1" applyAlignment="1" applyProtection="1">
      <alignment vertical="center"/>
      <protection locked="0"/>
    </xf>
    <xf numFmtId="0" fontId="42" fillId="5" borderId="0" xfId="0" applyFont="1" applyFill="1" applyAlignment="1" applyProtection="1">
      <alignment vertical="center"/>
      <protection locked="0"/>
    </xf>
    <xf numFmtId="0" fontId="53" fillId="8" borderId="0" xfId="0" applyFont="1" applyFill="1" applyAlignment="1" applyProtection="1">
      <alignment vertical="center"/>
    </xf>
    <xf numFmtId="0" fontId="60" fillId="8" borderId="0" xfId="0" applyFont="1" applyFill="1" applyAlignment="1" applyProtection="1">
      <alignment vertical="center"/>
    </xf>
    <xf numFmtId="177" fontId="52" fillId="8" borderId="0" xfId="0" applyNumberFormat="1" applyFont="1" applyFill="1" applyBorder="1" applyAlignment="1" applyProtection="1"/>
    <xf numFmtId="0" fontId="39" fillId="5" borderId="0" xfId="0" applyFont="1" applyFill="1" applyBorder="1" applyAlignment="1" applyProtection="1">
      <alignment horizontal="center" vertical="center"/>
      <protection locked="0"/>
    </xf>
    <xf numFmtId="0" fontId="46" fillId="5" borderId="0" xfId="0" applyFont="1" applyFill="1" applyAlignment="1" applyProtection="1">
      <alignment horizontal="center" vertical="center"/>
      <protection locked="0"/>
    </xf>
    <xf numFmtId="181" fontId="46" fillId="5" borderId="0" xfId="0" applyNumberFormat="1" applyFont="1" applyFill="1" applyAlignment="1" applyProtection="1">
      <alignment horizontal="center" vertical="center"/>
      <protection locked="0"/>
    </xf>
    <xf numFmtId="14" fontId="46" fillId="5" borderId="0" xfId="0" applyNumberFormat="1" applyFont="1" applyFill="1" applyAlignment="1" applyProtection="1">
      <alignment horizontal="center" vertical="center"/>
      <protection locked="0"/>
    </xf>
    <xf numFmtId="189" fontId="46" fillId="5" borderId="0" xfId="0" applyNumberFormat="1" applyFont="1" applyFill="1" applyAlignment="1" applyProtection="1">
      <alignment horizontal="center" vertical="center"/>
      <protection locked="0"/>
    </xf>
    <xf numFmtId="176" fontId="46" fillId="5" borderId="0" xfId="0" applyNumberFormat="1" applyFont="1" applyFill="1" applyAlignment="1" applyProtection="1">
      <alignment horizontal="center" vertical="center"/>
      <protection locked="0"/>
    </xf>
    <xf numFmtId="0" fontId="48" fillId="5" borderId="0" xfId="0" applyFont="1" applyFill="1" applyAlignment="1" applyProtection="1">
      <protection locked="0"/>
    </xf>
    <xf numFmtId="189" fontId="46" fillId="5" borderId="0" xfId="0" applyNumberFormat="1" applyFont="1" applyFill="1" applyBorder="1" applyAlignment="1" applyProtection="1">
      <alignment horizontal="center"/>
      <protection locked="0"/>
    </xf>
    <xf numFmtId="181" fontId="46" fillId="5" borderId="0" xfId="0" applyNumberFormat="1" applyFont="1" applyFill="1" applyBorder="1" applyAlignment="1" applyProtection="1">
      <protection locked="0"/>
    </xf>
    <xf numFmtId="0" fontId="46" fillId="5" borderId="0" xfId="0" applyFont="1" applyFill="1" applyBorder="1" applyAlignment="1" applyProtection="1">
      <protection locked="0"/>
    </xf>
    <xf numFmtId="0" fontId="69" fillId="5" borderId="42" xfId="0" applyNumberFormat="1" applyFont="1" applyFill="1" applyBorder="1" applyAlignment="1" applyProtection="1">
      <alignment vertical="center" wrapText="1"/>
      <protection locked="0"/>
    </xf>
    <xf numFmtId="0" fontId="97" fillId="5" borderId="0" xfId="0" applyFont="1" applyFill="1" applyProtection="1">
      <alignment vertical="center"/>
      <protection locked="0"/>
    </xf>
    <xf numFmtId="0" fontId="98" fillId="5" borderId="0" xfId="0" applyFont="1" applyFill="1" applyProtection="1">
      <alignment vertical="center"/>
      <protection locked="0"/>
    </xf>
    <xf numFmtId="0" fontId="98" fillId="5" borderId="0" xfId="0" applyFont="1" applyFill="1" applyAlignment="1" applyProtection="1">
      <alignment horizontal="center" vertical="center"/>
      <protection locked="0"/>
    </xf>
    <xf numFmtId="0" fontId="0" fillId="5" borderId="0" xfId="0" applyFill="1" applyProtection="1">
      <alignment vertical="center"/>
      <protection locked="0"/>
    </xf>
    <xf numFmtId="0" fontId="0" fillId="8" borderId="0" xfId="0" applyFill="1" applyProtection="1">
      <alignment vertical="center"/>
      <protection locked="0"/>
    </xf>
    <xf numFmtId="0" fontId="0" fillId="0" borderId="0" xfId="0" applyFill="1" applyProtection="1">
      <alignment vertical="center"/>
      <protection locked="0"/>
    </xf>
    <xf numFmtId="0" fontId="109" fillId="5" borderId="0" xfId="0" applyFont="1" applyFill="1" applyBorder="1" applyAlignment="1" applyProtection="1">
      <alignment vertical="center"/>
      <protection locked="0"/>
    </xf>
    <xf numFmtId="10" fontId="16" fillId="5" borderId="0" xfId="0" applyNumberFormat="1" applyFont="1" applyFill="1" applyBorder="1" applyAlignment="1" applyProtection="1">
      <alignment horizontal="center" vertical="center" wrapText="1"/>
      <protection locked="0"/>
    </xf>
    <xf numFmtId="0" fontId="120" fillId="5" borderId="47" xfId="0" applyFont="1" applyFill="1" applyBorder="1" applyAlignment="1" applyProtection="1">
      <alignment vertical="center"/>
      <protection locked="0"/>
    </xf>
    <xf numFmtId="10" fontId="16" fillId="5" borderId="0" xfId="0" applyNumberFormat="1" applyFont="1" applyFill="1" applyBorder="1" applyAlignment="1" applyProtection="1">
      <alignment vertical="center" wrapText="1"/>
      <protection locked="0"/>
    </xf>
    <xf numFmtId="0" fontId="0" fillId="8" borderId="0" xfId="0" applyFill="1" applyAlignment="1" applyProtection="1">
      <alignment horizontal="center" vertical="center" wrapText="1"/>
      <protection locked="0"/>
    </xf>
    <xf numFmtId="0" fontId="98" fillId="8" borderId="0" xfId="0" applyFont="1" applyFill="1" applyProtection="1">
      <alignment vertical="center"/>
      <protection locked="0"/>
    </xf>
    <xf numFmtId="0" fontId="98" fillId="8" borderId="0" xfId="0" applyFont="1" applyFill="1" applyAlignment="1" applyProtection="1">
      <alignment horizontal="center" vertical="center"/>
      <protection locked="0"/>
    </xf>
    <xf numFmtId="0" fontId="0" fillId="0" borderId="0" xfId="0" applyAlignment="1" applyProtection="1">
      <alignment horizontal="center" vertical="center" wrapText="1"/>
      <protection locked="0"/>
    </xf>
    <xf numFmtId="0" fontId="97" fillId="0" borderId="0" xfId="0" applyFont="1" applyProtection="1">
      <alignment vertical="center"/>
      <protection locked="0"/>
    </xf>
    <xf numFmtId="0" fontId="98" fillId="0" borderId="0" xfId="0" applyFont="1" applyProtection="1">
      <alignment vertical="center"/>
      <protection locked="0"/>
    </xf>
    <xf numFmtId="0" fontId="98" fillId="0" borderId="0" xfId="0" applyFont="1" applyAlignment="1" applyProtection="1">
      <alignment horizontal="center" vertical="center"/>
      <protection locked="0"/>
    </xf>
    <xf numFmtId="9" fontId="72" fillId="6" borderId="1" xfId="0" applyNumberFormat="1" applyFont="1" applyFill="1" applyBorder="1" applyAlignment="1" applyProtection="1">
      <alignment horizontal="center" vertical="center"/>
      <protection locked="0"/>
    </xf>
    <xf numFmtId="0" fontId="53" fillId="5" borderId="64" xfId="0" applyFont="1" applyFill="1" applyBorder="1" applyAlignment="1" applyProtection="1">
      <alignment vertical="center"/>
      <protection locked="0"/>
    </xf>
    <xf numFmtId="0" fontId="53" fillId="5" borderId="65" xfId="0" applyFont="1" applyFill="1" applyBorder="1" applyAlignment="1" applyProtection="1">
      <alignment vertical="center"/>
      <protection locked="0"/>
    </xf>
    <xf numFmtId="0" fontId="47" fillId="5" borderId="34" xfId="0" applyFont="1" applyFill="1" applyBorder="1" applyAlignment="1" applyProtection="1">
      <alignment horizontal="center" vertical="center"/>
    </xf>
    <xf numFmtId="0" fontId="42" fillId="5" borderId="12" xfId="0" applyFont="1" applyFill="1" applyBorder="1" applyAlignment="1" applyProtection="1">
      <alignment horizontal="right" vertical="center"/>
    </xf>
    <xf numFmtId="0" fontId="42" fillId="5" borderId="79" xfId="0" applyFont="1" applyFill="1" applyBorder="1" applyAlignment="1" applyProtection="1">
      <alignment horizontal="center" vertical="center"/>
    </xf>
    <xf numFmtId="0" fontId="49" fillId="8" borderId="6" xfId="0" applyFont="1" applyFill="1" applyBorder="1" applyAlignment="1" applyProtection="1">
      <alignment horizontal="center" vertical="center"/>
      <protection locked="0"/>
    </xf>
    <xf numFmtId="0" fontId="53" fillId="5" borderId="41" xfId="0" applyFont="1" applyFill="1" applyBorder="1" applyAlignment="1" applyProtection="1">
      <alignment vertical="center"/>
      <protection locked="0"/>
    </xf>
    <xf numFmtId="0" fontId="53" fillId="5" borderId="39" xfId="0" applyFont="1" applyFill="1" applyBorder="1" applyAlignment="1" applyProtection="1">
      <alignment vertical="center"/>
      <protection locked="0"/>
    </xf>
    <xf numFmtId="0" fontId="53" fillId="5" borderId="68" xfId="0" applyFont="1" applyFill="1" applyBorder="1" applyAlignment="1" applyProtection="1">
      <alignment vertical="center"/>
      <protection locked="0"/>
    </xf>
    <xf numFmtId="0" fontId="53" fillId="5" borderId="55" xfId="0" applyFont="1" applyFill="1" applyBorder="1" applyAlignment="1" applyProtection="1">
      <alignment horizontal="center" vertical="center"/>
    </xf>
    <xf numFmtId="49" fontId="54" fillId="5" borderId="7" xfId="1" applyNumberFormat="1" applyFont="1" applyFill="1" applyBorder="1" applyAlignment="1" applyProtection="1">
      <alignment horizontal="left"/>
    </xf>
    <xf numFmtId="49" fontId="49" fillId="5" borderId="7" xfId="0" applyNumberFormat="1" applyFont="1" applyFill="1" applyBorder="1" applyAlignment="1" applyProtection="1">
      <alignment horizontal="left" vertical="center"/>
    </xf>
    <xf numFmtId="49" fontId="42" fillId="5" borderId="7" xfId="0" applyNumberFormat="1" applyFont="1" applyFill="1" applyBorder="1" applyAlignment="1" applyProtection="1">
      <alignment horizontal="center" vertical="center"/>
    </xf>
    <xf numFmtId="0" fontId="42" fillId="5" borderId="7" xfId="1" applyFont="1" applyFill="1" applyBorder="1" applyAlignment="1" applyProtection="1">
      <alignment horizontal="right" vertical="center"/>
    </xf>
    <xf numFmtId="0" fontId="55" fillId="8" borderId="1" xfId="0" applyFont="1" applyFill="1" applyBorder="1" applyProtection="1">
      <alignment vertical="center"/>
      <protection locked="0"/>
    </xf>
    <xf numFmtId="0" fontId="42" fillId="8" borderId="1" xfId="0" applyFont="1" applyFill="1" applyBorder="1" applyProtection="1">
      <alignment vertical="center"/>
      <protection locked="0"/>
    </xf>
    <xf numFmtId="0" fontId="101" fillId="8" borderId="0" xfId="0" applyFont="1" applyFill="1" applyProtection="1">
      <alignment vertical="center"/>
      <protection locked="0"/>
    </xf>
    <xf numFmtId="0" fontId="101" fillId="8" borderId="0" xfId="0" applyFont="1" applyFill="1" applyAlignment="1" applyProtection="1">
      <alignment horizontal="center" vertical="center"/>
      <protection locked="0"/>
    </xf>
    <xf numFmtId="0" fontId="101" fillId="8" borderId="0" xfId="0" applyFont="1" applyFill="1" applyProtection="1">
      <alignment vertical="center"/>
    </xf>
    <xf numFmtId="0" fontId="52" fillId="6" borderId="47" xfId="1" applyFont="1" applyFill="1" applyBorder="1" applyAlignment="1" applyProtection="1">
      <alignment vertical="center"/>
      <protection locked="0"/>
    </xf>
    <xf numFmtId="0" fontId="49" fillId="5" borderId="35" xfId="0" applyNumberFormat="1" applyFont="1" applyFill="1" applyBorder="1" applyAlignment="1" applyProtection="1">
      <alignment vertical="center" wrapText="1"/>
      <protection locked="0"/>
    </xf>
    <xf numFmtId="0" fontId="55" fillId="5" borderId="60" xfId="0" applyNumberFormat="1" applyFont="1" applyFill="1" applyBorder="1" applyAlignment="1" applyProtection="1">
      <alignment vertical="center" textRotation="255" wrapText="1"/>
      <protection locked="0"/>
    </xf>
    <xf numFmtId="0" fontId="55" fillId="5" borderId="60" xfId="0" applyNumberFormat="1" applyFont="1" applyFill="1" applyBorder="1" applyAlignment="1" applyProtection="1">
      <alignment vertical="center" wrapText="1"/>
      <protection locked="0"/>
    </xf>
    <xf numFmtId="0" fontId="47" fillId="5" borderId="60" xfId="0" applyNumberFormat="1" applyFont="1" applyFill="1" applyBorder="1" applyAlignment="1" applyProtection="1">
      <alignment vertical="center" wrapText="1"/>
      <protection locked="0"/>
    </xf>
    <xf numFmtId="0" fontId="42" fillId="10" borderId="4"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left" vertical="center" wrapText="1"/>
      <protection locked="0"/>
    </xf>
    <xf numFmtId="0" fontId="42" fillId="10" borderId="13" xfId="0" applyNumberFormat="1" applyFont="1" applyFill="1" applyBorder="1" applyAlignment="1" applyProtection="1">
      <alignment horizontal="center" vertical="center" wrapText="1"/>
      <protection locked="0"/>
    </xf>
    <xf numFmtId="0" fontId="42" fillId="10" borderId="12" xfId="0" applyFont="1" applyFill="1" applyBorder="1" applyAlignment="1" applyProtection="1">
      <alignment horizontal="center" vertical="center"/>
      <protection locked="0"/>
    </xf>
    <xf numFmtId="0"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wrapText="1"/>
      <protection locked="0"/>
    </xf>
    <xf numFmtId="9"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protection locked="0"/>
    </xf>
    <xf numFmtId="0" fontId="42" fillId="10" borderId="79" xfId="0" applyFont="1" applyFill="1" applyBorder="1" applyAlignment="1" applyProtection="1">
      <alignment horizontal="center" vertical="center"/>
      <protection locked="0"/>
    </xf>
    <xf numFmtId="0" fontId="47" fillId="10" borderId="123" xfId="0" applyNumberFormat="1" applyFont="1" applyFill="1" applyBorder="1" applyAlignment="1" applyProtection="1">
      <alignment vertical="center" wrapText="1"/>
      <protection locked="0"/>
    </xf>
    <xf numFmtId="0" fontId="42" fillId="10" borderId="29" xfId="0" applyNumberFormat="1" applyFont="1" applyFill="1" applyBorder="1" applyAlignment="1" applyProtection="1">
      <alignment horizontal="center" vertical="center" wrapText="1"/>
    </xf>
    <xf numFmtId="0" fontId="42" fillId="10" borderId="8" xfId="0" applyNumberFormat="1" applyFont="1" applyFill="1" applyBorder="1" applyAlignment="1" applyProtection="1">
      <alignment horizontal="center" vertical="center" wrapText="1"/>
      <protection locked="0"/>
    </xf>
    <xf numFmtId="0" fontId="48" fillId="10" borderId="61" xfId="0" applyNumberFormat="1" applyFont="1" applyFill="1" applyBorder="1" applyAlignment="1" applyProtection="1">
      <alignment horizontal="center" vertical="center" wrapText="1"/>
      <protection locked="0"/>
    </xf>
    <xf numFmtId="0" fontId="48" fillId="10" borderId="44" xfId="0" applyNumberFormat="1" applyFont="1" applyFill="1" applyBorder="1" applyAlignment="1" applyProtection="1">
      <alignment horizontal="center" vertical="center" wrapText="1"/>
      <protection locked="0"/>
    </xf>
    <xf numFmtId="0" fontId="48" fillId="10" borderId="62" xfId="0" applyNumberFormat="1" applyFont="1" applyFill="1" applyBorder="1" applyAlignment="1" applyProtection="1">
      <alignment horizontal="center" vertical="center" wrapText="1"/>
      <protection locked="0"/>
    </xf>
    <xf numFmtId="0" fontId="53" fillId="8" borderId="66" xfId="0" applyFont="1" applyFill="1" applyBorder="1" applyAlignment="1" applyProtection="1">
      <alignment vertical="center"/>
      <protection locked="0"/>
    </xf>
    <xf numFmtId="0" fontId="53" fillId="8" borderId="81" xfId="0" applyFont="1" applyFill="1" applyBorder="1" applyAlignment="1" applyProtection="1">
      <alignment horizontal="left" vertical="center"/>
      <protection locked="0"/>
    </xf>
    <xf numFmtId="0" fontId="53" fillId="5" borderId="31" xfId="0" applyFont="1" applyFill="1" applyBorder="1" applyAlignment="1" applyProtection="1">
      <alignment horizontal="center" vertical="center"/>
    </xf>
    <xf numFmtId="0" fontId="53" fillId="0" borderId="6" xfId="0" applyFont="1" applyFill="1" applyBorder="1" applyAlignment="1" applyProtection="1">
      <alignment horizontal="center" vertical="center"/>
      <protection locked="0"/>
    </xf>
    <xf numFmtId="0" fontId="129" fillId="5" borderId="6" xfId="0" applyFont="1" applyFill="1" applyBorder="1" applyAlignment="1" applyProtection="1">
      <alignment horizontal="center"/>
    </xf>
    <xf numFmtId="0" fontId="53" fillId="5" borderId="6" xfId="0" applyNumberFormat="1" applyFont="1" applyFill="1" applyBorder="1" applyAlignment="1" applyProtection="1">
      <alignment horizontal="center" vertical="center"/>
    </xf>
    <xf numFmtId="194" fontId="53" fillId="5" borderId="6" xfId="0" applyNumberFormat="1" applyFont="1" applyFill="1" applyBorder="1" applyAlignment="1" applyProtection="1">
      <alignment horizontal="center" vertical="center"/>
    </xf>
    <xf numFmtId="10" fontId="53" fillId="0" borderId="43" xfId="0" applyNumberFormat="1" applyFont="1" applyFill="1" applyBorder="1" applyAlignment="1" applyProtection="1">
      <alignment horizontal="center" vertical="center"/>
      <protection locked="0"/>
    </xf>
    <xf numFmtId="0" fontId="53" fillId="5" borderId="84" xfId="0" applyFont="1" applyFill="1" applyBorder="1" applyAlignment="1" applyProtection="1">
      <alignment horizontal="center" vertical="center"/>
    </xf>
    <xf numFmtId="0" fontId="53" fillId="6" borderId="38" xfId="0" applyFont="1" applyFill="1" applyBorder="1" applyAlignment="1" applyProtection="1">
      <alignment horizontal="center" vertical="center"/>
      <protection locked="0"/>
    </xf>
    <xf numFmtId="0" fontId="53" fillId="5" borderId="43"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6" borderId="0" xfId="0" applyFont="1" applyFill="1" applyAlignment="1" applyProtection="1">
      <alignment horizontal="center" vertical="center"/>
      <protection locked="0"/>
    </xf>
    <xf numFmtId="181" fontId="47" fillId="0" borderId="6" xfId="0" applyNumberFormat="1" applyFont="1" applyFill="1" applyBorder="1" applyAlignment="1" applyProtection="1">
      <alignment horizontal="center" vertical="center"/>
      <protection locked="0"/>
    </xf>
    <xf numFmtId="0" fontId="132" fillId="5" borderId="82" xfId="0" applyFont="1" applyFill="1" applyBorder="1" applyAlignment="1" applyProtection="1">
      <alignment horizontal="center" vertical="center"/>
    </xf>
    <xf numFmtId="0" fontId="53" fillId="5" borderId="0" xfId="0" applyFont="1" applyFill="1" applyAlignment="1" applyProtection="1">
      <alignment horizontal="center" vertical="center"/>
    </xf>
    <xf numFmtId="0" fontId="59" fillId="8" borderId="0" xfId="0" applyFont="1" applyFill="1" applyAlignment="1" applyProtection="1">
      <alignment horizontal="center" vertical="center"/>
      <protection locked="0"/>
    </xf>
    <xf numFmtId="0" fontId="60" fillId="8" borderId="0" xfId="0" applyFont="1" applyFill="1" applyAlignment="1" applyProtection="1">
      <alignment horizontal="center" vertical="center"/>
      <protection locked="0"/>
    </xf>
    <xf numFmtId="0" fontId="139" fillId="5" borderId="0" xfId="0" applyFont="1" applyFill="1" applyAlignment="1" applyProtection="1">
      <alignment vertical="center"/>
    </xf>
    <xf numFmtId="0" fontId="53" fillId="5" borderId="0" xfId="0" applyFont="1" applyFill="1" applyAlignment="1" applyProtection="1">
      <alignment vertical="center"/>
    </xf>
    <xf numFmtId="0" fontId="129" fillId="5" borderId="82" xfId="0" applyFont="1" applyFill="1" applyBorder="1" applyAlignment="1" applyProtection="1">
      <alignment vertical="center" wrapText="1"/>
    </xf>
    <xf numFmtId="0" fontId="129" fillId="5" borderId="81" xfId="0" applyFont="1" applyFill="1" applyBorder="1" applyAlignment="1" applyProtection="1">
      <alignment vertical="center"/>
    </xf>
    <xf numFmtId="0" fontId="129" fillId="5" borderId="81" xfId="0" applyFont="1" applyFill="1" applyBorder="1" applyAlignment="1" applyProtection="1">
      <alignment horizontal="center" vertical="center" wrapText="1"/>
    </xf>
    <xf numFmtId="0" fontId="129" fillId="5" borderId="81" xfId="0" applyFont="1" applyFill="1" applyBorder="1" applyAlignment="1" applyProtection="1">
      <alignment vertical="center" wrapText="1"/>
    </xf>
    <xf numFmtId="0" fontId="129" fillId="5" borderId="78" xfId="0" applyFont="1" applyFill="1" applyBorder="1" applyAlignment="1" applyProtection="1">
      <alignment vertical="center" wrapText="1"/>
    </xf>
    <xf numFmtId="0" fontId="129" fillId="5" borderId="30" xfId="0" applyFont="1" applyFill="1" applyBorder="1" applyAlignment="1" applyProtection="1">
      <alignment vertical="center"/>
    </xf>
    <xf numFmtId="0" fontId="129" fillId="5" borderId="30" xfId="0" applyFont="1" applyFill="1" applyBorder="1" applyAlignment="1" applyProtection="1">
      <alignment horizontal="center" vertical="center" wrapText="1"/>
    </xf>
    <xf numFmtId="0" fontId="129" fillId="5" borderId="30" xfId="0" applyFont="1" applyFill="1" applyBorder="1" applyAlignment="1" applyProtection="1">
      <alignment vertical="center" wrapText="1"/>
    </xf>
    <xf numFmtId="0" fontId="129" fillId="5" borderId="78" xfId="0" applyFont="1" applyFill="1" applyBorder="1" applyAlignment="1" applyProtection="1">
      <alignment horizontal="right" vertical="center" wrapText="1"/>
    </xf>
    <xf numFmtId="10" fontId="129" fillId="5" borderId="30" xfId="0" applyNumberFormat="1" applyFont="1" applyFill="1" applyBorder="1" applyAlignment="1" applyProtection="1">
      <alignment horizontal="center" vertical="center" wrapText="1"/>
    </xf>
    <xf numFmtId="194" fontId="129" fillId="5" borderId="30" xfId="0" applyNumberFormat="1" applyFont="1" applyFill="1" applyBorder="1" applyAlignment="1" applyProtection="1">
      <alignment horizontal="center" vertical="center" wrapText="1"/>
    </xf>
    <xf numFmtId="0" fontId="130" fillId="5" borderId="30" xfId="0" applyFont="1" applyFill="1" applyBorder="1" applyAlignment="1" applyProtection="1">
      <alignment vertical="center" wrapText="1"/>
    </xf>
    <xf numFmtId="0" fontId="104" fillId="5" borderId="30" xfId="0" applyFont="1" applyFill="1" applyBorder="1" applyAlignment="1" applyProtection="1">
      <alignment vertical="center"/>
    </xf>
    <xf numFmtId="0" fontId="53" fillId="5" borderId="53" xfId="0" applyFont="1" applyFill="1" applyBorder="1" applyAlignment="1" applyProtection="1">
      <alignment vertical="center"/>
      <protection locked="0"/>
    </xf>
    <xf numFmtId="49" fontId="42" fillId="5" borderId="16" xfId="0" applyNumberFormat="1" applyFont="1" applyFill="1" applyBorder="1" applyAlignment="1" applyProtection="1">
      <alignment horizontal="left" vertical="center"/>
    </xf>
    <xf numFmtId="0" fontId="47" fillId="5" borderId="27" xfId="0" applyFont="1" applyFill="1" applyBorder="1" applyAlignment="1" applyProtection="1">
      <alignment horizontal="center" vertical="center"/>
    </xf>
    <xf numFmtId="0" fontId="47" fillId="5" borderId="64" xfId="0" applyFont="1" applyFill="1" applyBorder="1" applyAlignment="1" applyProtection="1">
      <alignment horizontal="center" vertical="center"/>
    </xf>
    <xf numFmtId="49" fontId="42" fillId="5" borderId="23" xfId="0" applyNumberFormat="1" applyFont="1" applyFill="1" applyBorder="1" applyAlignment="1" applyProtection="1">
      <alignment horizontal="left" vertical="center"/>
    </xf>
    <xf numFmtId="49" fontId="42" fillId="5" borderId="65" xfId="0" applyNumberFormat="1" applyFont="1" applyFill="1" applyBorder="1" applyAlignment="1" applyProtection="1">
      <alignment vertical="center"/>
    </xf>
    <xf numFmtId="0" fontId="16" fillId="0" borderId="1" xfId="0" applyFont="1" applyFill="1" applyBorder="1" applyAlignment="1">
      <alignment horizontal="center" vertical="center"/>
    </xf>
    <xf numFmtId="177" fontId="16" fillId="0" borderId="6" xfId="0" applyNumberFormat="1" applyFont="1" applyFill="1" applyBorder="1" applyAlignment="1">
      <alignment horizontal="center" vertical="center"/>
    </xf>
    <xf numFmtId="0" fontId="138" fillId="0" borderId="1" xfId="0" applyFont="1" applyFill="1" applyBorder="1" applyAlignment="1">
      <alignment horizontal="center" vertical="center"/>
    </xf>
    <xf numFmtId="9" fontId="16" fillId="0" borderId="1" xfId="0" applyNumberFormat="1" applyFont="1" applyFill="1" applyBorder="1" applyAlignment="1">
      <alignment horizontal="center" vertical="center"/>
    </xf>
    <xf numFmtId="177" fontId="16" fillId="0" borderId="1" xfId="0" applyNumberFormat="1" applyFont="1" applyFill="1" applyBorder="1" applyAlignment="1">
      <alignment horizontal="center" vertical="center"/>
    </xf>
    <xf numFmtId="0" fontId="16" fillId="0" borderId="6" xfId="0" applyFont="1" applyFill="1" applyBorder="1" applyAlignment="1">
      <alignment horizontal="center" vertical="center"/>
    </xf>
    <xf numFmtId="0" fontId="147" fillId="0" borderId="1" xfId="0" applyFont="1" applyFill="1" applyBorder="1" applyAlignment="1">
      <alignment horizontal="center" vertical="center"/>
    </xf>
    <xf numFmtId="9" fontId="136" fillId="0" borderId="1" xfId="0" applyNumberFormat="1" applyFont="1" applyFill="1" applyBorder="1" applyAlignment="1">
      <alignment horizontal="center" vertical="center"/>
    </xf>
    <xf numFmtId="177" fontId="136" fillId="0" borderId="1" xfId="0" applyNumberFormat="1" applyFont="1" applyFill="1" applyBorder="1" applyAlignment="1">
      <alignment horizontal="center" vertical="center"/>
    </xf>
    <xf numFmtId="0" fontId="136" fillId="0" borderId="6" xfId="0" applyFont="1" applyFill="1" applyBorder="1" applyAlignment="1">
      <alignment horizontal="center" vertical="center"/>
    </xf>
    <xf numFmtId="0" fontId="30" fillId="0" borderId="1" xfId="0" applyFont="1" applyFill="1" applyBorder="1" applyAlignment="1">
      <alignment horizontal="center" vertical="center"/>
    </xf>
    <xf numFmtId="0" fontId="0" fillId="0" borderId="1" xfId="0" applyFill="1" applyBorder="1" applyAlignment="1">
      <alignment vertical="center"/>
    </xf>
    <xf numFmtId="0" fontId="147" fillId="0" borderId="6" xfId="0" applyFont="1" applyFill="1" applyBorder="1" applyAlignment="1">
      <alignment horizontal="center" vertical="center"/>
    </xf>
    <xf numFmtId="0" fontId="138" fillId="0" borderId="1" xfId="0" applyFont="1" applyFill="1" applyBorder="1" applyAlignment="1">
      <alignment horizontal="center" vertical="center" wrapText="1"/>
    </xf>
    <xf numFmtId="0" fontId="30" fillId="0" borderId="1" xfId="0" applyFont="1" applyFill="1" applyBorder="1" applyAlignment="1">
      <alignment vertical="center"/>
    </xf>
    <xf numFmtId="0" fontId="138" fillId="0" borderId="6" xfId="0" applyFont="1" applyFill="1" applyBorder="1" applyAlignment="1">
      <alignment horizontal="center" vertical="center"/>
    </xf>
    <xf numFmtId="9" fontId="147" fillId="0" borderId="1" xfId="0" applyNumberFormat="1" applyFont="1" applyFill="1" applyBorder="1" applyAlignment="1">
      <alignment horizontal="center" vertical="center"/>
    </xf>
    <xf numFmtId="0" fontId="138" fillId="0" borderId="1" xfId="0" applyFont="1" applyBorder="1" applyAlignment="1">
      <alignment horizontal="center" vertical="center"/>
    </xf>
    <xf numFmtId="9" fontId="138" fillId="0" borderId="1" xfId="0" applyNumberFormat="1" applyFont="1" applyBorder="1" applyAlignment="1">
      <alignment horizontal="center" vertical="center"/>
    </xf>
    <xf numFmtId="0" fontId="147" fillId="0" borderId="61" xfId="0" applyFont="1" applyFill="1" applyBorder="1" applyAlignment="1">
      <alignment horizontal="center" vertical="center"/>
    </xf>
    <xf numFmtId="9" fontId="147" fillId="0" borderId="61" xfId="0" applyNumberFormat="1" applyFont="1" applyFill="1" applyBorder="1" applyAlignment="1">
      <alignment horizontal="center" vertical="center"/>
    </xf>
    <xf numFmtId="177" fontId="147" fillId="0" borderId="61" xfId="0" applyNumberFormat="1" applyFont="1" applyFill="1" applyBorder="1" applyAlignment="1">
      <alignment horizontal="center" vertical="center"/>
    </xf>
    <xf numFmtId="0" fontId="136" fillId="0" borderId="43" xfId="0" applyFont="1" applyFill="1" applyBorder="1" applyAlignment="1">
      <alignment horizontal="center" vertical="center"/>
    </xf>
    <xf numFmtId="0" fontId="147" fillId="11" borderId="1" xfId="0" applyFont="1" applyFill="1" applyBorder="1" applyAlignment="1">
      <alignment vertical="center"/>
    </xf>
    <xf numFmtId="0" fontId="16" fillId="0" borderId="1" xfId="0" applyFont="1" applyBorder="1" applyAlignment="1">
      <alignment horizontal="center"/>
    </xf>
    <xf numFmtId="0" fontId="16" fillId="0" borderId="1" xfId="0" applyFont="1" applyBorder="1" applyAlignment="1"/>
    <xf numFmtId="49" fontId="16" fillId="0" borderId="1" xfId="0" applyNumberFormat="1" applyFont="1" applyBorder="1" applyAlignment="1">
      <alignment horizontal="center"/>
    </xf>
    <xf numFmtId="9" fontId="16" fillId="0" borderId="1" xfId="0" applyNumberFormat="1" applyFont="1" applyBorder="1" applyAlignment="1"/>
    <xf numFmtId="0" fontId="16" fillId="0" borderId="1" xfId="0" applyFont="1" applyFill="1" applyBorder="1" applyAlignment="1">
      <alignment horizontal="center"/>
    </xf>
    <xf numFmtId="0" fontId="47" fillId="5" borderId="1" xfId="0" applyFont="1" applyFill="1" applyBorder="1" applyAlignment="1" applyProtection="1">
      <alignment horizontal="center" vertical="center"/>
      <protection locked="0"/>
    </xf>
    <xf numFmtId="49" fontId="47" fillId="5" borderId="23" xfId="0" applyNumberFormat="1" applyFont="1" applyFill="1" applyBorder="1" applyAlignment="1" applyProtection="1">
      <alignment horizontal="left" vertical="center"/>
    </xf>
    <xf numFmtId="0" fontId="47" fillId="5" borderId="17" xfId="0" applyFont="1" applyFill="1" applyBorder="1" applyAlignment="1" applyProtection="1">
      <alignment horizontal="left" vertical="center"/>
    </xf>
    <xf numFmtId="0" fontId="42" fillId="5" borderId="49" xfId="0" applyFont="1" applyFill="1" applyBorder="1" applyAlignment="1" applyProtection="1">
      <alignment horizontal="left" vertical="center"/>
    </xf>
    <xf numFmtId="181" fontId="42" fillId="5" borderId="50" xfId="0" applyNumberFormat="1" applyFont="1" applyFill="1" applyBorder="1" applyAlignment="1" applyProtection="1">
      <alignment horizontal="center" vertical="center"/>
    </xf>
    <xf numFmtId="49" fontId="42" fillId="5" borderId="124" xfId="0" applyNumberFormat="1" applyFont="1" applyFill="1" applyBorder="1" applyAlignment="1" applyProtection="1">
      <alignment vertical="center"/>
    </xf>
    <xf numFmtId="0" fontId="47" fillId="0" borderId="75" xfId="0" applyFont="1" applyFill="1" applyBorder="1" applyAlignment="1" applyProtection="1">
      <alignment horizontal="center" vertical="center"/>
      <protection locked="0"/>
    </xf>
    <xf numFmtId="181" fontId="47" fillId="5" borderId="76" xfId="0" applyNumberFormat="1" applyFont="1" applyFill="1" applyBorder="1" applyAlignment="1" applyProtection="1">
      <alignment horizontal="center" vertical="center"/>
    </xf>
    <xf numFmtId="0" fontId="42" fillId="5" borderId="64" xfId="0" applyFont="1" applyFill="1" applyBorder="1" applyAlignment="1" applyProtection="1">
      <alignment horizontal="left" vertical="center"/>
    </xf>
    <xf numFmtId="0" fontId="42" fillId="5" borderId="65" xfId="0" applyFont="1" applyFill="1" applyBorder="1" applyAlignment="1" applyProtection="1">
      <alignment horizontal="center" vertical="center"/>
    </xf>
    <xf numFmtId="0" fontId="42" fillId="5" borderId="68" xfId="0" applyFont="1" applyFill="1" applyBorder="1" applyAlignment="1" applyProtection="1">
      <alignment horizontal="center" vertical="center"/>
    </xf>
    <xf numFmtId="49" fontId="42" fillId="5" borderId="124" xfId="0" applyNumberFormat="1" applyFont="1" applyFill="1" applyBorder="1" applyAlignment="1" applyProtection="1">
      <alignment horizontal="left" vertical="center"/>
    </xf>
    <xf numFmtId="0" fontId="42" fillId="5" borderId="75" xfId="0" applyFont="1" applyFill="1" applyBorder="1" applyAlignment="1" applyProtection="1">
      <alignment horizontal="left" vertical="center"/>
    </xf>
    <xf numFmtId="0" fontId="42" fillId="5" borderId="75" xfId="0" applyFont="1" applyFill="1" applyBorder="1" applyAlignment="1" applyProtection="1">
      <alignment horizontal="center" vertical="center"/>
    </xf>
    <xf numFmtId="0" fontId="42" fillId="5" borderId="75" xfId="0" applyFont="1" applyFill="1" applyBorder="1" applyAlignment="1" applyProtection="1">
      <alignment horizontal="left" vertical="center" wrapText="1"/>
    </xf>
    <xf numFmtId="181" fontId="42" fillId="5" borderId="76" xfId="0" applyNumberFormat="1" applyFont="1" applyFill="1" applyBorder="1" applyAlignment="1" applyProtection="1">
      <alignment horizontal="center" vertical="center"/>
    </xf>
    <xf numFmtId="0" fontId="47" fillId="5" borderId="17" xfId="0" applyFont="1" applyFill="1" applyBorder="1" applyAlignment="1" applyProtection="1">
      <alignment horizontal="left" vertical="center" wrapText="1"/>
    </xf>
    <xf numFmtId="0" fontId="42" fillId="5" borderId="64" xfId="0" applyFont="1" applyFill="1" applyBorder="1" applyAlignment="1" applyProtection="1">
      <alignment horizontal="left" vertical="center" wrapText="1"/>
    </xf>
    <xf numFmtId="0" fontId="42" fillId="5" borderId="65" xfId="0" applyFont="1" applyFill="1" applyBorder="1" applyAlignment="1" applyProtection="1">
      <alignment horizontal="center" vertical="center" wrapText="1"/>
    </xf>
    <xf numFmtId="0" fontId="42" fillId="5" borderId="68" xfId="0" applyFont="1" applyFill="1" applyBorder="1" applyAlignment="1" applyProtection="1">
      <alignment horizontal="center" vertical="center" wrapText="1"/>
    </xf>
    <xf numFmtId="0" fontId="56" fillId="5" borderId="65" xfId="0" applyFont="1" applyFill="1" applyBorder="1" applyAlignment="1" applyProtection="1">
      <alignment vertical="center"/>
    </xf>
    <xf numFmtId="0" fontId="56" fillId="5" borderId="68" xfId="0" applyFont="1" applyFill="1" applyBorder="1" applyAlignment="1" applyProtection="1">
      <alignment vertical="center"/>
    </xf>
    <xf numFmtId="0" fontId="42" fillId="5" borderId="85" xfId="0" applyFont="1" applyFill="1" applyBorder="1" applyAlignment="1" applyProtection="1">
      <alignment vertical="center"/>
    </xf>
    <xf numFmtId="181" fontId="47" fillId="5" borderId="125" xfId="0" applyNumberFormat="1" applyFont="1" applyFill="1" applyBorder="1" applyAlignment="1" applyProtection="1">
      <alignment horizontal="center" vertical="center"/>
    </xf>
    <xf numFmtId="181" fontId="47" fillId="5" borderId="75" xfId="0" applyNumberFormat="1" applyFont="1" applyFill="1" applyBorder="1" applyAlignment="1" applyProtection="1">
      <alignment horizontal="center" vertical="center"/>
    </xf>
    <xf numFmtId="0" fontId="42" fillId="5" borderId="85" xfId="0" applyFont="1" applyFill="1" applyBorder="1" applyAlignment="1" applyProtection="1">
      <alignment horizontal="left" vertical="center"/>
    </xf>
    <xf numFmtId="0" fontId="56" fillId="5" borderId="126" xfId="0" applyFont="1" applyFill="1" applyBorder="1" applyAlignment="1" applyProtection="1">
      <alignment vertical="center"/>
    </xf>
    <xf numFmtId="0" fontId="56" fillId="5" borderId="125" xfId="0" applyFont="1" applyFill="1" applyBorder="1" applyAlignment="1" applyProtection="1">
      <alignment vertical="center"/>
    </xf>
    <xf numFmtId="49" fontId="42" fillId="5" borderId="26" xfId="0" applyNumberFormat="1" applyFont="1" applyFill="1" applyBorder="1" applyAlignment="1" applyProtection="1">
      <alignment vertical="center"/>
    </xf>
    <xf numFmtId="186" fontId="42" fillId="5" borderId="1" xfId="0" applyNumberFormat="1" applyFont="1" applyFill="1" applyBorder="1" applyAlignment="1" applyProtection="1">
      <alignment horizontal="center"/>
      <protection locked="0"/>
    </xf>
    <xf numFmtId="186" fontId="42" fillId="5" borderId="6" xfId="0" applyNumberFormat="1" applyFont="1" applyFill="1" applyBorder="1" applyAlignment="1" applyProtection="1">
      <alignment horizontal="center"/>
      <protection locked="0"/>
    </xf>
    <xf numFmtId="186" fontId="101" fillId="5" borderId="1" xfId="0" applyNumberFormat="1" applyFont="1" applyFill="1" applyBorder="1" applyAlignment="1" applyProtection="1">
      <alignment horizontal="center"/>
      <protection locked="0"/>
    </xf>
    <xf numFmtId="186" fontId="41" fillId="5" borderId="13" xfId="0" applyNumberFormat="1" applyFont="1" applyFill="1" applyBorder="1" applyAlignment="1" applyProtection="1">
      <alignment horizontal="center"/>
    </xf>
    <xf numFmtId="0" fontId="40" fillId="6" borderId="0" xfId="1" applyFont="1" applyFill="1" applyBorder="1" applyAlignment="1" applyProtection="1">
      <alignment vertical="center"/>
      <protection locked="0"/>
    </xf>
    <xf numFmtId="178" fontId="48" fillId="5" borderId="1" xfId="0" applyNumberFormat="1" applyFont="1" applyFill="1" applyBorder="1" applyAlignment="1" applyProtection="1">
      <alignment horizontal="center" vertical="center"/>
    </xf>
    <xf numFmtId="0" fontId="41" fillId="5" borderId="21" xfId="0" applyNumberFormat="1" applyFont="1" applyFill="1" applyBorder="1" applyAlignment="1" applyProtection="1">
      <alignment vertical="center"/>
    </xf>
    <xf numFmtId="49" fontId="42" fillId="5" borderId="26" xfId="0" applyNumberFormat="1" applyFont="1" applyFill="1" applyBorder="1" applyAlignment="1" applyProtection="1">
      <alignment horizontal="center" vertical="center"/>
    </xf>
    <xf numFmtId="0" fontId="42" fillId="5" borderId="49" xfId="0" applyFont="1" applyFill="1" applyBorder="1" applyAlignment="1" applyProtection="1">
      <alignment horizontal="center" vertical="center"/>
    </xf>
    <xf numFmtId="0" fontId="42" fillId="5" borderId="60" xfId="0" applyFont="1" applyFill="1" applyBorder="1" applyAlignment="1" applyProtection="1">
      <alignment horizontal="center" vertical="center"/>
    </xf>
    <xf numFmtId="0" fontId="46" fillId="5" borderId="33" xfId="0" applyNumberFormat="1" applyFont="1" applyFill="1" applyBorder="1" applyAlignment="1" applyProtection="1">
      <alignment horizontal="center" vertical="center" wrapText="1"/>
    </xf>
    <xf numFmtId="49" fontId="46" fillId="2" borderId="25" xfId="0" applyNumberFormat="1" applyFont="1" applyFill="1" applyBorder="1" applyAlignment="1" applyProtection="1">
      <alignment horizontal="center" vertical="center" wrapText="1"/>
      <protection locked="0"/>
    </xf>
    <xf numFmtId="0" fontId="53" fillId="5" borderId="26" xfId="0" applyNumberFormat="1" applyFont="1" applyFill="1" applyBorder="1" applyAlignment="1" applyProtection="1">
      <alignment horizontal="center" vertical="center" wrapText="1"/>
    </xf>
    <xf numFmtId="49" fontId="46" fillId="2" borderId="65" xfId="0" applyNumberFormat="1" applyFont="1" applyFill="1" applyBorder="1" applyAlignment="1" applyProtection="1">
      <alignment horizontal="center" vertical="center" wrapText="1"/>
      <protection locked="0"/>
    </xf>
    <xf numFmtId="49" fontId="46" fillId="2" borderId="0" xfId="0" applyNumberFormat="1" applyFont="1" applyFill="1" applyBorder="1" applyAlignment="1" applyProtection="1">
      <alignment horizontal="center" vertical="center" wrapText="1"/>
      <protection locked="0"/>
    </xf>
    <xf numFmtId="0" fontId="46" fillId="2" borderId="24" xfId="0" applyNumberFormat="1" applyFont="1" applyFill="1" applyBorder="1" applyAlignment="1" applyProtection="1">
      <alignment horizontal="center" vertical="center" wrapText="1"/>
      <protection locked="0"/>
    </xf>
    <xf numFmtId="0" fontId="39" fillId="0" borderId="24" xfId="0" applyNumberFormat="1" applyFont="1" applyFill="1" applyBorder="1" applyAlignment="1" applyProtection="1">
      <alignment horizontal="center" vertical="center" wrapText="1"/>
      <protection locked="0"/>
    </xf>
    <xf numFmtId="0" fontId="46" fillId="5" borderId="10" xfId="0" applyNumberFormat="1" applyFont="1" applyFill="1" applyBorder="1" applyAlignment="1" applyProtection="1">
      <alignment horizontal="center" vertical="center" wrapText="1"/>
    </xf>
    <xf numFmtId="0" fontId="46" fillId="5" borderId="45" xfId="0" applyNumberFormat="1" applyFont="1" applyFill="1" applyBorder="1" applyAlignment="1" applyProtection="1">
      <alignment horizontal="center" vertical="center" wrapText="1"/>
    </xf>
    <xf numFmtId="0" fontId="46" fillId="5" borderId="77" xfId="0" applyNumberFormat="1" applyFont="1" applyFill="1" applyBorder="1" applyAlignment="1" applyProtection="1">
      <alignment horizontal="center" vertical="center" wrapText="1"/>
    </xf>
    <xf numFmtId="0" fontId="46" fillId="5" borderId="69" xfId="0" applyNumberFormat="1" applyFont="1" applyFill="1" applyBorder="1" applyAlignment="1" applyProtection="1">
      <alignment horizontal="center" vertical="center" wrapText="1"/>
    </xf>
    <xf numFmtId="0" fontId="46" fillId="5" borderId="86" xfId="0" applyNumberFormat="1" applyFont="1" applyFill="1" applyBorder="1" applyAlignment="1" applyProtection="1">
      <alignment horizontal="center" vertical="center" wrapText="1"/>
    </xf>
    <xf numFmtId="0" fontId="39" fillId="5" borderId="78" xfId="0" applyNumberFormat="1" applyFont="1" applyFill="1" applyBorder="1" applyAlignment="1" applyProtection="1">
      <alignment horizontal="center" vertical="center" wrapText="1"/>
    </xf>
    <xf numFmtId="0" fontId="46" fillId="5" borderId="37" xfId="0" applyNumberFormat="1" applyFont="1" applyFill="1" applyBorder="1" applyAlignment="1" applyProtection="1">
      <alignment horizontal="center" vertical="center" wrapText="1"/>
    </xf>
    <xf numFmtId="0" fontId="46" fillId="2" borderId="65" xfId="0" applyNumberFormat="1" applyFont="1" applyFill="1" applyBorder="1" applyAlignment="1" applyProtection="1">
      <alignment horizontal="center" vertical="center" wrapText="1"/>
      <protection locked="0"/>
    </xf>
    <xf numFmtId="0" fontId="46" fillId="5" borderId="36" xfId="0" applyNumberFormat="1" applyFont="1" applyFill="1" applyBorder="1" applyAlignment="1" applyProtection="1">
      <alignment horizontal="center" vertical="center" wrapText="1"/>
    </xf>
    <xf numFmtId="0" fontId="39" fillId="0" borderId="65" xfId="0" applyNumberFormat="1" applyFont="1" applyFill="1" applyBorder="1" applyAlignment="1" applyProtection="1">
      <alignment horizontal="center" vertical="center" wrapText="1"/>
      <protection locked="0"/>
    </xf>
    <xf numFmtId="0" fontId="46" fillId="0" borderId="48" xfId="0" applyNumberFormat="1" applyFont="1" applyFill="1" applyBorder="1" applyAlignment="1" applyProtection="1">
      <alignment horizontal="center" vertical="center" wrapText="1"/>
      <protection locked="0"/>
    </xf>
    <xf numFmtId="0" fontId="41" fillId="5" borderId="29" xfId="0" applyFont="1" applyFill="1" applyBorder="1" applyAlignment="1" applyProtection="1">
      <alignment vertical="center" wrapText="1"/>
    </xf>
    <xf numFmtId="0" fontId="44" fillId="5" borderId="50" xfId="0" applyNumberFormat="1" applyFont="1" applyFill="1" applyBorder="1" applyAlignment="1" applyProtection="1">
      <alignment horizontal="center" vertical="center" wrapText="1"/>
    </xf>
    <xf numFmtId="0" fontId="46" fillId="5" borderId="19" xfId="0" applyNumberFormat="1" applyFont="1" applyFill="1" applyBorder="1" applyAlignment="1" applyProtection="1">
      <alignment horizontal="center" vertical="center" wrapText="1"/>
    </xf>
    <xf numFmtId="0" fontId="49" fillId="5" borderId="17" xfId="0" applyFont="1" applyFill="1" applyBorder="1" applyAlignment="1" applyProtection="1">
      <alignment horizontal="center" vertical="center"/>
    </xf>
    <xf numFmtId="0" fontId="53" fillId="5" borderId="125" xfId="0" applyFont="1" applyFill="1" applyBorder="1" applyAlignment="1" applyProtection="1">
      <alignment vertical="center"/>
      <protection locked="0"/>
    </xf>
    <xf numFmtId="0" fontId="45" fillId="5" borderId="46" xfId="0" applyNumberFormat="1" applyFont="1" applyFill="1" applyBorder="1" applyAlignment="1" applyProtection="1">
      <alignment horizontal="right" vertical="center" wrapText="1"/>
    </xf>
    <xf numFmtId="0" fontId="45" fillId="5" borderId="38" xfId="0" applyNumberFormat="1" applyFont="1" applyFill="1" applyBorder="1" applyAlignment="1" applyProtection="1">
      <alignment vertical="center" wrapText="1"/>
    </xf>
    <xf numFmtId="0" fontId="70" fillId="3" borderId="47" xfId="0" applyNumberFormat="1" applyFont="1" applyFill="1" applyBorder="1" applyAlignment="1" applyProtection="1">
      <alignment vertical="center" wrapText="1"/>
      <protection locked="0"/>
    </xf>
    <xf numFmtId="0" fontId="70" fillId="5" borderId="47" xfId="0" applyNumberFormat="1" applyFont="1" applyFill="1" applyBorder="1" applyAlignment="1" applyProtection="1">
      <alignment vertical="center" wrapText="1"/>
    </xf>
    <xf numFmtId="0" fontId="70" fillId="3" borderId="46" xfId="0" applyNumberFormat="1" applyFont="1" applyFill="1" applyBorder="1" applyAlignment="1" applyProtection="1">
      <alignment vertical="center" wrapText="1"/>
      <protection locked="0"/>
    </xf>
    <xf numFmtId="0" fontId="70" fillId="5" borderId="38" xfId="0" applyNumberFormat="1" applyFont="1" applyFill="1" applyBorder="1" applyAlignment="1" applyProtection="1">
      <alignment vertical="center" wrapText="1"/>
    </xf>
    <xf numFmtId="0" fontId="45" fillId="5" borderId="20" xfId="0" applyNumberFormat="1" applyFont="1" applyFill="1" applyBorder="1" applyAlignment="1" applyProtection="1">
      <alignment vertical="center" wrapText="1"/>
    </xf>
    <xf numFmtId="0" fontId="45" fillId="5" borderId="48" xfId="0" applyNumberFormat="1" applyFont="1" applyFill="1" applyBorder="1" applyAlignment="1" applyProtection="1">
      <alignment vertical="center" wrapText="1"/>
    </xf>
    <xf numFmtId="0" fontId="45" fillId="5" borderId="40" xfId="0" applyNumberFormat="1" applyFont="1" applyFill="1" applyBorder="1" applyAlignment="1" applyProtection="1">
      <alignment vertical="center" wrapText="1"/>
    </xf>
    <xf numFmtId="9" fontId="39" fillId="5" borderId="0" xfId="0" applyNumberFormat="1" applyFont="1" applyFill="1" applyBorder="1" applyAlignment="1" applyProtection="1">
      <alignment horizontal="center" vertical="center" wrapText="1"/>
    </xf>
    <xf numFmtId="0" fontId="51" fillId="5" borderId="0" xfId="0" applyFont="1" applyFill="1" applyBorder="1" applyAlignment="1" applyProtection="1">
      <protection locked="0"/>
    </xf>
    <xf numFmtId="0" fontId="46" fillId="5" borderId="0" xfId="0" applyFont="1" applyFill="1" applyBorder="1" applyAlignment="1" applyProtection="1">
      <alignment horizontal="center"/>
      <protection locked="0"/>
    </xf>
    <xf numFmtId="177" fontId="48" fillId="0" borderId="1" xfId="1" applyNumberFormat="1" applyFont="1" applyFill="1" applyBorder="1" applyAlignment="1" applyProtection="1">
      <alignment horizontal="center" vertical="center"/>
      <protection locked="0"/>
    </xf>
    <xf numFmtId="0" fontId="49" fillId="5" borderId="1" xfId="1" applyFont="1" applyFill="1" applyBorder="1" applyAlignment="1" applyProtection="1">
      <alignment horizontal="center" vertical="center"/>
    </xf>
    <xf numFmtId="179" fontId="48" fillId="5" borderId="1" xfId="1" applyNumberFormat="1" applyFont="1" applyFill="1" applyBorder="1" applyAlignment="1" applyProtection="1">
      <alignment horizontal="center" vertical="center"/>
    </xf>
    <xf numFmtId="0" fontId="48" fillId="5" borderId="1" xfId="1" applyFont="1" applyFill="1" applyBorder="1" applyAlignment="1" applyProtection="1">
      <alignment horizontal="center" vertical="center"/>
    </xf>
    <xf numFmtId="10" fontId="48" fillId="5" borderId="1" xfId="1" applyNumberFormat="1" applyFont="1" applyFill="1" applyBorder="1" applyAlignment="1" applyProtection="1">
      <alignment horizontal="center" vertical="center"/>
    </xf>
    <xf numFmtId="177" fontId="48" fillId="5" borderId="1" xfId="1" applyNumberFormat="1" applyFont="1" applyFill="1" applyBorder="1" applyAlignment="1" applyProtection="1">
      <alignment vertical="center"/>
    </xf>
    <xf numFmtId="177" fontId="54" fillId="5" borderId="1" xfId="1" applyNumberFormat="1" applyFont="1" applyFill="1" applyBorder="1" applyAlignment="1" applyProtection="1">
      <alignment horizontal="center" vertical="center"/>
    </xf>
    <xf numFmtId="179" fontId="54" fillId="5" borderId="1" xfId="1" applyNumberFormat="1" applyFont="1" applyFill="1" applyBorder="1" applyAlignment="1" applyProtection="1">
      <alignment horizontal="center" vertical="center"/>
    </xf>
    <xf numFmtId="0" fontId="48" fillId="5" borderId="0" xfId="1" applyFont="1" applyFill="1" applyBorder="1" applyAlignment="1" applyProtection="1">
      <alignment horizontal="center" vertical="center"/>
    </xf>
    <xf numFmtId="0" fontId="48" fillId="5" borderId="1" xfId="0" applyFont="1" applyFill="1" applyBorder="1" applyAlignment="1" applyProtection="1">
      <alignment vertical="center"/>
    </xf>
    <xf numFmtId="179" fontId="49" fillId="5" borderId="1" xfId="1" applyNumberFormat="1" applyFont="1" applyFill="1" applyBorder="1" applyAlignment="1" applyProtection="1">
      <alignment horizontal="center" vertical="center"/>
    </xf>
    <xf numFmtId="9" fontId="49" fillId="5" borderId="1" xfId="1" applyNumberFormat="1" applyFont="1" applyFill="1" applyBorder="1" applyAlignment="1" applyProtection="1">
      <alignment horizontal="center" vertical="center"/>
    </xf>
    <xf numFmtId="49" fontId="52" fillId="5" borderId="51" xfId="1" applyNumberFormat="1" applyFont="1" applyFill="1" applyBorder="1" applyAlignment="1" applyProtection="1">
      <alignment vertical="center"/>
    </xf>
    <xf numFmtId="181" fontId="49" fillId="5" borderId="2" xfId="1" applyNumberFormat="1" applyFont="1" applyFill="1" applyBorder="1" applyAlignment="1" applyProtection="1">
      <alignment horizontal="center" vertical="center"/>
    </xf>
    <xf numFmtId="10" fontId="48" fillId="5" borderId="2" xfId="1" applyNumberFormat="1" applyFont="1" applyFill="1" applyBorder="1" applyAlignment="1" applyProtection="1">
      <alignment horizontal="center" vertical="center"/>
    </xf>
    <xf numFmtId="177" fontId="48" fillId="5" borderId="2" xfId="1" applyNumberFormat="1" applyFont="1" applyFill="1" applyBorder="1" applyAlignment="1" applyProtection="1">
      <alignment horizontal="right" vertical="center"/>
    </xf>
    <xf numFmtId="0" fontId="39" fillId="0" borderId="2" xfId="0" applyNumberFormat="1" applyFont="1" applyFill="1" applyBorder="1" applyAlignment="1" applyProtection="1">
      <alignment horizontal="center" vertical="center" wrapText="1"/>
      <protection locked="0"/>
    </xf>
    <xf numFmtId="14" fontId="46" fillId="5" borderId="0" xfId="0" applyNumberFormat="1" applyFont="1" applyFill="1" applyAlignment="1" applyProtection="1">
      <alignment horizontal="center" vertical="center"/>
    </xf>
    <xf numFmtId="0" fontId="39" fillId="5" borderId="28" xfId="0" applyNumberFormat="1" applyFont="1" applyFill="1" applyBorder="1" applyAlignment="1" applyProtection="1">
      <alignment horizontal="center" vertical="center" wrapText="1"/>
    </xf>
    <xf numFmtId="0" fontId="39" fillId="0" borderId="41" xfId="0" applyNumberFormat="1" applyFont="1" applyFill="1" applyBorder="1" applyAlignment="1" applyProtection="1">
      <alignment horizontal="center" vertical="center" wrapText="1"/>
      <protection locked="0"/>
    </xf>
    <xf numFmtId="0" fontId="39" fillId="0" borderId="3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protection locked="0"/>
    </xf>
    <xf numFmtId="190" fontId="39" fillId="5" borderId="28" xfId="0" applyNumberFormat="1" applyFont="1" applyFill="1" applyBorder="1" applyAlignment="1" applyProtection="1">
      <alignment horizontal="center" vertical="center" wrapText="1"/>
    </xf>
    <xf numFmtId="190" fontId="39" fillId="5" borderId="11" xfId="0" applyNumberFormat="1" applyFont="1" applyFill="1" applyBorder="1" applyAlignment="1" applyProtection="1">
      <alignment horizontal="center" vertical="center" wrapText="1"/>
    </xf>
    <xf numFmtId="190" fontId="39" fillId="0" borderId="11" xfId="0" applyNumberFormat="1" applyFont="1" applyFill="1" applyBorder="1" applyAlignment="1" applyProtection="1">
      <alignment horizontal="center" vertical="center" wrapText="1"/>
    </xf>
    <xf numFmtId="0" fontId="132" fillId="0" borderId="1" xfId="0" applyFont="1" applyBorder="1" applyAlignment="1" applyProtection="1">
      <alignment horizontal="center" vertical="center"/>
    </xf>
    <xf numFmtId="17" fontId="47" fillId="0" borderId="94" xfId="0" applyNumberFormat="1" applyFont="1" applyFill="1" applyBorder="1" applyAlignment="1" applyProtection="1">
      <alignment vertical="center" wrapText="1"/>
      <protection locked="0"/>
    </xf>
    <xf numFmtId="0" fontId="42" fillId="5" borderId="159" xfId="0" applyFont="1" applyFill="1" applyBorder="1" applyAlignment="1" applyProtection="1">
      <alignment vertical="center" wrapText="1"/>
    </xf>
    <xf numFmtId="0" fontId="42" fillId="5" borderId="160" xfId="0" applyFont="1" applyFill="1" applyBorder="1" applyAlignment="1" applyProtection="1">
      <alignment vertical="center" wrapText="1"/>
    </xf>
    <xf numFmtId="0" fontId="129" fillId="0" borderId="32" xfId="12" applyFont="1" applyBorder="1" applyAlignment="1" applyProtection="1">
      <alignment horizontal="left" vertical="center"/>
    </xf>
    <xf numFmtId="0" fontId="129" fillId="0" borderId="17" xfId="12" applyFont="1" applyBorder="1" applyAlignment="1" applyProtection="1">
      <alignment horizontal="left" vertical="center"/>
    </xf>
    <xf numFmtId="0" fontId="129" fillId="0" borderId="49" xfId="12" applyFont="1" applyBorder="1" applyAlignment="1" applyProtection="1">
      <alignment horizontal="left" vertical="center"/>
    </xf>
    <xf numFmtId="0" fontId="129" fillId="0" borderId="1" xfId="12" applyFont="1" applyBorder="1" applyAlignment="1" applyProtection="1">
      <alignment horizontal="left" vertical="center"/>
    </xf>
    <xf numFmtId="0" fontId="129" fillId="0" borderId="75" xfId="12" applyFont="1" applyBorder="1" applyAlignment="1" applyProtection="1">
      <alignment horizontal="left" vertical="center"/>
    </xf>
    <xf numFmtId="0" fontId="129" fillId="0" borderId="74" xfId="12" applyFont="1" applyBorder="1" applyAlignment="1" applyProtection="1">
      <alignment horizontal="left" vertical="center"/>
    </xf>
    <xf numFmtId="0" fontId="129" fillId="0" borderId="54" xfId="12" applyFont="1" applyBorder="1" applyAlignment="1" applyProtection="1">
      <alignment horizontal="left" vertical="center"/>
    </xf>
    <xf numFmtId="14" fontId="129" fillId="0" borderId="1" xfId="12" applyNumberFormat="1" applyFont="1" applyBorder="1" applyAlignment="1" applyProtection="1">
      <alignment horizontal="left" vertical="center"/>
    </xf>
    <xf numFmtId="0" fontId="129" fillId="0" borderId="0" xfId="12" applyFont="1" applyAlignment="1" applyProtection="1">
      <alignment horizontal="left" vertical="center"/>
    </xf>
    <xf numFmtId="14" fontId="129" fillId="0" borderId="17" xfId="12" applyNumberFormat="1" applyFont="1" applyBorder="1" applyAlignment="1" applyProtection="1">
      <alignment horizontal="left" vertical="center"/>
    </xf>
    <xf numFmtId="193" fontId="96" fillId="0" borderId="75" xfId="12" applyNumberFormat="1" applyFont="1" applyBorder="1" applyAlignment="1" applyProtection="1">
      <alignment horizontal="left" vertical="center"/>
    </xf>
    <xf numFmtId="0" fontId="93" fillId="0" borderId="75" xfId="12" applyFont="1" applyBorder="1" applyAlignment="1" applyProtection="1">
      <alignment horizontal="left" vertical="center" wrapText="1"/>
    </xf>
    <xf numFmtId="0" fontId="132" fillId="0" borderId="18" xfId="0" applyFont="1" applyBorder="1" applyAlignment="1" applyProtection="1">
      <alignment horizontal="left" vertical="center"/>
    </xf>
    <xf numFmtId="0" fontId="155" fillId="0" borderId="90" xfId="12" applyFont="1" applyBorder="1" applyProtection="1">
      <alignment vertical="center"/>
    </xf>
    <xf numFmtId="0" fontId="93" fillId="0" borderId="17" xfId="12" applyFont="1" applyBorder="1" applyAlignment="1" applyProtection="1">
      <alignment vertical="center" wrapText="1"/>
    </xf>
    <xf numFmtId="0" fontId="155" fillId="0" borderId="0" xfId="12" applyFont="1" applyBorder="1" applyProtection="1">
      <alignment vertical="center"/>
    </xf>
    <xf numFmtId="0" fontId="93" fillId="0" borderId="1" xfId="12" applyFont="1" applyBorder="1" applyAlignment="1" applyProtection="1">
      <alignment vertical="center" wrapText="1"/>
    </xf>
    <xf numFmtId="0" fontId="93" fillId="0" borderId="75" xfId="12" applyFont="1" applyBorder="1" applyAlignment="1" applyProtection="1">
      <alignment vertical="center" wrapText="1"/>
    </xf>
    <xf numFmtId="0" fontId="155" fillId="0" borderId="0" xfId="12" applyFont="1" applyProtection="1">
      <alignment vertical="center"/>
    </xf>
    <xf numFmtId="0" fontId="155" fillId="0" borderId="1" xfId="12" applyFont="1" applyBorder="1" applyAlignment="1" applyProtection="1">
      <alignment vertical="center" wrapText="1"/>
    </xf>
    <xf numFmtId="0" fontId="155" fillId="0" borderId="75" xfId="12" applyFont="1" applyBorder="1" applyAlignment="1" applyProtection="1">
      <alignment vertical="center" wrapText="1"/>
    </xf>
    <xf numFmtId="0" fontId="155" fillId="0" borderId="17" xfId="12" applyFont="1" applyBorder="1" applyAlignment="1" applyProtection="1">
      <alignment vertical="center" wrapText="1"/>
    </xf>
    <xf numFmtId="0" fontId="155" fillId="0" borderId="0" xfId="12" applyFont="1" applyBorder="1" applyAlignment="1" applyProtection="1">
      <alignment vertical="center" wrapText="1"/>
    </xf>
    <xf numFmtId="0" fontId="52" fillId="5" borderId="17" xfId="0" applyFont="1" applyFill="1" applyBorder="1" applyAlignment="1" applyProtection="1">
      <alignment horizontal="right" vertical="center"/>
    </xf>
    <xf numFmtId="0" fontId="52" fillId="6" borderId="89" xfId="1" applyFont="1" applyFill="1" applyBorder="1" applyAlignment="1" applyProtection="1">
      <alignment vertical="center"/>
      <protection locked="0"/>
    </xf>
    <xf numFmtId="0" fontId="52" fillId="5" borderId="17" xfId="1" applyFont="1" applyFill="1" applyBorder="1" applyAlignment="1" applyProtection="1">
      <alignment vertical="center"/>
    </xf>
    <xf numFmtId="0" fontId="100" fillId="5" borderId="85" xfId="0" applyFont="1" applyFill="1" applyBorder="1" applyAlignment="1" applyProtection="1">
      <alignment vertical="center"/>
    </xf>
    <xf numFmtId="0" fontId="52" fillId="6" borderId="75" xfId="1" applyFont="1" applyFill="1" applyBorder="1" applyAlignment="1" applyProtection="1">
      <alignment vertical="center"/>
      <protection locked="0"/>
    </xf>
    <xf numFmtId="0" fontId="57" fillId="5" borderId="126" xfId="0" applyFont="1" applyFill="1" applyBorder="1" applyAlignment="1" applyProtection="1">
      <alignment vertical="center"/>
      <protection locked="0"/>
    </xf>
    <xf numFmtId="0" fontId="65" fillId="5" borderId="126" xfId="0" applyFont="1" applyFill="1" applyBorder="1" applyAlignment="1" applyProtection="1">
      <alignment vertical="center"/>
      <protection locked="0"/>
    </xf>
    <xf numFmtId="189" fontId="57" fillId="5" borderId="126" xfId="0" applyNumberFormat="1" applyFont="1" applyFill="1" applyBorder="1" applyAlignment="1" applyProtection="1">
      <alignment horizontal="center" vertical="center"/>
      <protection locked="0"/>
    </xf>
    <xf numFmtId="181" fontId="57" fillId="5" borderId="126" xfId="0" applyNumberFormat="1" applyFont="1" applyFill="1" applyBorder="1" applyAlignment="1" applyProtection="1">
      <alignment vertical="center"/>
    </xf>
    <xf numFmtId="0" fontId="57" fillId="5" borderId="126" xfId="0" applyFont="1" applyFill="1" applyBorder="1" applyAlignment="1" applyProtection="1">
      <alignment horizontal="center" vertical="center"/>
    </xf>
    <xf numFmtId="0" fontId="57" fillId="5" borderId="90" xfId="0" applyFont="1" applyFill="1" applyBorder="1" applyAlignment="1" applyProtection="1">
      <alignment horizontal="center" vertical="center"/>
    </xf>
    <xf numFmtId="0" fontId="59" fillId="5" borderId="90" xfId="0" applyFont="1" applyFill="1" applyBorder="1" applyAlignment="1" applyProtection="1">
      <alignment horizontal="center" vertical="center"/>
    </xf>
    <xf numFmtId="0" fontId="59" fillId="0" borderId="90" xfId="0" applyFont="1" applyFill="1" applyBorder="1" applyAlignment="1" applyProtection="1">
      <alignment horizontal="center" vertical="center"/>
      <protection locked="0"/>
    </xf>
    <xf numFmtId="0" fontId="53" fillId="5" borderId="17" xfId="0" applyFont="1" applyFill="1" applyBorder="1" applyAlignment="1" applyProtection="1">
      <alignment vertical="center"/>
      <protection locked="0"/>
    </xf>
    <xf numFmtId="0" fontId="57" fillId="5" borderId="126" xfId="0" applyFont="1" applyFill="1" applyBorder="1" applyAlignment="1" applyProtection="1">
      <alignment vertical="center"/>
    </xf>
    <xf numFmtId="0" fontId="65" fillId="5" borderId="126" xfId="0" applyFont="1" applyFill="1" applyBorder="1" applyAlignment="1" applyProtection="1">
      <alignment vertical="center"/>
    </xf>
    <xf numFmtId="189" fontId="57" fillId="5" borderId="126" xfId="0" applyNumberFormat="1" applyFont="1" applyFill="1" applyBorder="1" applyAlignment="1" applyProtection="1">
      <alignment horizontal="center" vertical="center"/>
    </xf>
    <xf numFmtId="0" fontId="0" fillId="0" borderId="0" xfId="0" applyAlignment="1"/>
    <xf numFmtId="0" fontId="94" fillId="5" borderId="0" xfId="0" applyFont="1" applyFill="1" applyAlignment="1"/>
    <xf numFmtId="0" fontId="136" fillId="5" borderId="0" xfId="2" applyFont="1" applyFill="1"/>
    <xf numFmtId="0" fontId="16" fillId="5" borderId="0" xfId="2" applyFont="1" applyFill="1"/>
    <xf numFmtId="0" fontId="16" fillId="5" borderId="4" xfId="2" applyFont="1" applyFill="1" applyBorder="1"/>
    <xf numFmtId="0" fontId="138" fillId="5" borderId="11" xfId="2" applyFont="1" applyFill="1" applyBorder="1" applyAlignment="1">
      <alignment horizontal="center" vertical="center" wrapText="1"/>
    </xf>
    <xf numFmtId="0" fontId="16" fillId="5" borderId="31" xfId="2" applyFont="1" applyFill="1" applyBorder="1" applyAlignment="1">
      <alignment horizontal="center"/>
    </xf>
    <xf numFmtId="0" fontId="138" fillId="5" borderId="4" xfId="2" applyFont="1" applyFill="1" applyBorder="1" applyAlignment="1">
      <alignment horizontal="center" vertical="center" wrapText="1"/>
    </xf>
    <xf numFmtId="0" fontId="16" fillId="5" borderId="11" xfId="2" applyNumberFormat="1" applyFont="1" applyFill="1" applyBorder="1" applyAlignment="1">
      <alignment horizontal="center"/>
    </xf>
    <xf numFmtId="0" fontId="16" fillId="0" borderId="0" xfId="2" applyFont="1"/>
    <xf numFmtId="0" fontId="16" fillId="5" borderId="7" xfId="2" applyFont="1" applyFill="1" applyBorder="1"/>
    <xf numFmtId="0" fontId="138" fillId="5" borderId="1" xfId="2" applyFont="1" applyFill="1" applyBorder="1" applyAlignment="1">
      <alignment horizontal="center" vertical="center" wrapText="1"/>
    </xf>
    <xf numFmtId="0" fontId="16" fillId="5" borderId="6" xfId="2" applyFont="1" applyFill="1" applyBorder="1" applyAlignment="1">
      <alignment horizontal="center"/>
    </xf>
    <xf numFmtId="0" fontId="138" fillId="5" borderId="7" xfId="2" applyFont="1" applyFill="1" applyBorder="1" applyAlignment="1">
      <alignment horizontal="center" vertical="center" wrapText="1"/>
    </xf>
    <xf numFmtId="0" fontId="16" fillId="5" borderId="1" xfId="2" applyNumberFormat="1" applyFont="1" applyFill="1" applyBorder="1" applyAlignment="1">
      <alignment horizontal="center"/>
    </xf>
    <xf numFmtId="0" fontId="16" fillId="5" borderId="8" xfId="2" applyFont="1" applyFill="1" applyBorder="1"/>
    <xf numFmtId="0" fontId="138" fillId="5" borderId="61" xfId="2" applyFont="1" applyFill="1" applyBorder="1" applyAlignment="1">
      <alignment horizontal="center" vertical="center" wrapText="1"/>
    </xf>
    <xf numFmtId="0" fontId="16" fillId="5" borderId="43" xfId="2" applyFont="1" applyFill="1" applyBorder="1" applyAlignment="1">
      <alignment horizontal="center"/>
    </xf>
    <xf numFmtId="0" fontId="138" fillId="5" borderId="8" xfId="2" applyFont="1" applyFill="1" applyBorder="1" applyAlignment="1">
      <alignment horizontal="center" vertical="center" wrapText="1"/>
    </xf>
    <xf numFmtId="0" fontId="16" fillId="5" borderId="61" xfId="2" applyNumberFormat="1" applyFont="1" applyFill="1" applyBorder="1" applyAlignment="1">
      <alignment horizontal="center"/>
    </xf>
    <xf numFmtId="0" fontId="16" fillId="5" borderId="0" xfId="2" applyNumberFormat="1" applyFont="1" applyFill="1" applyAlignment="1">
      <alignment horizontal="center"/>
    </xf>
    <xf numFmtId="0" fontId="16" fillId="5" borderId="0" xfId="2" applyFont="1" applyFill="1" applyAlignment="1">
      <alignment horizontal="right"/>
    </xf>
    <xf numFmtId="14" fontId="16" fillId="5" borderId="0" xfId="2" applyNumberFormat="1" applyFont="1" applyFill="1" applyAlignment="1">
      <alignment horizontal="center"/>
    </xf>
    <xf numFmtId="0" fontId="160" fillId="5" borderId="0" xfId="2" applyNumberFormat="1" applyFont="1" applyFill="1" applyAlignment="1">
      <alignment horizontal="center"/>
    </xf>
    <xf numFmtId="0" fontId="161" fillId="5" borderId="0" xfId="2" applyFont="1" applyFill="1" applyAlignment="1">
      <alignment horizontal="left"/>
    </xf>
    <xf numFmtId="14" fontId="160" fillId="5" borderId="0" xfId="2" applyNumberFormat="1" applyFont="1" applyFill="1" applyAlignment="1">
      <alignment horizontal="center"/>
    </xf>
    <xf numFmtId="0" fontId="160" fillId="5" borderId="0" xfId="2" applyFont="1" applyFill="1"/>
    <xf numFmtId="0" fontId="160" fillId="0" borderId="0" xfId="2" applyFont="1"/>
    <xf numFmtId="0" fontId="160" fillId="0" borderId="0" xfId="0" applyFont="1" applyAlignment="1"/>
    <xf numFmtId="0" fontId="162" fillId="5" borderId="0" xfId="2" applyFont="1" applyFill="1"/>
    <xf numFmtId="0" fontId="163" fillId="5" borderId="0" xfId="2" applyFont="1" applyFill="1"/>
    <xf numFmtId="0" fontId="162" fillId="0" borderId="0" xfId="2" applyFont="1"/>
    <xf numFmtId="0" fontId="138" fillId="5" borderId="0" xfId="2" applyFont="1" applyFill="1" applyAlignment="1"/>
    <xf numFmtId="0" fontId="147" fillId="5" borderId="18" xfId="2" applyFont="1" applyFill="1" applyBorder="1" applyAlignment="1">
      <alignment horizontal="center" vertical="center"/>
    </xf>
    <xf numFmtId="0" fontId="147" fillId="5" borderId="18" xfId="2" applyFont="1" applyFill="1" applyBorder="1" applyAlignment="1">
      <alignment vertical="center"/>
    </xf>
    <xf numFmtId="0" fontId="147" fillId="5" borderId="2" xfId="2" applyFont="1" applyFill="1" applyBorder="1" applyAlignment="1">
      <alignment vertical="center"/>
    </xf>
    <xf numFmtId="0" fontId="147" fillId="5" borderId="3" xfId="2" applyFont="1" applyFill="1" applyBorder="1" applyAlignment="1">
      <alignment vertical="center"/>
    </xf>
    <xf numFmtId="0" fontId="147" fillId="5" borderId="51" xfId="2" applyFont="1" applyFill="1" applyBorder="1" applyAlignment="1">
      <alignment vertical="center"/>
    </xf>
    <xf numFmtId="0" fontId="138" fillId="0" borderId="0" xfId="2" applyFont="1" applyAlignment="1"/>
    <xf numFmtId="0" fontId="138" fillId="5" borderId="0" xfId="2" applyFont="1" applyFill="1"/>
    <xf numFmtId="0" fontId="147" fillId="5" borderId="17" xfId="2" applyFont="1" applyFill="1" applyBorder="1" applyAlignment="1">
      <alignment horizontal="center" vertical="center" wrapText="1"/>
    </xf>
    <xf numFmtId="0" fontId="147" fillId="5" borderId="17" xfId="2" applyFont="1" applyFill="1" applyBorder="1" applyAlignment="1">
      <alignment vertical="center" wrapText="1"/>
    </xf>
    <xf numFmtId="0" fontId="16" fillId="5" borderId="1" xfId="2" applyFont="1" applyFill="1" applyBorder="1"/>
    <xf numFmtId="0" fontId="147" fillId="5" borderId="1" xfId="2" applyFont="1" applyFill="1" applyBorder="1" applyAlignment="1">
      <alignment horizontal="center" vertical="center" wrapText="1"/>
    </xf>
    <xf numFmtId="0" fontId="138" fillId="0" borderId="0" xfId="2" applyFont="1"/>
    <xf numFmtId="0" fontId="165" fillId="5" borderId="0" xfId="2" applyFont="1" applyFill="1" applyAlignment="1">
      <alignment vertical="center"/>
    </xf>
    <xf numFmtId="0" fontId="165" fillId="5" borderId="1" xfId="2" applyFont="1" applyFill="1" applyBorder="1" applyAlignment="1">
      <alignment horizontal="left" vertical="center" wrapText="1"/>
    </xf>
    <xf numFmtId="195" fontId="165" fillId="5" borderId="1" xfId="2" applyNumberFormat="1" applyFont="1" applyFill="1" applyBorder="1" applyAlignment="1">
      <alignment horizontal="center" vertical="center" wrapText="1"/>
    </xf>
    <xf numFmtId="0" fontId="165" fillId="5" borderId="1" xfId="2" applyFont="1" applyFill="1" applyBorder="1" applyAlignment="1">
      <alignment horizontal="center" vertical="center" wrapText="1"/>
    </xf>
    <xf numFmtId="14" fontId="165" fillId="5" borderId="1" xfId="2" applyNumberFormat="1" applyFont="1" applyFill="1" applyBorder="1" applyAlignment="1">
      <alignment horizontal="center" vertical="center" wrapText="1"/>
    </xf>
    <xf numFmtId="0" fontId="165" fillId="6" borderId="0" xfId="2" applyFont="1" applyFill="1" applyAlignment="1">
      <alignment vertical="center"/>
    </xf>
    <xf numFmtId="0" fontId="166" fillId="0" borderId="0" xfId="0" applyFont="1" applyAlignment="1"/>
    <xf numFmtId="0" fontId="16" fillId="5" borderId="1" xfId="2" applyFont="1" applyFill="1" applyBorder="1" applyAlignment="1">
      <alignment horizontal="center" wrapText="1"/>
    </xf>
    <xf numFmtId="14" fontId="16" fillId="5" borderId="1" xfId="2" applyNumberFormat="1" applyFont="1" applyFill="1" applyBorder="1" applyAlignment="1">
      <alignment horizontal="center" wrapText="1"/>
    </xf>
    <xf numFmtId="179" fontId="167" fillId="5" borderId="1" xfId="2" applyNumberFormat="1" applyFont="1" applyFill="1" applyBorder="1" applyAlignment="1">
      <alignment horizontal="center"/>
    </xf>
    <xf numFmtId="14" fontId="143" fillId="5" borderId="1" xfId="2" applyNumberFormat="1" applyFont="1" applyFill="1" applyBorder="1" applyAlignment="1">
      <alignment horizontal="center" wrapText="1"/>
    </xf>
    <xf numFmtId="0" fontId="16" fillId="5" borderId="0" xfId="2" applyFont="1" applyFill="1" applyBorder="1" applyAlignment="1">
      <alignment horizontal="center" wrapText="1"/>
    </xf>
    <xf numFmtId="14" fontId="16" fillId="5" borderId="0" xfId="2" applyNumberFormat="1" applyFont="1" applyFill="1" applyBorder="1" applyAlignment="1">
      <alignment horizontal="center" wrapText="1"/>
    </xf>
    <xf numFmtId="0" fontId="136" fillId="5" borderId="90" xfId="2" applyFont="1" applyFill="1" applyBorder="1"/>
    <xf numFmtId="0" fontId="136" fillId="5" borderId="75" xfId="2" applyFont="1" applyFill="1" applyBorder="1" applyAlignment="1">
      <alignment horizontal="center"/>
    </xf>
    <xf numFmtId="177" fontId="136" fillId="5" borderId="90" xfId="2" applyNumberFormat="1" applyFont="1" applyFill="1" applyBorder="1" applyAlignment="1">
      <alignment horizontal="center"/>
    </xf>
    <xf numFmtId="0" fontId="136" fillId="0" borderId="90" xfId="2" applyFont="1" applyBorder="1"/>
    <xf numFmtId="0" fontId="94" fillId="0" borderId="90" xfId="0" applyFont="1" applyBorder="1" applyAlignment="1"/>
    <xf numFmtId="0" fontId="94" fillId="0" borderId="0" xfId="0" applyFont="1" applyAlignment="1"/>
    <xf numFmtId="14" fontId="168" fillId="5" borderId="75" xfId="2" applyNumberFormat="1" applyFont="1" applyFill="1" applyBorder="1" applyAlignment="1" applyProtection="1">
      <alignment horizontal="center"/>
    </xf>
    <xf numFmtId="0" fontId="168" fillId="5" borderId="75" xfId="2" applyFont="1" applyFill="1" applyBorder="1" applyAlignment="1" applyProtection="1">
      <alignment horizontal="center"/>
    </xf>
    <xf numFmtId="10" fontId="168" fillId="5" borderId="75" xfId="2" applyNumberFormat="1" applyFont="1" applyFill="1" applyBorder="1" applyAlignment="1">
      <alignment horizontal="center"/>
    </xf>
    <xf numFmtId="0" fontId="123" fillId="0" borderId="1" xfId="5" applyFont="1" applyFill="1" applyBorder="1" applyAlignment="1">
      <alignment horizontal="left" vertical="center"/>
    </xf>
    <xf numFmtId="0" fontId="49" fillId="5" borderId="1" xfId="0" applyNumberFormat="1" applyFont="1" applyFill="1" applyBorder="1" applyAlignment="1" applyProtection="1">
      <alignment horizontal="right" vertical="center"/>
    </xf>
    <xf numFmtId="0" fontId="42" fillId="6" borderId="1" xfId="0" applyFont="1" applyFill="1" applyBorder="1" applyAlignment="1" applyProtection="1">
      <alignment horizontal="left" vertical="center"/>
      <protection locked="0"/>
    </xf>
    <xf numFmtId="0" fontId="169" fillId="0" borderId="0" xfId="0" applyFont="1">
      <alignment vertical="center"/>
    </xf>
    <xf numFmtId="0" fontId="171" fillId="0" borderId="1" xfId="13" applyFont="1" applyBorder="1" applyAlignment="1" applyProtection="1">
      <alignment horizontal="left" vertical="center" wrapText="1"/>
      <protection locked="0"/>
    </xf>
    <xf numFmtId="181" fontId="42" fillId="5" borderId="0" xfId="0" applyNumberFormat="1" applyFont="1" applyFill="1" applyProtection="1">
      <alignment vertical="center"/>
    </xf>
    <xf numFmtId="0" fontId="172" fillId="5" borderId="1" xfId="0" applyFont="1" applyFill="1" applyBorder="1" applyAlignment="1" applyProtection="1">
      <alignment horizontal="left" vertical="center" wrapText="1"/>
    </xf>
    <xf numFmtId="0" fontId="42" fillId="8" borderId="0" xfId="0" applyFont="1" applyFill="1" applyProtection="1">
      <alignment vertical="center"/>
    </xf>
    <xf numFmtId="0" fontId="98" fillId="5" borderId="0" xfId="0" applyFont="1" applyFill="1" applyAlignment="1" applyProtection="1">
      <alignment horizontal="left" vertical="center"/>
      <protection locked="0"/>
    </xf>
    <xf numFmtId="0" fontId="99" fillId="5" borderId="0" xfId="0" applyFont="1" applyFill="1" applyAlignment="1" applyProtection="1">
      <alignment horizontal="left" vertical="center"/>
      <protection locked="0"/>
    </xf>
    <xf numFmtId="0" fontId="39" fillId="5" borderId="0" xfId="0" applyFont="1" applyFill="1" applyAlignment="1" applyProtection="1">
      <alignment horizontal="left" vertical="center"/>
      <protection locked="0"/>
    </xf>
    <xf numFmtId="0" fontId="44" fillId="5" borderId="0" xfId="0" applyFont="1" applyFill="1" applyAlignment="1" applyProtection="1">
      <alignment horizontal="left" vertical="center"/>
      <protection locked="0"/>
    </xf>
    <xf numFmtId="0" fontId="98" fillId="5" borderId="11" xfId="0" applyNumberFormat="1" applyFont="1" applyFill="1" applyBorder="1" applyAlignment="1" applyProtection="1">
      <alignment horizontal="center" vertical="center" wrapText="1"/>
    </xf>
    <xf numFmtId="0" fontId="98" fillId="5" borderId="11" xfId="0" applyNumberFormat="1" applyFont="1" applyFill="1" applyBorder="1" applyAlignment="1" applyProtection="1">
      <alignment horizontal="left" vertical="center" wrapText="1"/>
    </xf>
    <xf numFmtId="0" fontId="98" fillId="5" borderId="31" xfId="0" applyNumberFormat="1" applyFont="1" applyFill="1" applyBorder="1" applyAlignment="1" applyProtection="1">
      <alignment horizontal="center" vertical="center" wrapText="1"/>
    </xf>
    <xf numFmtId="0" fontId="117" fillId="5" borderId="6" xfId="0" applyFont="1" applyFill="1" applyBorder="1" applyAlignment="1" applyProtection="1">
      <alignment horizontal="left" vertical="center"/>
    </xf>
    <xf numFmtId="0" fontId="42" fillId="5" borderId="77" xfId="0" applyFont="1" applyFill="1" applyBorder="1" applyAlignment="1" applyProtection="1">
      <alignment vertical="center" wrapText="1"/>
    </xf>
    <xf numFmtId="0" fontId="42" fillId="5" borderId="78" xfId="0" applyFont="1" applyFill="1" applyBorder="1" applyAlignment="1" applyProtection="1">
      <alignment vertical="center" wrapText="1"/>
    </xf>
    <xf numFmtId="181" fontId="53" fillId="5" borderId="2" xfId="0" applyNumberFormat="1" applyFont="1" applyFill="1" applyBorder="1" applyAlignment="1" applyProtection="1">
      <alignment horizontal="center" vertical="center"/>
    </xf>
    <xf numFmtId="181" fontId="53" fillId="5" borderId="11" xfId="0" applyNumberFormat="1" applyFont="1" applyFill="1" applyBorder="1" applyAlignment="1" applyProtection="1">
      <alignment horizontal="center" vertical="center"/>
    </xf>
    <xf numFmtId="9" fontId="53" fillId="5" borderId="1" xfId="0" applyNumberFormat="1" applyFont="1" applyFill="1" applyBorder="1" applyAlignment="1" applyProtection="1">
      <alignment horizontal="center" vertical="center"/>
      <protection locked="0"/>
    </xf>
    <xf numFmtId="0" fontId="53" fillId="5" borderId="1" xfId="0" applyFont="1" applyFill="1" applyBorder="1" applyAlignment="1" applyProtection="1">
      <alignment horizontal="center" vertical="center"/>
      <protection locked="0"/>
    </xf>
    <xf numFmtId="0" fontId="53" fillId="5" borderId="1" xfId="0" applyFont="1" applyFill="1" applyBorder="1" applyAlignment="1">
      <alignment horizontal="center"/>
    </xf>
    <xf numFmtId="0" fontId="42" fillId="5" borderId="37" xfId="0" applyFont="1" applyFill="1" applyBorder="1" applyAlignment="1" applyProtection="1">
      <alignment horizontal="center" vertical="center"/>
      <protection locked="0"/>
    </xf>
    <xf numFmtId="0" fontId="42" fillId="5" borderId="79" xfId="0" applyFont="1" applyFill="1" applyBorder="1" applyAlignment="1" applyProtection="1">
      <alignment horizontal="center" vertical="center"/>
      <protection locked="0"/>
    </xf>
    <xf numFmtId="0" fontId="42" fillId="6" borderId="56" xfId="0" applyFont="1" applyFill="1" applyBorder="1" applyAlignment="1" applyProtection="1">
      <alignment horizontal="center" vertical="center"/>
      <protection locked="0"/>
    </xf>
    <xf numFmtId="0" fontId="39" fillId="5" borderId="1" xfId="0" applyFont="1" applyFill="1" applyBorder="1" applyAlignment="1" applyProtection="1">
      <alignment horizontal="center" vertical="center" wrapText="1"/>
    </xf>
    <xf numFmtId="0" fontId="42" fillId="5" borderId="2"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51" xfId="0" applyFont="1" applyFill="1" applyBorder="1" applyAlignment="1" applyProtection="1">
      <alignment horizontal="center" vertical="center" wrapText="1"/>
    </xf>
    <xf numFmtId="0" fontId="42" fillId="5" borderId="1" xfId="0" applyFont="1" applyFill="1" applyBorder="1" applyAlignment="1" applyProtection="1">
      <alignment horizontal="left" vertical="center" wrapText="1"/>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6" fillId="5" borderId="1"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xf>
    <xf numFmtId="0" fontId="46" fillId="5" borderId="1" xfId="0" applyFont="1" applyFill="1" applyBorder="1" applyAlignment="1" applyProtection="1">
      <alignment horizontal="center" vertical="center"/>
    </xf>
    <xf numFmtId="0" fontId="46" fillId="5" borderId="1" xfId="0" applyNumberFormat="1" applyFont="1" applyFill="1" applyBorder="1" applyAlignment="1" applyProtection="1">
      <alignment horizontal="center" vertical="center"/>
    </xf>
    <xf numFmtId="0" fontId="52" fillId="6" borderId="1" xfId="1" applyFont="1" applyFill="1" applyBorder="1" applyAlignment="1" applyProtection="1">
      <alignment vertical="center"/>
      <protection locked="0"/>
    </xf>
    <xf numFmtId="0" fontId="180" fillId="8" borderId="0" xfId="0" applyFont="1" applyFill="1" applyAlignment="1" applyProtection="1">
      <alignment vertical="top" wrapText="1"/>
    </xf>
    <xf numFmtId="0" fontId="180" fillId="8" borderId="0" xfId="0" applyFont="1" applyFill="1" applyProtection="1">
      <alignment vertical="center"/>
    </xf>
    <xf numFmtId="0" fontId="93" fillId="0" borderId="0" xfId="0" applyFont="1">
      <alignment vertical="center"/>
    </xf>
    <xf numFmtId="0" fontId="187" fillId="0" borderId="0" xfId="0" applyFont="1" applyBorder="1" applyAlignment="1">
      <alignment horizontal="center" vertical="center"/>
    </xf>
    <xf numFmtId="0" fontId="187" fillId="0" borderId="0" xfId="0" applyFont="1" applyAlignment="1">
      <alignment vertical="center"/>
    </xf>
    <xf numFmtId="0" fontId="98" fillId="0" borderId="0" xfId="0" applyFont="1">
      <alignment vertical="center"/>
    </xf>
    <xf numFmtId="0" fontId="98" fillId="0" borderId="0" xfId="0" applyFont="1" applyBorder="1">
      <alignment vertical="center"/>
    </xf>
    <xf numFmtId="0" fontId="188" fillId="0" borderId="0" xfId="0" applyFont="1" applyAlignment="1">
      <alignment vertical="center"/>
    </xf>
    <xf numFmtId="0" fontId="188" fillId="0" borderId="0" xfId="0" applyFont="1">
      <alignment vertical="center"/>
    </xf>
    <xf numFmtId="0" fontId="189" fillId="0" borderId="0" xfId="0" applyFont="1">
      <alignment vertical="center"/>
    </xf>
    <xf numFmtId="0" fontId="130" fillId="0" borderId="0" xfId="0" applyFont="1" applyAlignment="1">
      <alignment vertical="center" wrapText="1"/>
    </xf>
    <xf numFmtId="0" fontId="190" fillId="0" borderId="0" xfId="0" applyFont="1">
      <alignment vertical="center"/>
    </xf>
    <xf numFmtId="0" fontId="98" fillId="0" borderId="0" xfId="0" applyFont="1" applyAlignment="1">
      <alignment vertical="center" wrapText="1"/>
    </xf>
    <xf numFmtId="0" fontId="130" fillId="0" borderId="0" xfId="0" applyFont="1" applyFill="1" applyAlignment="1">
      <alignment vertical="center" wrapText="1"/>
    </xf>
    <xf numFmtId="0" fontId="130" fillId="0" borderId="0" xfId="0" applyFont="1" applyAlignment="1">
      <alignment horizontal="left" vertical="center" wrapText="1"/>
    </xf>
    <xf numFmtId="0" fontId="98" fillId="0" borderId="0" xfId="0" applyFont="1" applyAlignment="1">
      <alignment horizontal="left" vertical="center"/>
    </xf>
    <xf numFmtId="184" fontId="130" fillId="0" borderId="0" xfId="0" applyNumberFormat="1" applyFont="1" applyAlignment="1">
      <alignment horizontal="left" vertical="center"/>
    </xf>
    <xf numFmtId="184" fontId="130" fillId="0" borderId="0" xfId="0" applyNumberFormat="1" applyFont="1" applyAlignment="1">
      <alignment vertical="center"/>
    </xf>
    <xf numFmtId="0" fontId="191" fillId="0" borderId="0" xfId="0" applyFont="1" applyAlignment="1">
      <alignment vertical="center" wrapText="1"/>
    </xf>
    <xf numFmtId="0" fontId="130" fillId="0" borderId="0" xfId="0" applyFont="1">
      <alignment vertical="center"/>
    </xf>
    <xf numFmtId="0" fontId="93" fillId="0" borderId="0" xfId="0" applyFont="1" applyProtection="1">
      <alignment vertical="center"/>
    </xf>
    <xf numFmtId="0" fontId="93" fillId="0" borderId="1" xfId="0" applyFont="1" applyBorder="1">
      <alignment vertical="center"/>
    </xf>
    <xf numFmtId="0" fontId="185" fillId="0" borderId="0" xfId="0" applyFont="1" applyProtection="1">
      <alignment vertical="center"/>
    </xf>
    <xf numFmtId="0" fontId="186" fillId="0" borderId="0" xfId="0" applyFont="1" applyAlignment="1" applyProtection="1">
      <alignment horizontal="left" vertical="center" wrapText="1"/>
    </xf>
    <xf numFmtId="0" fontId="196" fillId="0" borderId="54" xfId="0" applyFont="1" applyFill="1" applyBorder="1" applyAlignment="1" applyProtection="1">
      <alignment horizontal="center" vertical="center" wrapText="1"/>
    </xf>
    <xf numFmtId="0" fontId="196" fillId="0" borderId="1" xfId="0" applyFont="1" applyFill="1" applyBorder="1" applyAlignment="1" applyProtection="1">
      <alignment vertical="center" wrapText="1"/>
    </xf>
    <xf numFmtId="0" fontId="121" fillId="0" borderId="1" xfId="0" applyFont="1" applyFill="1" applyBorder="1" applyAlignment="1" applyProtection="1">
      <alignment horizontal="left" vertical="center" wrapText="1"/>
    </xf>
    <xf numFmtId="0" fontId="196" fillId="0" borderId="1" xfId="0" applyFont="1" applyFill="1" applyBorder="1" applyAlignment="1" applyProtection="1">
      <alignment horizontal="center" vertical="center" wrapText="1"/>
    </xf>
    <xf numFmtId="0" fontId="155" fillId="0" borderId="1" xfId="0" applyFont="1" applyBorder="1" applyProtection="1">
      <alignment vertical="center"/>
    </xf>
    <xf numFmtId="0" fontId="121" fillId="0" borderId="1" xfId="0" applyFont="1" applyFill="1" applyBorder="1" applyAlignment="1" applyProtection="1">
      <alignment horizontal="center" vertical="center" wrapText="1"/>
    </xf>
    <xf numFmtId="0" fontId="155" fillId="0" borderId="1" xfId="0" applyFont="1" applyFill="1" applyBorder="1" applyAlignment="1" applyProtection="1">
      <alignment horizontal="left" vertical="center" wrapText="1"/>
    </xf>
    <xf numFmtId="0" fontId="198" fillId="0" borderId="1" xfId="0" applyFont="1" applyFill="1" applyBorder="1" applyAlignment="1" applyProtection="1">
      <alignment horizontal="left" vertical="center" wrapText="1"/>
    </xf>
    <xf numFmtId="0" fontId="199" fillId="0" borderId="1" xfId="0" applyFont="1" applyFill="1" applyBorder="1" applyAlignment="1" applyProtection="1">
      <alignment vertical="center" wrapText="1"/>
    </xf>
    <xf numFmtId="0" fontId="200" fillId="0" borderId="1" xfId="0" applyFont="1" applyFill="1" applyBorder="1" applyAlignment="1" applyProtection="1">
      <alignment horizontal="left" vertical="center" wrapText="1"/>
    </xf>
    <xf numFmtId="0" fontId="199" fillId="0" borderId="1" xfId="0" applyFont="1" applyFill="1" applyBorder="1" applyAlignment="1" applyProtection="1">
      <alignment horizontal="center" vertical="center" wrapText="1"/>
    </xf>
    <xf numFmtId="0" fontId="155" fillId="0" borderId="75" xfId="0" applyFont="1" applyFill="1" applyBorder="1" applyAlignment="1" applyProtection="1">
      <alignment horizontal="left" vertical="center" wrapText="1"/>
    </xf>
    <xf numFmtId="0" fontId="199" fillId="0" borderId="75" xfId="0" applyFont="1" applyFill="1" applyBorder="1" applyAlignment="1" applyProtection="1">
      <alignment horizontal="center" vertical="center" wrapText="1"/>
    </xf>
    <xf numFmtId="0" fontId="121" fillId="0" borderId="17" xfId="0" applyFont="1" applyBorder="1" applyProtection="1">
      <alignment vertical="center"/>
    </xf>
    <xf numFmtId="0" fontId="121" fillId="0" borderId="17" xfId="0" applyFont="1" applyBorder="1" applyAlignment="1" applyProtection="1">
      <alignment horizontal="center" vertical="center"/>
    </xf>
    <xf numFmtId="0" fontId="155" fillId="0" borderId="17" xfId="0" applyFont="1" applyBorder="1" applyProtection="1">
      <alignment vertical="center"/>
    </xf>
    <xf numFmtId="0" fontId="121" fillId="0" borderId="17" xfId="0" applyNumberFormat="1" applyFont="1" applyBorder="1" applyAlignment="1" applyProtection="1">
      <alignment horizontal="center" vertical="center" wrapText="1"/>
    </xf>
    <xf numFmtId="0" fontId="155" fillId="0" borderId="1" xfId="0" applyFont="1" applyBorder="1" applyAlignment="1" applyProtection="1">
      <alignment horizontal="center" vertical="center"/>
    </xf>
    <xf numFmtId="0" fontId="121" fillId="0" borderId="1" xfId="0" applyFont="1" applyBorder="1" applyProtection="1">
      <alignment vertical="center"/>
    </xf>
    <xf numFmtId="0" fontId="121" fillId="0" borderId="1" xfId="0" applyFont="1" applyBorder="1" applyAlignment="1" applyProtection="1">
      <alignment horizontal="center" vertical="center"/>
    </xf>
    <xf numFmtId="0" fontId="121" fillId="0" borderId="1" xfId="0" applyFont="1" applyBorder="1" applyAlignment="1" applyProtection="1">
      <alignment horizontal="center" vertical="center" wrapText="1"/>
    </xf>
    <xf numFmtId="0" fontId="121" fillId="0" borderId="18" xfId="0" applyFont="1" applyBorder="1" applyAlignment="1" applyProtection="1">
      <alignment horizontal="center" vertical="center" wrapText="1"/>
    </xf>
    <xf numFmtId="0" fontId="155" fillId="0" borderId="75" xfId="0" applyFont="1" applyBorder="1" applyAlignment="1" applyProtection="1">
      <alignment horizontal="center" vertical="center"/>
    </xf>
    <xf numFmtId="0" fontId="202" fillId="6" borderId="0" xfId="0" applyFont="1" applyFill="1" applyProtection="1">
      <alignment vertical="center"/>
      <protection locked="0"/>
    </xf>
    <xf numFmtId="0" fontId="130" fillId="0" borderId="0" xfId="0" applyFont="1" applyProtection="1">
      <alignment vertical="center"/>
    </xf>
    <xf numFmtId="0" fontId="208" fillId="0" borderId="0" xfId="0" applyFont="1" applyBorder="1" applyAlignment="1">
      <alignment horizontal="center" vertical="center" wrapText="1"/>
    </xf>
    <xf numFmtId="14" fontId="130" fillId="0" borderId="0" xfId="0" applyNumberFormat="1" applyFont="1" applyBorder="1" applyAlignment="1">
      <alignment horizontal="center" vertical="center" wrapText="1"/>
    </xf>
    <xf numFmtId="0" fontId="130" fillId="0" borderId="0" xfId="0" applyFont="1" applyBorder="1" applyAlignment="1">
      <alignment horizontal="center" vertical="center" wrapText="1"/>
    </xf>
    <xf numFmtId="0" fontId="208" fillId="0" borderId="65" xfId="0" applyFont="1" applyBorder="1" applyAlignment="1">
      <alignment horizontal="justify" vertical="center" wrapText="1"/>
    </xf>
    <xf numFmtId="0" fontId="208" fillId="0" borderId="0" xfId="0" applyFont="1" applyBorder="1" applyAlignment="1">
      <alignment horizontal="right" vertical="center" wrapText="1"/>
    </xf>
    <xf numFmtId="0" fontId="208" fillId="0" borderId="51" xfId="0" applyFont="1" applyBorder="1" applyAlignment="1">
      <alignment horizontal="justify" vertical="center" wrapText="1"/>
    </xf>
    <xf numFmtId="0" fontId="208" fillId="0" borderId="0" xfId="0" applyFont="1" applyBorder="1" applyAlignment="1">
      <alignment horizontal="justify" vertical="center" wrapText="1"/>
    </xf>
    <xf numFmtId="0" fontId="191" fillId="0" borderId="0" xfId="0" applyFont="1" applyBorder="1" applyAlignment="1">
      <alignment horizontal="center" vertical="center" wrapText="1"/>
    </xf>
    <xf numFmtId="0" fontId="188" fillId="0" borderId="0" xfId="0" applyFont="1" applyBorder="1" applyAlignment="1">
      <alignment horizontal="left" vertical="center"/>
    </xf>
    <xf numFmtId="0" fontId="98" fillId="0" borderId="0" xfId="0" applyFont="1" applyAlignment="1" applyProtection="1">
      <alignment vertical="center" wrapText="1"/>
      <protection locked="0"/>
    </xf>
    <xf numFmtId="0" fontId="130" fillId="0" borderId="0" xfId="0" applyFont="1" applyAlignment="1">
      <alignment horizontal="right" vertical="center"/>
    </xf>
    <xf numFmtId="193" fontId="209" fillId="0" borderId="0" xfId="0" applyNumberFormat="1" applyFont="1" applyAlignment="1">
      <alignment vertical="center"/>
    </xf>
    <xf numFmtId="193" fontId="130" fillId="0" borderId="0" xfId="0" applyNumberFormat="1" applyFont="1" applyAlignment="1">
      <alignment horizontal="right" vertical="center" shrinkToFit="1"/>
    </xf>
    <xf numFmtId="0" fontId="40" fillId="5" borderId="0" xfId="1" applyFont="1" applyFill="1" applyBorder="1" applyAlignment="1" applyProtection="1">
      <alignment vertical="center"/>
    </xf>
    <xf numFmtId="49" fontId="42" fillId="5" borderId="16" xfId="0" applyNumberFormat="1" applyFont="1" applyFill="1" applyBorder="1" applyAlignment="1" applyProtection="1">
      <alignment horizontal="center" vertical="center"/>
    </xf>
    <xf numFmtId="49" fontId="42" fillId="5" borderId="8" xfId="0" applyNumberFormat="1" applyFont="1" applyFill="1" applyBorder="1" applyAlignment="1" applyProtection="1">
      <alignment horizontal="center" vertical="center"/>
    </xf>
    <xf numFmtId="0" fontId="40" fillId="0" borderId="1" xfId="0" applyFont="1" applyBorder="1" applyAlignment="1" applyProtection="1">
      <alignment horizontal="center" vertical="center" wrapText="1"/>
    </xf>
    <xf numFmtId="0" fontId="98" fillId="0" borderId="0" xfId="0" applyFont="1" applyAlignment="1" applyProtection="1">
      <alignment horizontal="left" vertical="center"/>
    </xf>
    <xf numFmtId="0" fontId="40" fillId="0" borderId="0" xfId="0" applyFont="1" applyProtection="1">
      <alignment vertical="center"/>
    </xf>
    <xf numFmtId="0" fontId="40" fillId="2" borderId="1" xfId="0" applyFont="1" applyFill="1" applyBorder="1" applyAlignment="1" applyProtection="1">
      <alignment horizontal="center" vertical="center" wrapText="1"/>
    </xf>
    <xf numFmtId="0" fontId="40" fillId="5" borderId="1" xfId="0" applyFont="1" applyFill="1" applyBorder="1" applyAlignment="1" applyProtection="1">
      <alignment horizontal="center" vertical="center" wrapText="1"/>
    </xf>
    <xf numFmtId="0" fontId="215" fillId="4" borderId="1" xfId="0" applyFont="1" applyFill="1" applyBorder="1" applyAlignment="1" applyProtection="1">
      <alignment horizontal="center" vertical="center"/>
    </xf>
    <xf numFmtId="0" fontId="216" fillId="0" borderId="1" xfId="0" applyFont="1" applyFill="1" applyBorder="1" applyAlignment="1" applyProtection="1">
      <alignment horizontal="center" vertical="center"/>
    </xf>
    <xf numFmtId="0" fontId="39" fillId="0" borderId="0" xfId="0" applyFont="1" applyProtection="1">
      <alignment vertical="center"/>
    </xf>
    <xf numFmtId="0" fontId="98" fillId="7" borderId="2" xfId="0" applyFont="1" applyFill="1" applyBorder="1" applyAlignment="1" applyProtection="1">
      <alignment vertical="center"/>
    </xf>
    <xf numFmtId="0" fontId="98" fillId="8" borderId="51" xfId="0" applyFont="1" applyFill="1" applyBorder="1" applyAlignment="1" applyProtection="1">
      <alignment vertical="center"/>
    </xf>
    <xf numFmtId="0" fontId="98" fillId="8" borderId="3" xfId="0" applyFont="1" applyFill="1" applyBorder="1" applyAlignment="1" applyProtection="1">
      <alignment vertical="center"/>
    </xf>
    <xf numFmtId="0" fontId="98" fillId="0" borderId="1" xfId="0" applyFont="1" applyBorder="1" applyAlignment="1" applyProtection="1">
      <alignment horizontal="left" vertical="center"/>
    </xf>
    <xf numFmtId="0" fontId="139" fillId="0" borderId="0" xfId="0" applyFont="1" applyProtection="1">
      <alignment vertical="center"/>
    </xf>
    <xf numFmtId="0" fontId="39" fillId="5" borderId="25" xfId="0" applyFont="1" applyFill="1" applyBorder="1" applyAlignment="1" applyProtection="1">
      <alignment horizontal="center" vertical="center" wrapText="1"/>
    </xf>
    <xf numFmtId="0" fontId="98" fillId="5" borderId="0" xfId="0" applyFont="1" applyFill="1" applyBorder="1" applyAlignment="1" applyProtection="1">
      <alignment horizontal="center" vertical="center" wrapText="1"/>
    </xf>
    <xf numFmtId="0" fontId="39" fillId="5" borderId="0" xfId="0" applyFont="1" applyFill="1" applyAlignment="1" applyProtection="1">
      <alignment horizontal="center" vertical="center" wrapText="1"/>
    </xf>
    <xf numFmtId="0" fontId="98" fillId="0" borderId="1" xfId="0" applyFont="1" applyBorder="1" applyAlignment="1" applyProtection="1">
      <alignment horizontal="left" vertical="center"/>
      <protection locked="0"/>
    </xf>
    <xf numFmtId="0" fontId="98" fillId="5" borderId="0" xfId="0" applyFont="1" applyFill="1" applyBorder="1" applyAlignment="1" applyProtection="1">
      <alignment horizontal="center" vertical="center"/>
      <protection locked="0"/>
    </xf>
    <xf numFmtId="0" fontId="39" fillId="0" borderId="1" xfId="0" applyFont="1" applyBorder="1" applyAlignment="1" applyProtection="1">
      <alignment horizontal="left" vertical="center"/>
      <protection locked="0"/>
    </xf>
    <xf numFmtId="0" fontId="98" fillId="5" borderId="0" xfId="0" applyFont="1" applyFill="1">
      <alignment vertical="center"/>
    </xf>
    <xf numFmtId="0" fontId="98" fillId="5" borderId="0" xfId="0" applyFont="1" applyFill="1" applyBorder="1" applyAlignment="1" applyProtection="1">
      <alignment horizontal="left" vertical="center"/>
    </xf>
    <xf numFmtId="0" fontId="98" fillId="5" borderId="0" xfId="0" applyFont="1" applyFill="1" applyBorder="1" applyAlignment="1" applyProtection="1">
      <alignment vertical="center" wrapText="1"/>
    </xf>
    <xf numFmtId="0" fontId="47" fillId="5" borderId="88" xfId="0" applyFont="1" applyFill="1" applyBorder="1" applyAlignment="1" applyProtection="1">
      <alignment vertical="center" wrapText="1"/>
    </xf>
    <xf numFmtId="0" fontId="42" fillId="5" borderId="158" xfId="0" applyFont="1" applyFill="1" applyBorder="1" applyAlignment="1" applyProtection="1">
      <alignment vertical="center"/>
    </xf>
    <xf numFmtId="0" fontId="42" fillId="0" borderId="32" xfId="0" applyFont="1" applyBorder="1" applyAlignment="1" applyProtection="1">
      <alignment vertical="center" wrapText="1"/>
      <protection locked="0"/>
    </xf>
    <xf numFmtId="0" fontId="42" fillId="6" borderId="32" xfId="0" applyFont="1" applyFill="1" applyBorder="1" applyAlignment="1" applyProtection="1">
      <alignment vertical="center" wrapText="1"/>
      <protection locked="0"/>
    </xf>
    <xf numFmtId="0" fontId="42" fillId="5" borderId="7" xfId="0" applyFont="1" applyFill="1" applyBorder="1" applyAlignment="1" applyProtection="1">
      <alignment vertical="center"/>
    </xf>
    <xf numFmtId="0" fontId="42" fillId="0" borderId="1" xfId="0" applyFont="1" applyBorder="1" applyAlignment="1" applyProtection="1">
      <alignment vertical="center" wrapText="1"/>
      <protection locked="0"/>
    </xf>
    <xf numFmtId="0" fontId="42" fillId="5" borderId="1" xfId="0" applyFont="1" applyFill="1" applyBorder="1" applyAlignment="1" applyProtection="1">
      <alignment vertical="center"/>
    </xf>
    <xf numFmtId="0" fontId="42" fillId="6" borderId="1" xfId="0" applyFont="1" applyFill="1" applyBorder="1" applyAlignment="1" applyProtection="1">
      <alignment vertical="center"/>
      <protection locked="0"/>
    </xf>
    <xf numFmtId="0" fontId="42" fillId="6" borderId="6" xfId="0" applyFont="1" applyFill="1" applyBorder="1" applyAlignment="1" applyProtection="1">
      <alignment vertical="center" wrapText="1"/>
      <protection locked="0"/>
    </xf>
    <xf numFmtId="0" fontId="42" fillId="5" borderId="7" xfId="0" applyFont="1" applyFill="1" applyBorder="1" applyAlignment="1" applyProtection="1">
      <alignment horizontal="left" vertical="center"/>
    </xf>
    <xf numFmtId="0" fontId="42" fillId="2" borderId="1" xfId="0" applyFont="1" applyFill="1" applyBorder="1" applyAlignment="1" applyProtection="1">
      <alignment horizontal="left" vertical="center" wrapText="1"/>
      <protection locked="0"/>
    </xf>
    <xf numFmtId="0" fontId="117" fillId="5" borderId="0" xfId="0" applyFont="1" applyFill="1" applyBorder="1" applyAlignment="1" applyProtection="1">
      <alignment horizontal="left" vertical="center"/>
    </xf>
    <xf numFmtId="0" fontId="42" fillId="0" borderId="75" xfId="0" applyFont="1" applyFill="1" applyBorder="1" applyAlignment="1" applyProtection="1">
      <alignment vertical="center" wrapText="1"/>
      <protection locked="0"/>
    </xf>
    <xf numFmtId="0" fontId="42" fillId="5" borderId="17" xfId="0" applyFont="1" applyFill="1" applyBorder="1" applyAlignment="1" applyProtection="1">
      <alignment vertical="center" wrapText="1"/>
    </xf>
    <xf numFmtId="0" fontId="42" fillId="6" borderId="41" xfId="0" applyFont="1" applyFill="1" applyBorder="1" applyAlignment="1" applyProtection="1">
      <alignment vertical="center" wrapText="1"/>
      <protection locked="0"/>
    </xf>
    <xf numFmtId="0" fontId="42" fillId="5" borderId="42" xfId="0" applyFont="1" applyFill="1" applyBorder="1" applyAlignment="1" applyProtection="1">
      <alignment vertical="center" wrapText="1"/>
    </xf>
    <xf numFmtId="0" fontId="42" fillId="5" borderId="18" xfId="0" applyFont="1" applyFill="1" applyBorder="1" applyAlignment="1" applyProtection="1">
      <alignment vertical="center" wrapText="1"/>
    </xf>
    <xf numFmtId="0" fontId="42" fillId="5" borderId="11" xfId="0" applyFont="1" applyFill="1" applyBorder="1" applyAlignment="1" applyProtection="1">
      <alignment vertical="center" wrapText="1"/>
    </xf>
    <xf numFmtId="0" fontId="42" fillId="6" borderId="31" xfId="0" applyFont="1" applyFill="1" applyBorder="1" applyAlignment="1" applyProtection="1">
      <alignment vertical="center" wrapText="1"/>
      <protection locked="0"/>
    </xf>
    <xf numFmtId="0" fontId="42" fillId="6" borderId="82" xfId="0" applyFont="1" applyFill="1" applyBorder="1" applyAlignment="1" applyProtection="1">
      <alignment vertical="center" wrapText="1"/>
      <protection locked="0"/>
    </xf>
    <xf numFmtId="0" fontId="42" fillId="5" borderId="61" xfId="0" applyFont="1" applyFill="1" applyBorder="1" applyAlignment="1" applyProtection="1">
      <alignment vertical="center" wrapText="1"/>
    </xf>
    <xf numFmtId="0" fontId="42" fillId="6" borderId="43" xfId="0" applyFont="1" applyFill="1" applyBorder="1" applyAlignment="1" applyProtection="1">
      <alignment vertical="center" wrapText="1"/>
      <protection locked="0"/>
    </xf>
    <xf numFmtId="0" fontId="42" fillId="5" borderId="29" xfId="0" applyFont="1" applyFill="1" applyBorder="1" applyAlignment="1" applyProtection="1">
      <alignment vertical="center"/>
    </xf>
    <xf numFmtId="0" fontId="117" fillId="5" borderId="0" xfId="0" applyFont="1" applyFill="1" applyBorder="1" applyAlignment="1" applyProtection="1">
      <alignment vertical="center" wrapText="1"/>
    </xf>
    <xf numFmtId="0" fontId="42" fillId="5" borderId="5" xfId="0" applyFont="1" applyFill="1" applyBorder="1" applyAlignment="1" applyProtection="1">
      <alignment vertical="center"/>
    </xf>
    <xf numFmtId="0" fontId="42" fillId="5" borderId="10" xfId="0" applyFont="1" applyFill="1" applyBorder="1" applyAlignment="1" applyProtection="1">
      <alignment vertical="center" wrapText="1"/>
    </xf>
    <xf numFmtId="0" fontId="42" fillId="0" borderId="7" xfId="0" applyFont="1" applyBorder="1" applyAlignment="1" applyProtection="1">
      <alignment vertical="center" wrapText="1"/>
      <protection locked="0"/>
    </xf>
    <xf numFmtId="0" fontId="42" fillId="6" borderId="2" xfId="0" applyFont="1" applyFill="1" applyBorder="1" applyAlignment="1" applyProtection="1">
      <alignment vertical="center" wrapText="1"/>
      <protection locked="0"/>
    </xf>
    <xf numFmtId="0" fontId="42" fillId="0" borderId="19" xfId="0" applyFont="1" applyBorder="1" applyAlignment="1" applyProtection="1">
      <alignment vertical="center" wrapText="1"/>
      <protection locked="0"/>
    </xf>
    <xf numFmtId="0" fontId="42" fillId="5" borderId="39" xfId="0" applyFont="1" applyFill="1" applyBorder="1" applyAlignment="1" applyProtection="1">
      <alignment vertical="center" wrapText="1"/>
    </xf>
    <xf numFmtId="0" fontId="42" fillId="0" borderId="1"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xf>
    <xf numFmtId="0" fontId="39" fillId="5" borderId="16" xfId="0" applyFont="1" applyFill="1" applyBorder="1" applyAlignment="1" applyProtection="1">
      <alignment horizontal="left" vertical="center" wrapText="1"/>
    </xf>
    <xf numFmtId="0" fontId="39" fillId="5" borderId="23" xfId="0" applyFont="1" applyFill="1" applyBorder="1" applyAlignment="1" applyProtection="1">
      <alignment horizontal="left" vertical="center" wrapText="1"/>
    </xf>
    <xf numFmtId="0" fontId="103" fillId="5" borderId="0" xfId="0" applyFont="1" applyFill="1" applyProtection="1">
      <alignment vertical="center"/>
    </xf>
    <xf numFmtId="0" fontId="42" fillId="5" borderId="0" xfId="0" applyFont="1" applyFill="1" applyProtection="1">
      <alignment vertical="center"/>
    </xf>
    <xf numFmtId="0" fontId="42" fillId="0" borderId="0" xfId="0" applyFont="1" applyProtection="1">
      <alignment vertical="center"/>
    </xf>
    <xf numFmtId="0" fontId="42" fillId="5" borderId="3" xfId="0" applyFont="1" applyFill="1" applyBorder="1" applyAlignment="1" applyProtection="1">
      <alignment vertical="center" wrapText="1"/>
    </xf>
    <xf numFmtId="0" fontId="39" fillId="5" borderId="0" xfId="0" applyFont="1" applyFill="1" applyProtection="1">
      <alignment vertical="center"/>
    </xf>
    <xf numFmtId="0" fontId="42" fillId="0" borderId="0" xfId="0" applyFont="1" applyFill="1" applyProtection="1">
      <alignment vertical="center"/>
    </xf>
    <xf numFmtId="0" fontId="41" fillId="5" borderId="63" xfId="0" applyFont="1" applyFill="1" applyBorder="1" applyAlignment="1" applyProtection="1">
      <alignment horizontal="left" vertical="center"/>
    </xf>
    <xf numFmtId="0" fontId="41" fillId="5" borderId="20" xfId="0" applyFont="1" applyFill="1" applyBorder="1" applyAlignment="1" applyProtection="1">
      <alignment horizontal="left" vertical="center"/>
    </xf>
    <xf numFmtId="0" fontId="39" fillId="5" borderId="28" xfId="0" applyFont="1" applyFill="1" applyBorder="1" applyAlignment="1" applyProtection="1">
      <alignment horizontal="left" vertical="center"/>
    </xf>
    <xf numFmtId="0" fontId="39" fillId="5" borderId="56" xfId="0" applyFont="1" applyFill="1" applyBorder="1" applyAlignment="1" applyProtection="1">
      <alignment horizontal="left" vertical="center"/>
    </xf>
    <xf numFmtId="0" fontId="42" fillId="5" borderId="0" xfId="0" applyFont="1" applyFill="1" applyBorder="1" applyAlignment="1" applyProtection="1">
      <alignment horizontal="center" vertical="center"/>
    </xf>
    <xf numFmtId="0" fontId="103" fillId="5" borderId="0" xfId="0" applyFont="1" applyFill="1" applyBorder="1" applyAlignment="1" applyProtection="1">
      <alignment horizontal="left" vertical="center"/>
    </xf>
    <xf numFmtId="0" fontId="220" fillId="5" borderId="0" xfId="0" applyFont="1" applyFill="1" applyBorder="1" applyAlignment="1" applyProtection="1">
      <alignment horizontal="left" vertical="center"/>
    </xf>
    <xf numFmtId="0" fontId="221" fillId="5" borderId="0" xfId="0" applyFont="1" applyFill="1" applyBorder="1" applyAlignment="1" applyProtection="1">
      <alignment vertical="center"/>
    </xf>
    <xf numFmtId="0" fontId="221" fillId="5" borderId="0" xfId="0" applyFont="1" applyFill="1" applyBorder="1" applyAlignment="1" applyProtection="1">
      <alignment horizontal="center" vertical="center"/>
    </xf>
    <xf numFmtId="0" fontId="102" fillId="8" borderId="0" xfId="0" applyFont="1" applyFill="1" applyBorder="1" applyAlignment="1" applyProtection="1">
      <alignment horizontal="left" vertical="center"/>
    </xf>
    <xf numFmtId="0" fontId="98" fillId="8" borderId="0" xfId="0" applyFont="1" applyFill="1" applyBorder="1" applyProtection="1">
      <alignment vertical="center"/>
    </xf>
    <xf numFmtId="49" fontId="47" fillId="5" borderId="39" xfId="0" applyNumberFormat="1" applyFont="1" applyFill="1" applyBorder="1" applyAlignment="1" applyProtection="1">
      <alignment horizontal="left" vertical="center" wrapText="1"/>
    </xf>
    <xf numFmtId="0" fontId="49" fillId="5" borderId="0" xfId="0" applyFont="1" applyFill="1" applyBorder="1" applyAlignment="1" applyProtection="1">
      <alignment horizontal="left" vertical="center" wrapText="1"/>
    </xf>
    <xf numFmtId="177" fontId="49" fillId="5" borderId="0" xfId="0" applyNumberFormat="1" applyFont="1" applyFill="1" applyBorder="1" applyAlignment="1" applyProtection="1">
      <alignment horizontal="center" vertical="center" wrapText="1"/>
    </xf>
    <xf numFmtId="10" fontId="48" fillId="5" borderId="0" xfId="0" applyNumberFormat="1" applyFont="1" applyFill="1" applyBorder="1" applyAlignment="1" applyProtection="1">
      <alignment horizontal="center" vertical="center" wrapText="1"/>
    </xf>
    <xf numFmtId="0" fontId="42" fillId="5" borderId="0" xfId="0" applyFont="1" applyFill="1" applyBorder="1" applyAlignment="1" applyProtection="1">
      <alignment horizontal="left" vertical="center"/>
    </xf>
    <xf numFmtId="0" fontId="42" fillId="5" borderId="0" xfId="2" applyFont="1" applyFill="1" applyBorder="1" applyAlignment="1" applyProtection="1">
      <alignment horizontal="left" vertical="center" wrapText="1"/>
    </xf>
    <xf numFmtId="0" fontId="98" fillId="0" borderId="0" xfId="0" applyFont="1" applyFill="1" applyProtection="1">
      <alignment vertical="center"/>
    </xf>
    <xf numFmtId="0" fontId="98" fillId="8" borderId="0" xfId="0" applyFont="1" applyFill="1" applyProtection="1">
      <alignment vertical="center"/>
    </xf>
    <xf numFmtId="0" fontId="98" fillId="5" borderId="0" xfId="2" applyFont="1" applyFill="1" applyAlignment="1" applyProtection="1">
      <alignment vertical="center" wrapText="1"/>
    </xf>
    <xf numFmtId="0" fontId="42" fillId="2" borderId="51" xfId="0" applyFont="1" applyFill="1" applyBorder="1" applyAlignment="1" applyProtection="1">
      <alignment horizontal="left" vertical="center" wrapText="1"/>
      <protection locked="0"/>
    </xf>
    <xf numFmtId="0" fontId="98" fillId="5" borderId="0" xfId="2" applyFont="1" applyFill="1" applyProtection="1"/>
    <xf numFmtId="10" fontId="42" fillId="2" borderId="41" xfId="0" applyNumberFormat="1" applyFont="1" applyFill="1" applyBorder="1" applyAlignment="1" applyProtection="1">
      <alignment horizontal="left" vertical="center" wrapText="1"/>
      <protection locked="0"/>
    </xf>
    <xf numFmtId="10" fontId="42" fillId="6" borderId="41" xfId="0" applyNumberFormat="1" applyFont="1" applyFill="1" applyBorder="1" applyAlignment="1" applyProtection="1">
      <alignment horizontal="left" vertical="center" wrapText="1"/>
      <protection locked="0"/>
    </xf>
    <xf numFmtId="0" fontId="98" fillId="0" borderId="7" xfId="0" applyFont="1" applyFill="1" applyBorder="1" applyProtection="1">
      <alignment vertical="center"/>
      <protection locked="0"/>
    </xf>
    <xf numFmtId="0" fontId="139" fillId="0" borderId="60" xfId="0" applyFont="1" applyBorder="1" applyAlignment="1" applyProtection="1">
      <alignment horizontal="left" vertical="center"/>
      <protection locked="0"/>
    </xf>
    <xf numFmtId="0" fontId="42" fillId="0" borderId="0" xfId="0" applyFont="1" applyBorder="1" applyAlignment="1" applyProtection="1">
      <alignment horizontal="left" vertical="center" wrapText="1"/>
      <protection locked="0"/>
    </xf>
    <xf numFmtId="0" fontId="51" fillId="6" borderId="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center" vertical="center" wrapText="1"/>
      <protection locked="0"/>
    </xf>
    <xf numFmtId="0" fontId="42" fillId="8" borderId="0" xfId="0" applyFont="1" applyFill="1" applyBorder="1" applyAlignment="1" applyProtection="1">
      <alignment horizontal="center" vertical="center"/>
      <protection locked="0"/>
    </xf>
    <xf numFmtId="0" fontId="42" fillId="8" borderId="25" xfId="0" applyFont="1" applyFill="1" applyBorder="1" applyProtection="1">
      <alignment vertical="center"/>
      <protection locked="0"/>
    </xf>
    <xf numFmtId="0" fontId="42" fillId="8" borderId="6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left" vertical="center" wrapText="1"/>
      <protection locked="0"/>
    </xf>
    <xf numFmtId="0" fontId="42" fillId="8" borderId="64"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center" vertical="center" wrapText="1"/>
      <protection locked="0"/>
    </xf>
    <xf numFmtId="0" fontId="42" fillId="8" borderId="65" xfId="0" applyFont="1" applyFill="1" applyBorder="1" applyAlignment="1" applyProtection="1">
      <alignment horizontal="center" vertical="center"/>
      <protection locked="0"/>
    </xf>
    <xf numFmtId="0" fontId="42" fillId="8" borderId="24" xfId="0" applyFont="1" applyFill="1" applyBorder="1" applyProtection="1">
      <alignment vertical="center"/>
      <protection locked="0"/>
    </xf>
    <xf numFmtId="0" fontId="47" fillId="8" borderId="65" xfId="0" applyFont="1" applyFill="1" applyBorder="1" applyAlignment="1" applyProtection="1">
      <alignment horizontal="left" vertical="center"/>
      <protection locked="0"/>
    </xf>
    <xf numFmtId="0" fontId="42" fillId="8" borderId="65" xfId="0" applyFont="1" applyFill="1" applyBorder="1" applyProtection="1">
      <alignment vertical="center"/>
      <protection locked="0"/>
    </xf>
    <xf numFmtId="0" fontId="42" fillId="8" borderId="65" xfId="0" applyFont="1" applyFill="1" applyBorder="1" applyAlignment="1" applyProtection="1">
      <alignment horizontal="right" vertical="center"/>
      <protection locked="0"/>
    </xf>
    <xf numFmtId="0" fontId="47" fillId="8" borderId="0" xfId="0" applyFont="1" applyFill="1" applyAlignment="1" applyProtection="1">
      <alignment horizontal="left" vertical="center"/>
      <protection locked="0"/>
    </xf>
    <xf numFmtId="2" fontId="42" fillId="8" borderId="0" xfId="0" applyNumberFormat="1" applyFont="1" applyFill="1" applyAlignment="1" applyProtection="1">
      <alignment vertical="center" wrapText="1"/>
      <protection locked="0"/>
    </xf>
    <xf numFmtId="0" fontId="47" fillId="8" borderId="0" xfId="0" applyFont="1" applyFill="1" applyAlignment="1" applyProtection="1">
      <alignment vertical="center" wrapText="1"/>
      <protection locked="0"/>
    </xf>
    <xf numFmtId="0" fontId="42" fillId="8" borderId="0" xfId="0" applyFont="1" applyFill="1" applyAlignment="1" applyProtection="1">
      <alignment vertical="center" wrapText="1"/>
      <protection locked="0"/>
    </xf>
    <xf numFmtId="0" fontId="41" fillId="5" borderId="22" xfId="0" applyFont="1" applyFill="1" applyBorder="1" applyAlignment="1" applyProtection="1">
      <alignment horizontal="left" vertical="center"/>
    </xf>
    <xf numFmtId="0" fontId="41" fillId="5" borderId="26" xfId="0" applyFont="1" applyFill="1" applyBorder="1" applyAlignment="1" applyProtection="1">
      <alignment horizontal="left" vertical="center"/>
    </xf>
    <xf numFmtId="0" fontId="41" fillId="5" borderId="42" xfId="0" applyFont="1" applyFill="1" applyBorder="1" applyAlignment="1" applyProtection="1">
      <alignment horizontal="left" vertical="center"/>
    </xf>
    <xf numFmtId="0" fontId="41" fillId="5" borderId="46" xfId="0" applyFont="1" applyFill="1" applyBorder="1" applyAlignment="1" applyProtection="1">
      <alignment horizontal="left" vertical="center"/>
    </xf>
    <xf numFmtId="0" fontId="101" fillId="5" borderId="0" xfId="0" applyFont="1" applyFill="1" applyBorder="1" applyAlignment="1" applyProtection="1">
      <alignment horizontal="left" vertical="center"/>
    </xf>
    <xf numFmtId="0" fontId="49" fillId="6" borderId="2" xfId="1" applyFont="1" applyFill="1" applyBorder="1" applyAlignment="1" applyProtection="1">
      <alignment vertical="center"/>
      <protection locked="0"/>
    </xf>
    <xf numFmtId="0" fontId="132" fillId="5" borderId="3" xfId="1" applyFont="1" applyFill="1" applyBorder="1" applyAlignment="1" applyProtection="1">
      <alignment vertical="center"/>
    </xf>
    <xf numFmtId="0" fontId="49" fillId="6" borderId="6" xfId="1" applyFont="1" applyFill="1" applyBorder="1" applyAlignment="1" applyProtection="1">
      <alignment horizontal="left" vertical="center"/>
      <protection locked="0"/>
    </xf>
    <xf numFmtId="0" fontId="53" fillId="5" borderId="0" xfId="0" applyFont="1" applyFill="1" applyBorder="1" applyAlignment="1" applyProtection="1">
      <alignment vertical="center"/>
    </xf>
    <xf numFmtId="0" fontId="53" fillId="5" borderId="18" xfId="0" applyFont="1" applyFill="1" applyBorder="1" applyAlignment="1" applyProtection="1">
      <alignment vertical="center"/>
    </xf>
    <xf numFmtId="0" fontId="42" fillId="5" borderId="27" xfId="0" applyFont="1" applyFill="1" applyBorder="1" applyAlignment="1" applyProtection="1">
      <alignment vertical="center" wrapText="1"/>
    </xf>
    <xf numFmtId="0" fontId="42" fillId="5" borderId="25" xfId="0" applyFont="1" applyFill="1" applyBorder="1" applyAlignment="1" applyProtection="1">
      <alignment vertical="center"/>
    </xf>
    <xf numFmtId="0" fontId="53" fillId="6" borderId="53" xfId="0" applyFont="1" applyFill="1" applyBorder="1" applyAlignment="1" applyProtection="1">
      <alignment horizontal="center" vertical="center"/>
      <protection locked="0"/>
    </xf>
    <xf numFmtId="0" fontId="232" fillId="5" borderId="1" xfId="0" applyFont="1" applyFill="1" applyBorder="1" applyAlignment="1" applyProtection="1">
      <alignment horizontal="right" vertical="center" wrapText="1"/>
    </xf>
    <xf numFmtId="0" fontId="42" fillId="5" borderId="91" xfId="0" applyFont="1" applyFill="1" applyBorder="1" applyAlignment="1" applyProtection="1">
      <alignment vertical="center" wrapText="1"/>
    </xf>
    <xf numFmtId="0" fontId="42" fillId="5" borderId="75" xfId="0" applyFont="1" applyFill="1" applyBorder="1" applyAlignment="1" applyProtection="1">
      <alignment vertical="center"/>
    </xf>
    <xf numFmtId="0" fontId="100" fillId="8" borderId="0" xfId="0" applyFont="1" applyFill="1" applyAlignment="1" applyProtection="1">
      <protection locked="0"/>
    </xf>
    <xf numFmtId="0" fontId="39" fillId="5" borderId="81" xfId="0" applyFont="1" applyFill="1" applyBorder="1" applyAlignment="1" applyProtection="1"/>
    <xf numFmtId="0" fontId="139" fillId="8" borderId="55" xfId="0" applyFont="1" applyFill="1" applyBorder="1" applyAlignment="1" applyProtection="1">
      <alignment vertical="center"/>
      <protection locked="0"/>
    </xf>
    <xf numFmtId="0" fontId="53" fillId="5" borderId="4" xfId="0" applyFont="1" applyFill="1" applyBorder="1" applyAlignment="1" applyProtection="1">
      <alignment vertical="center"/>
    </xf>
    <xf numFmtId="0" fontId="53" fillId="6" borderId="31" xfId="0" applyFont="1" applyFill="1" applyBorder="1" applyAlignment="1" applyProtection="1">
      <alignment horizontal="center" vertical="center"/>
      <protection locked="0"/>
    </xf>
    <xf numFmtId="0" fontId="53" fillId="5" borderId="4" xfId="0" applyFont="1" applyFill="1" applyBorder="1" applyAlignment="1" applyProtection="1">
      <alignment horizontal="left" vertical="center"/>
      <protection locked="0"/>
    </xf>
    <xf numFmtId="0" fontId="53" fillId="5" borderId="7" xfId="0" applyFont="1" applyFill="1" applyBorder="1" applyAlignment="1" applyProtection="1">
      <alignment vertical="center"/>
    </xf>
    <xf numFmtId="0" fontId="129" fillId="6" borderId="6" xfId="0" applyFont="1" applyFill="1" applyBorder="1" applyAlignment="1" applyProtection="1">
      <alignment horizontal="center"/>
      <protection locked="0"/>
    </xf>
    <xf numFmtId="0" fontId="129" fillId="5" borderId="7" xfId="0" applyFont="1" applyFill="1" applyBorder="1" applyAlignment="1" applyProtection="1">
      <alignment horizontal="left"/>
      <protection locked="0"/>
    </xf>
    <xf numFmtId="0" fontId="39" fillId="5" borderId="1" xfId="0" applyFont="1" applyFill="1" applyBorder="1" applyAlignment="1" applyProtection="1">
      <protection locked="0"/>
    </xf>
    <xf numFmtId="0" fontId="98" fillId="5" borderId="7" xfId="0" applyFont="1" applyFill="1" applyBorder="1" applyAlignment="1" applyProtection="1">
      <alignment horizontal="left"/>
      <protection locked="0"/>
    </xf>
    <xf numFmtId="49" fontId="53" fillId="5" borderId="7" xfId="0" applyNumberFormat="1" applyFont="1" applyFill="1" applyBorder="1" applyAlignment="1" applyProtection="1">
      <alignment horizontal="left" vertical="center"/>
    </xf>
    <xf numFmtId="0" fontId="53" fillId="5" borderId="7" xfId="0" applyFont="1" applyFill="1" applyBorder="1" applyAlignment="1" applyProtection="1">
      <alignment vertical="center"/>
      <protection locked="0"/>
    </xf>
    <xf numFmtId="0" fontId="53" fillId="5" borderId="8" xfId="0" applyFont="1" applyFill="1" applyBorder="1" applyAlignment="1" applyProtection="1">
      <alignment vertical="center"/>
    </xf>
    <xf numFmtId="0" fontId="232" fillId="5" borderId="3" xfId="0" applyFont="1" applyFill="1" applyBorder="1" applyAlignment="1" applyProtection="1">
      <alignment horizontal="right" vertical="center" wrapText="1"/>
    </xf>
    <xf numFmtId="0" fontId="42" fillId="5" borderId="36" xfId="0" applyFont="1" applyFill="1" applyBorder="1" applyAlignment="1" applyProtection="1">
      <alignment horizontal="left" vertical="center"/>
    </xf>
    <xf numFmtId="0" fontId="235" fillId="5" borderId="40" xfId="0" applyFont="1" applyFill="1" applyBorder="1" applyAlignment="1" applyProtection="1">
      <alignment vertical="center" wrapText="1"/>
    </xf>
    <xf numFmtId="0" fontId="42" fillId="5" borderId="126" xfId="0" applyFont="1" applyFill="1" applyBorder="1" applyAlignment="1" applyProtection="1">
      <alignment horizontal="left" vertical="center"/>
    </xf>
    <xf numFmtId="0" fontId="52" fillId="5" borderId="46" xfId="0" applyFont="1" applyFill="1" applyBorder="1" applyAlignment="1" applyProtection="1">
      <alignment horizontal="left" vertical="center" wrapText="1"/>
    </xf>
    <xf numFmtId="0" fontId="52" fillId="5" borderId="5" xfId="0" applyFont="1" applyFill="1" applyBorder="1" applyAlignment="1" applyProtection="1">
      <alignment horizontal="center" vertical="center"/>
    </xf>
    <xf numFmtId="0" fontId="53" fillId="5" borderId="23" xfId="0" applyFont="1" applyFill="1" applyBorder="1" applyAlignment="1" applyProtection="1">
      <alignment vertical="center" wrapText="1"/>
    </xf>
    <xf numFmtId="0" fontId="53" fillId="5" borderId="7" xfId="0" applyFont="1" applyFill="1" applyBorder="1" applyAlignment="1" applyProtection="1">
      <alignment vertical="center" wrapText="1"/>
    </xf>
    <xf numFmtId="49" fontId="52" fillId="5" borderId="8" xfId="0" applyNumberFormat="1" applyFont="1" applyFill="1" applyBorder="1" applyAlignment="1" applyProtection="1">
      <alignment horizontal="left" vertical="center"/>
    </xf>
    <xf numFmtId="0" fontId="52" fillId="5" borderId="8" xfId="0" applyFont="1" applyFill="1" applyBorder="1" applyAlignment="1" applyProtection="1">
      <alignment horizontal="center" vertical="center"/>
    </xf>
    <xf numFmtId="0" fontId="53" fillId="5" borderId="1" xfId="0" applyFont="1" applyFill="1" applyBorder="1" applyAlignment="1"/>
    <xf numFmtId="0" fontId="47" fillId="5" borderId="122" xfId="0" applyNumberFormat="1" applyFont="1" applyFill="1" applyBorder="1" applyAlignment="1" applyProtection="1">
      <alignment horizontal="center" vertical="center" wrapText="1"/>
      <protection locked="0"/>
    </xf>
    <xf numFmtId="0" fontId="42" fillId="10" borderId="5" xfId="0" applyNumberFormat="1" applyFont="1" applyFill="1" applyBorder="1" applyAlignment="1" applyProtection="1">
      <alignment horizontal="center" vertical="center" wrapText="1"/>
      <protection locked="0"/>
    </xf>
    <xf numFmtId="0" fontId="47" fillId="5" borderId="5" xfId="0" applyFont="1" applyFill="1" applyBorder="1" applyAlignment="1" applyProtection="1">
      <alignment horizontal="left" vertical="center"/>
      <protection locked="0"/>
    </xf>
    <xf numFmtId="0" fontId="40" fillId="5" borderId="1" xfId="0" applyFont="1" applyFill="1" applyBorder="1" applyProtection="1">
      <alignment vertical="center"/>
    </xf>
    <xf numFmtId="0" fontId="49" fillId="6" borderId="20" xfId="1" applyFont="1" applyFill="1" applyBorder="1" applyAlignment="1" applyProtection="1">
      <alignment vertical="center"/>
      <protection locked="0"/>
    </xf>
    <xf numFmtId="0" fontId="52" fillId="6" borderId="43" xfId="1" applyFont="1" applyFill="1" applyBorder="1" applyAlignment="1" applyProtection="1">
      <alignment vertical="center"/>
      <protection locked="0"/>
    </xf>
    <xf numFmtId="0" fontId="42" fillId="8" borderId="1" xfId="0" applyFont="1" applyFill="1" applyBorder="1" applyAlignment="1" applyProtection="1">
      <alignment vertical="center"/>
      <protection locked="0"/>
    </xf>
    <xf numFmtId="0" fontId="57" fillId="6" borderId="90" xfId="0" applyFont="1" applyFill="1" applyBorder="1" applyAlignment="1" applyProtection="1">
      <alignment horizontal="center" vertical="center"/>
      <protection locked="0"/>
    </xf>
    <xf numFmtId="0" fontId="49" fillId="6" borderId="64" xfId="1" applyFont="1" applyFill="1" applyBorder="1" applyAlignment="1" applyProtection="1">
      <alignment vertical="center"/>
      <protection locked="0"/>
    </xf>
    <xf numFmtId="0" fontId="132" fillId="5" borderId="24" xfId="1" applyFont="1" applyFill="1" applyBorder="1" applyAlignment="1" applyProtection="1">
      <alignment vertical="center"/>
    </xf>
    <xf numFmtId="0" fontId="52" fillId="6" borderId="17" xfId="1" applyFont="1" applyFill="1" applyBorder="1" applyAlignment="1" applyProtection="1">
      <alignment vertical="center"/>
      <protection locked="0"/>
    </xf>
    <xf numFmtId="0" fontId="39" fillId="0" borderId="35" xfId="0" applyFont="1" applyFill="1" applyBorder="1" applyAlignment="1" applyProtection="1">
      <alignment horizontal="center" vertical="center" wrapText="1"/>
      <protection locked="0"/>
    </xf>
    <xf numFmtId="0" fontId="39" fillId="0" borderId="44" xfId="0" applyFont="1" applyFill="1" applyBorder="1" applyAlignment="1" applyProtection="1">
      <alignment horizontal="center" vertical="center" wrapText="1"/>
      <protection locked="0"/>
    </xf>
    <xf numFmtId="0" fontId="46" fillId="0" borderId="20" xfId="0" applyNumberFormat="1" applyFont="1" applyFill="1" applyBorder="1" applyAlignment="1" applyProtection="1">
      <alignment horizontal="center" vertical="center" wrapText="1"/>
      <protection locked="0"/>
    </xf>
    <xf numFmtId="49" fontId="46" fillId="2" borderId="23" xfId="0" applyNumberFormat="1" applyFont="1" applyFill="1" applyBorder="1" applyAlignment="1" applyProtection="1">
      <alignment horizontal="center" vertical="center" wrapText="1"/>
      <protection locked="0"/>
    </xf>
    <xf numFmtId="0" fontId="46" fillId="5" borderId="16" xfId="0" applyNumberFormat="1" applyFont="1" applyFill="1" applyBorder="1" applyAlignment="1" applyProtection="1">
      <alignment horizontal="center" vertical="center" wrapText="1"/>
    </xf>
    <xf numFmtId="49" fontId="46" fillId="2" borderId="26" xfId="0" applyNumberFormat="1" applyFont="1" applyFill="1" applyBorder="1" applyAlignment="1" applyProtection="1">
      <alignment horizontal="center" vertical="center" wrapText="1"/>
      <protection locked="0"/>
    </xf>
    <xf numFmtId="0" fontId="39" fillId="5" borderId="60" xfId="0" applyFont="1" applyFill="1" applyBorder="1" applyAlignment="1" applyProtection="1">
      <alignment horizontal="center" vertical="center" wrapText="1"/>
    </xf>
    <xf numFmtId="49" fontId="46" fillId="2" borderId="7" xfId="0" applyNumberFormat="1" applyFont="1" applyFill="1" applyBorder="1" applyAlignment="1" applyProtection="1">
      <alignment horizontal="center" vertical="center" wrapText="1"/>
      <protection locked="0"/>
    </xf>
    <xf numFmtId="0" fontId="39" fillId="0" borderId="2" xfId="0" applyFont="1" applyFill="1" applyBorder="1" applyAlignment="1" applyProtection="1">
      <alignment horizontal="center" vertical="center" wrapText="1"/>
      <protection locked="0"/>
    </xf>
    <xf numFmtId="0" fontId="45" fillId="5" borderId="42" xfId="0" applyNumberFormat="1" applyFont="1" applyFill="1" applyBorder="1" applyAlignment="1" applyProtection="1">
      <alignment vertical="center" wrapText="1"/>
    </xf>
    <xf numFmtId="0" fontId="99" fillId="0" borderId="0" xfId="0" applyFont="1" applyFill="1" applyAlignment="1" applyProtection="1">
      <alignment horizontal="left" vertical="center"/>
      <protection locked="0"/>
    </xf>
    <xf numFmtId="0" fontId="53" fillId="5" borderId="96" xfId="0" applyFont="1" applyFill="1" applyBorder="1" applyAlignment="1" applyProtection="1">
      <alignment horizontal="left" vertical="center"/>
    </xf>
    <xf numFmtId="184" fontId="39" fillId="0" borderId="9" xfId="0" applyNumberFormat="1" applyFont="1" applyFill="1" applyBorder="1" applyAlignment="1" applyProtection="1">
      <alignment horizontal="center" vertical="center" wrapText="1"/>
      <protection locked="0"/>
    </xf>
    <xf numFmtId="0" fontId="39" fillId="0" borderId="6" xfId="0" applyFont="1" applyFill="1" applyBorder="1" applyAlignment="1" applyProtection="1">
      <alignment horizontal="center" vertical="center" wrapText="1"/>
      <protection locked="0"/>
    </xf>
    <xf numFmtId="0" fontId="46" fillId="2" borderId="4" xfId="0" applyNumberFormat="1" applyFont="1" applyFill="1" applyBorder="1" applyAlignment="1" applyProtection="1">
      <alignment horizontal="center" vertical="center" wrapText="1"/>
      <protection locked="0"/>
    </xf>
    <xf numFmtId="0" fontId="46" fillId="0" borderId="32" xfId="0" applyNumberFormat="1" applyFont="1" applyFill="1" applyBorder="1" applyAlignment="1" applyProtection="1">
      <alignment horizontal="left" vertical="center" wrapText="1"/>
      <protection locked="0"/>
    </xf>
    <xf numFmtId="0" fontId="57" fillId="5" borderId="32" xfId="0" applyFont="1" applyFill="1" applyBorder="1" applyAlignment="1" applyProtection="1">
      <alignment vertical="center"/>
      <protection locked="0"/>
    </xf>
    <xf numFmtId="0" fontId="39" fillId="0" borderId="51" xfId="0" applyNumberFormat="1" applyFont="1" applyFill="1" applyBorder="1" applyAlignment="1" applyProtection="1">
      <alignment horizontal="center" vertical="center" wrapText="1"/>
      <protection locked="0"/>
    </xf>
    <xf numFmtId="0" fontId="46" fillId="5" borderId="22" xfId="0" applyNumberFormat="1" applyFont="1" applyFill="1" applyBorder="1" applyAlignment="1" applyProtection="1">
      <alignment horizontal="center" vertical="center" wrapText="1"/>
    </xf>
    <xf numFmtId="0" fontId="57" fillId="2" borderId="75" xfId="0" applyFont="1" applyFill="1" applyBorder="1" applyAlignment="1" applyProtection="1">
      <alignment horizontal="center" vertical="center"/>
      <protection locked="0"/>
    </xf>
    <xf numFmtId="0" fontId="46" fillId="0" borderId="23" xfId="0" applyNumberFormat="1" applyFont="1" applyFill="1" applyBorder="1" applyAlignment="1" applyProtection="1">
      <alignment horizontal="center" vertical="center" wrapText="1"/>
      <protection locked="0"/>
    </xf>
    <xf numFmtId="0" fontId="46" fillId="0" borderId="52" xfId="0" applyNumberFormat="1" applyFont="1" applyFill="1" applyBorder="1" applyAlignment="1" applyProtection="1">
      <alignment horizontal="center" vertical="center" wrapText="1"/>
      <protection locked="0"/>
    </xf>
    <xf numFmtId="0" fontId="39" fillId="0" borderId="20" xfId="0" applyNumberFormat="1" applyFont="1" applyFill="1" applyBorder="1" applyAlignment="1" applyProtection="1">
      <alignment horizontal="center" vertical="center" wrapText="1"/>
      <protection locked="0"/>
    </xf>
    <xf numFmtId="0" fontId="39" fillId="2" borderId="46" xfId="0" applyNumberFormat="1" applyFont="1" applyFill="1" applyBorder="1" applyAlignment="1" applyProtection="1">
      <alignment horizontal="center" vertical="center" wrapText="1"/>
      <protection locked="0"/>
    </xf>
    <xf numFmtId="0" fontId="39" fillId="2" borderId="65" xfId="0" applyNumberFormat="1" applyFont="1" applyFill="1" applyBorder="1" applyAlignment="1" applyProtection="1">
      <alignment horizontal="center" vertical="center" wrapText="1"/>
      <protection locked="0"/>
    </xf>
    <xf numFmtId="9" fontId="39" fillId="2" borderId="19" xfId="0" applyNumberFormat="1" applyFont="1" applyFill="1" applyBorder="1" applyAlignment="1" applyProtection="1">
      <alignment horizontal="center" vertical="center" wrapText="1"/>
      <protection locked="0"/>
    </xf>
    <xf numFmtId="0" fontId="46" fillId="0" borderId="2" xfId="0" applyFont="1" applyFill="1" applyBorder="1" applyAlignment="1" applyProtection="1">
      <alignment horizontal="center" vertical="center"/>
      <protection locked="0"/>
    </xf>
    <xf numFmtId="0" fontId="44" fillId="0" borderId="20" xfId="0" applyNumberFormat="1" applyFont="1" applyFill="1" applyBorder="1" applyAlignment="1" applyProtection="1">
      <alignment horizontal="center" vertical="center" wrapText="1"/>
      <protection locked="0"/>
    </xf>
    <xf numFmtId="49" fontId="45" fillId="2" borderId="31" xfId="0" applyNumberFormat="1" applyFont="1" applyFill="1" applyBorder="1" applyAlignment="1" applyProtection="1">
      <alignment vertical="center"/>
      <protection locked="0"/>
    </xf>
    <xf numFmtId="0" fontId="46" fillId="6" borderId="11" xfId="0" applyFont="1" applyFill="1" applyBorder="1" applyAlignment="1" applyProtection="1">
      <alignment horizontal="center" vertical="center"/>
      <protection locked="0"/>
    </xf>
    <xf numFmtId="0" fontId="46" fillId="5" borderId="37" xfId="0" applyFont="1" applyFill="1" applyBorder="1" applyAlignment="1" applyProtection="1">
      <alignment horizontal="center" vertical="center" wrapText="1"/>
      <protection locked="0"/>
    </xf>
    <xf numFmtId="0" fontId="99" fillId="5" borderId="0" xfId="0" applyFont="1" applyFill="1" applyAlignment="1" applyProtection="1">
      <alignment horizontal="left" vertical="center"/>
    </xf>
    <xf numFmtId="0" fontId="41" fillId="5" borderId="5" xfId="0" applyNumberFormat="1" applyFont="1" applyFill="1" applyBorder="1" applyAlignment="1" applyProtection="1">
      <alignment vertical="center"/>
    </xf>
    <xf numFmtId="0" fontId="39" fillId="2" borderId="63" xfId="0" applyNumberFormat="1" applyFont="1" applyFill="1" applyBorder="1" applyAlignment="1" applyProtection="1">
      <alignment horizontal="center" vertical="center" wrapText="1"/>
      <protection locked="0"/>
    </xf>
    <xf numFmtId="0" fontId="46" fillId="5" borderId="26" xfId="0" applyNumberFormat="1" applyFont="1" applyFill="1" applyBorder="1" applyAlignment="1" applyProtection="1">
      <alignment horizontal="center" vertical="center" wrapText="1"/>
    </xf>
    <xf numFmtId="0" fontId="46" fillId="0" borderId="6" xfId="0" applyFont="1" applyFill="1" applyBorder="1" applyAlignment="1" applyProtection="1">
      <alignment horizontal="center" vertical="center"/>
      <protection locked="0"/>
    </xf>
    <xf numFmtId="0" fontId="44" fillId="0" borderId="43" xfId="0" applyFont="1" applyFill="1" applyBorder="1" applyAlignment="1" applyProtection="1">
      <alignment horizontal="center" vertical="center"/>
      <protection locked="0"/>
    </xf>
    <xf numFmtId="0" fontId="41" fillId="5" borderId="1" xfId="0" applyNumberFormat="1" applyFont="1" applyFill="1" applyBorder="1" applyAlignment="1" applyProtection="1">
      <alignment horizontal="center" vertical="center" wrapText="1"/>
    </xf>
    <xf numFmtId="0" fontId="44" fillId="5" borderId="71" xfId="0" applyNumberFormat="1" applyFont="1" applyFill="1" applyBorder="1" applyAlignment="1" applyProtection="1">
      <alignment horizontal="center" vertical="center" wrapText="1"/>
      <protection locked="0"/>
    </xf>
    <xf numFmtId="0" fontId="48" fillId="5" borderId="1" xfId="0" applyNumberFormat="1" applyFont="1" applyFill="1" applyBorder="1" applyAlignment="1" applyProtection="1">
      <alignment horizontal="left" vertical="center" wrapText="1"/>
    </xf>
    <xf numFmtId="0" fontId="48" fillId="5" borderId="3" xfId="0" applyNumberFormat="1" applyFont="1" applyFill="1" applyBorder="1" applyAlignment="1" applyProtection="1">
      <alignment horizontal="left" vertical="center" wrapText="1"/>
    </xf>
    <xf numFmtId="0" fontId="48" fillId="5" borderId="1" xfId="0" applyFont="1" applyFill="1" applyBorder="1" applyAlignment="1" applyProtection="1">
      <alignment horizontal="left" vertical="center"/>
      <protection locked="0"/>
    </xf>
    <xf numFmtId="0" fontId="45" fillId="5" borderId="18" xfId="0" applyFont="1" applyFill="1" applyBorder="1" applyAlignment="1" applyProtection="1">
      <alignment horizontal="left" vertical="center" wrapText="1"/>
    </xf>
    <xf numFmtId="0" fontId="49" fillId="5" borderId="66" xfId="0" applyFont="1" applyFill="1" applyBorder="1" applyAlignment="1" applyProtection="1">
      <alignment horizontal="left" vertical="center" wrapText="1"/>
    </xf>
    <xf numFmtId="0" fontId="49" fillId="5" borderId="11" xfId="0" applyFont="1" applyFill="1" applyBorder="1" applyAlignment="1" applyProtection="1">
      <alignment horizontal="left" vertical="center" wrapText="1"/>
    </xf>
    <xf numFmtId="0" fontId="48" fillId="5" borderId="18" xfId="0" applyFont="1" applyFill="1" applyBorder="1" applyAlignment="1" applyProtection="1">
      <alignment horizontal="left" vertical="center" wrapText="1"/>
    </xf>
    <xf numFmtId="0" fontId="49" fillId="5" borderId="57" xfId="0" applyFont="1" applyFill="1" applyBorder="1" applyAlignment="1" applyProtection="1">
      <alignment horizontal="left" vertical="center" wrapText="1"/>
    </xf>
    <xf numFmtId="0" fontId="101" fillId="5" borderId="18" xfId="0" applyFont="1" applyFill="1" applyBorder="1" applyAlignment="1" applyProtection="1">
      <alignment horizontal="left" vertical="center" wrapText="1"/>
    </xf>
    <xf numFmtId="0" fontId="101" fillId="5" borderId="17" xfId="0" applyFont="1" applyFill="1" applyBorder="1" applyAlignment="1" applyProtection="1">
      <alignment horizontal="left" vertical="center" wrapText="1"/>
    </xf>
    <xf numFmtId="0" fontId="101" fillId="5" borderId="71" xfId="0" applyFont="1" applyFill="1" applyBorder="1" applyAlignment="1" applyProtection="1">
      <alignment horizontal="left" vertical="center" wrapText="1"/>
    </xf>
    <xf numFmtId="0" fontId="45" fillId="5" borderId="84" xfId="0" applyFont="1" applyFill="1" applyBorder="1" applyAlignment="1" applyProtection="1">
      <alignment horizontal="left" vertical="center" wrapText="1"/>
    </xf>
    <xf numFmtId="0" fontId="45" fillId="5" borderId="57" xfId="0" applyFont="1" applyFill="1" applyBorder="1" applyAlignment="1" applyProtection="1">
      <alignment horizontal="left" vertical="center" wrapText="1"/>
    </xf>
    <xf numFmtId="0" fontId="45" fillId="6" borderId="11" xfId="0" applyFont="1" applyFill="1" applyBorder="1" applyAlignment="1" applyProtection="1">
      <alignment horizontal="left" vertical="center" wrapText="1"/>
      <protection locked="0"/>
    </xf>
    <xf numFmtId="0" fontId="46" fillId="5" borderId="1" xfId="0" applyFont="1" applyFill="1" applyBorder="1" applyAlignment="1" applyProtection="1">
      <alignment horizontal="left" vertical="center" wrapText="1"/>
    </xf>
    <xf numFmtId="0" fontId="45" fillId="5" borderId="61" xfId="0" applyFont="1" applyFill="1" applyBorder="1" applyAlignment="1" applyProtection="1">
      <alignment horizontal="left" vertical="center" wrapText="1"/>
    </xf>
    <xf numFmtId="0" fontId="45" fillId="5" borderId="13" xfId="0" applyFont="1" applyFill="1" applyBorder="1" applyAlignment="1" applyProtection="1">
      <alignment horizontal="left" vertical="center" wrapText="1"/>
    </xf>
    <xf numFmtId="0" fontId="46" fillId="5" borderId="0" xfId="0" applyFont="1" applyFill="1" applyBorder="1" applyAlignment="1" applyProtection="1">
      <alignment horizontal="left" vertical="center" wrapText="1"/>
    </xf>
    <xf numFmtId="0" fontId="48" fillId="5" borderId="3" xfId="0" applyFont="1" applyFill="1" applyBorder="1" applyAlignment="1" applyProtection="1">
      <alignment horizontal="left" vertical="center" wrapText="1"/>
    </xf>
    <xf numFmtId="0" fontId="48" fillId="5" borderId="56" xfId="0" applyFont="1" applyFill="1" applyBorder="1" applyAlignment="1" applyProtection="1">
      <alignment horizontal="left" vertical="center" wrapText="1"/>
    </xf>
    <xf numFmtId="0" fontId="49" fillId="5" borderId="21" xfId="0" applyFont="1" applyFill="1" applyBorder="1" applyAlignment="1" applyProtection="1">
      <alignment horizontal="left" vertical="center" wrapText="1"/>
    </xf>
    <xf numFmtId="0" fontId="48" fillId="8" borderId="0" xfId="0" applyFont="1" applyFill="1" applyAlignment="1" applyProtection="1">
      <alignment horizontal="left" vertical="center" wrapText="1"/>
      <protection locked="0"/>
    </xf>
    <xf numFmtId="0" fontId="48" fillId="0" borderId="0" xfId="0" applyFont="1" applyAlignment="1" applyProtection="1">
      <alignment horizontal="left" vertical="center" wrapText="1"/>
    </xf>
    <xf numFmtId="0" fontId="45" fillId="6" borderId="1" xfId="1" applyFont="1" applyFill="1" applyBorder="1" applyAlignment="1" applyProtection="1">
      <alignment vertical="center"/>
      <protection locked="0"/>
    </xf>
    <xf numFmtId="49" fontId="45" fillId="6" borderId="1" xfId="0" applyNumberFormat="1" applyFont="1" applyFill="1" applyBorder="1" applyAlignment="1" applyProtection="1">
      <protection locked="0"/>
    </xf>
    <xf numFmtId="49" fontId="45" fillId="5" borderId="0" xfId="0" applyNumberFormat="1" applyFont="1" applyFill="1" applyBorder="1" applyAlignment="1" applyProtection="1">
      <protection locked="0"/>
    </xf>
    <xf numFmtId="177" fontId="45" fillId="5" borderId="65" xfId="0" applyNumberFormat="1" applyFont="1" applyFill="1" applyBorder="1" applyAlignment="1" applyProtection="1"/>
    <xf numFmtId="0" fontId="30" fillId="5" borderId="9" xfId="0" applyFont="1" applyFill="1" applyBorder="1" applyAlignment="1" applyProtection="1">
      <alignment vertical="center" wrapText="1"/>
    </xf>
    <xf numFmtId="0" fontId="45" fillId="5" borderId="71" xfId="0" applyFont="1" applyFill="1" applyBorder="1" applyAlignment="1" applyProtection="1">
      <alignment horizontal="left" vertical="center" wrapText="1"/>
    </xf>
    <xf numFmtId="0" fontId="49" fillId="5" borderId="4" xfId="0" applyFont="1" applyFill="1" applyBorder="1" applyAlignment="1" applyProtection="1">
      <alignment horizontal="left" vertical="center" wrapText="1"/>
    </xf>
    <xf numFmtId="0" fontId="48" fillId="5" borderId="8" xfId="0" applyFont="1" applyFill="1" applyBorder="1" applyAlignment="1" applyProtection="1">
      <alignment horizontal="left" vertical="center"/>
    </xf>
    <xf numFmtId="0" fontId="30" fillId="5" borderId="18" xfId="0" applyFont="1" applyFill="1" applyBorder="1" applyAlignment="1" applyProtection="1">
      <alignment vertical="center"/>
    </xf>
    <xf numFmtId="0" fontId="171" fillId="0" borderId="0" xfId="13" applyFont="1" applyBorder="1" applyAlignment="1" applyProtection="1">
      <alignment horizontal="left" vertical="center" wrapText="1"/>
      <protection locked="0"/>
    </xf>
    <xf numFmtId="0" fontId="39" fillId="5" borderId="1" xfId="0" applyFont="1" applyFill="1" applyBorder="1" applyAlignment="1" applyProtection="1">
      <alignment horizontal="left" vertical="center" wrapText="1"/>
    </xf>
    <xf numFmtId="0" fontId="41" fillId="5" borderId="22" xfId="0" applyFont="1" applyFill="1" applyBorder="1" applyAlignment="1" applyProtection="1">
      <alignment horizontal="left" vertical="center" wrapText="1"/>
    </xf>
    <xf numFmtId="0" fontId="100" fillId="5" borderId="85" xfId="0" applyFont="1" applyFill="1" applyBorder="1" applyAlignment="1" applyProtection="1">
      <alignment horizontal="left" vertical="center"/>
    </xf>
    <xf numFmtId="0" fontId="57" fillId="5" borderId="126" xfId="0" applyFont="1" applyFill="1" applyBorder="1" applyAlignment="1" applyProtection="1">
      <alignment horizontal="left" vertical="center"/>
    </xf>
    <xf numFmtId="0" fontId="52" fillId="6" borderId="89" xfId="1" applyFont="1" applyFill="1" applyBorder="1" applyAlignment="1" applyProtection="1">
      <alignment horizontal="left" vertical="center"/>
      <protection locked="0"/>
    </xf>
    <xf numFmtId="0" fontId="52" fillId="5" borderId="90" xfId="0" applyFont="1" applyFill="1" applyBorder="1" applyAlignment="1" applyProtection="1">
      <alignment horizontal="left" vertical="center"/>
      <protection locked="0"/>
    </xf>
    <xf numFmtId="0" fontId="57" fillId="6" borderId="90" xfId="0" applyFont="1" applyFill="1" applyBorder="1" applyAlignment="1" applyProtection="1">
      <alignment horizontal="left" vertical="center"/>
      <protection locked="0"/>
    </xf>
    <xf numFmtId="0" fontId="65" fillId="5" borderId="126" xfId="0" applyFont="1" applyFill="1" applyBorder="1" applyAlignment="1" applyProtection="1">
      <alignment horizontal="left" vertical="center"/>
    </xf>
    <xf numFmtId="189" fontId="57" fillId="5" borderId="126" xfId="0" applyNumberFormat="1" applyFont="1" applyFill="1" applyBorder="1" applyAlignment="1" applyProtection="1">
      <alignment horizontal="left" vertical="center"/>
    </xf>
    <xf numFmtId="181" fontId="57" fillId="5" borderId="126" xfId="0" applyNumberFormat="1" applyFont="1" applyFill="1" applyBorder="1" applyAlignment="1" applyProtection="1">
      <alignment horizontal="left" vertical="center"/>
    </xf>
    <xf numFmtId="0" fontId="57" fillId="5" borderId="165" xfId="0" applyFont="1" applyFill="1" applyBorder="1" applyAlignment="1" applyProtection="1">
      <alignment horizontal="left" vertical="center"/>
    </xf>
    <xf numFmtId="0" fontId="57" fillId="5" borderId="90" xfId="0" applyFont="1" applyFill="1" applyBorder="1" applyAlignment="1" applyProtection="1">
      <alignment horizontal="left" vertical="center"/>
    </xf>
    <xf numFmtId="0" fontId="59" fillId="5" borderId="90" xfId="0" applyFont="1" applyFill="1" applyBorder="1" applyAlignment="1" applyProtection="1">
      <alignment horizontal="left" vertical="center"/>
    </xf>
    <xf numFmtId="0" fontId="59" fillId="0" borderId="90" xfId="0" applyFont="1" applyFill="1" applyBorder="1" applyAlignment="1" applyProtection="1">
      <alignment horizontal="left" vertical="center"/>
      <protection locked="0"/>
    </xf>
    <xf numFmtId="0" fontId="52" fillId="5" borderId="17" xfId="1" applyFont="1" applyFill="1" applyBorder="1" applyAlignment="1" applyProtection="1">
      <alignment horizontal="left" vertical="center"/>
    </xf>
    <xf numFmtId="0" fontId="52" fillId="5" borderId="17" xfId="0" applyFont="1" applyFill="1" applyBorder="1" applyAlignment="1" applyProtection="1">
      <alignment horizontal="left" vertical="center"/>
    </xf>
    <xf numFmtId="0" fontId="52" fillId="5" borderId="0" xfId="1" applyFont="1" applyFill="1" applyBorder="1" applyAlignment="1" applyProtection="1">
      <alignment horizontal="left" vertical="center"/>
    </xf>
    <xf numFmtId="0" fontId="49" fillId="6" borderId="64" xfId="1" applyFont="1" applyFill="1" applyBorder="1" applyAlignment="1" applyProtection="1">
      <alignment horizontal="left" vertical="center"/>
      <protection locked="0"/>
    </xf>
    <xf numFmtId="0" fontId="52" fillId="5" borderId="17" xfId="0" applyFont="1" applyFill="1" applyBorder="1" applyAlignment="1" applyProtection="1">
      <alignment horizontal="left" vertical="center"/>
      <protection locked="0"/>
    </xf>
    <xf numFmtId="0" fontId="132" fillId="5" borderId="24" xfId="1" applyFont="1" applyFill="1" applyBorder="1" applyAlignment="1" applyProtection="1">
      <alignment horizontal="left" vertical="center"/>
    </xf>
    <xf numFmtId="0" fontId="52" fillId="6" borderId="17" xfId="1" applyFont="1" applyFill="1" applyBorder="1" applyAlignment="1" applyProtection="1">
      <alignment horizontal="left" vertical="center"/>
      <protection locked="0"/>
    </xf>
    <xf numFmtId="0" fontId="52" fillId="5" borderId="39" xfId="0" applyFont="1" applyFill="1" applyBorder="1" applyAlignment="1" applyProtection="1">
      <alignment horizontal="left" vertical="center"/>
    </xf>
    <xf numFmtId="0" fontId="52" fillId="5" borderId="0" xfId="0" applyFont="1" applyFill="1" applyBorder="1" applyAlignment="1" applyProtection="1">
      <alignment horizontal="left" vertical="center"/>
    </xf>
    <xf numFmtId="0" fontId="53" fillId="5" borderId="0" xfId="0" applyFont="1" applyFill="1" applyBorder="1" applyAlignment="1" applyProtection="1">
      <alignment horizontal="left" vertical="center"/>
    </xf>
    <xf numFmtId="0" fontId="52" fillId="5" borderId="18" xfId="1" applyFont="1" applyFill="1" applyBorder="1" applyAlignment="1" applyProtection="1">
      <alignment horizontal="left" vertical="center"/>
    </xf>
    <xf numFmtId="0" fontId="52" fillId="5" borderId="18" xfId="0" applyFont="1" applyFill="1" applyBorder="1" applyAlignment="1" applyProtection="1">
      <alignment horizontal="left" vertical="center"/>
    </xf>
    <xf numFmtId="0" fontId="52" fillId="5" borderId="39" xfId="0" applyFont="1" applyFill="1" applyBorder="1" applyAlignment="1" applyProtection="1">
      <alignment horizontal="left" vertical="center"/>
      <protection locked="0"/>
    </xf>
    <xf numFmtId="0" fontId="53" fillId="5" borderId="0" xfId="0" applyFont="1" applyFill="1" applyAlignment="1" applyProtection="1">
      <alignment horizontal="left" vertical="center"/>
    </xf>
    <xf numFmtId="0" fontId="45" fillId="5" borderId="5" xfId="0" applyFont="1" applyFill="1" applyBorder="1" applyAlignment="1" applyProtection="1">
      <alignment horizontal="left" vertical="center" wrapText="1"/>
    </xf>
    <xf numFmtId="0" fontId="45" fillId="5" borderId="37" xfId="0" applyFont="1" applyFill="1" applyBorder="1" applyAlignment="1" applyProtection="1">
      <alignment horizontal="left" vertical="center" wrapText="1"/>
    </xf>
    <xf numFmtId="189" fontId="39" fillId="5" borderId="38" xfId="0" applyNumberFormat="1" applyFont="1" applyFill="1" applyBorder="1" applyAlignment="1" applyProtection="1">
      <alignment horizontal="left" vertical="center" wrapText="1"/>
    </xf>
    <xf numFmtId="0" fontId="46" fillId="5" borderId="49" xfId="0" applyFont="1" applyFill="1" applyBorder="1" applyAlignment="1" applyProtection="1">
      <alignment horizontal="left" vertical="center"/>
    </xf>
    <xf numFmtId="0" fontId="46" fillId="0" borderId="0" xfId="0" applyFont="1" applyFill="1" applyAlignment="1" applyProtection="1">
      <alignment horizontal="left" vertical="center"/>
      <protection locked="0"/>
    </xf>
    <xf numFmtId="0" fontId="45" fillId="5" borderId="39" xfId="0" applyFont="1" applyFill="1" applyBorder="1" applyAlignment="1" applyProtection="1">
      <alignment horizontal="left" vertical="center" wrapText="1"/>
    </xf>
    <xf numFmtId="0" fontId="45" fillId="5" borderId="0" xfId="0" applyFont="1" applyFill="1" applyBorder="1" applyAlignment="1" applyProtection="1">
      <alignment horizontal="left" vertical="center" wrapText="1"/>
    </xf>
    <xf numFmtId="189" fontId="39" fillId="5" borderId="41" xfId="0" applyNumberFormat="1" applyFont="1" applyFill="1" applyBorder="1" applyAlignment="1" applyProtection="1">
      <alignment horizontal="left" vertical="center" wrapText="1"/>
    </xf>
    <xf numFmtId="0" fontId="45" fillId="5" borderId="29" xfId="0" applyFont="1" applyFill="1" applyBorder="1" applyAlignment="1" applyProtection="1">
      <alignment horizontal="left" vertical="center" wrapText="1"/>
    </xf>
    <xf numFmtId="0" fontId="45" fillId="5" borderId="40" xfId="0" applyFont="1" applyFill="1" applyBorder="1" applyAlignment="1" applyProtection="1">
      <alignment horizontal="left" vertical="center" wrapText="1"/>
    </xf>
    <xf numFmtId="0" fontId="41" fillId="5" borderId="55" xfId="0" applyFont="1" applyFill="1" applyBorder="1" applyAlignment="1" applyProtection="1">
      <alignment horizontal="left" vertical="center" wrapText="1"/>
    </xf>
    <xf numFmtId="0" fontId="41" fillId="5" borderId="66" xfId="0" applyFont="1" applyFill="1" applyBorder="1" applyAlignment="1" applyProtection="1">
      <alignment horizontal="left" vertical="center" wrapText="1"/>
    </xf>
    <xf numFmtId="184" fontId="39" fillId="5" borderId="9" xfId="0" applyNumberFormat="1" applyFont="1" applyFill="1" applyBorder="1" applyAlignment="1" applyProtection="1">
      <alignment horizontal="left" vertical="center" wrapText="1"/>
    </xf>
    <xf numFmtId="0" fontId="39" fillId="5" borderId="15" xfId="0" applyNumberFormat="1" applyFont="1" applyFill="1" applyBorder="1" applyAlignment="1" applyProtection="1">
      <alignment horizontal="left" vertical="center" wrapText="1"/>
    </xf>
    <xf numFmtId="184" fontId="39" fillId="0" borderId="67" xfId="0" applyNumberFormat="1" applyFont="1" applyFill="1" applyBorder="1" applyAlignment="1" applyProtection="1">
      <alignment horizontal="left" vertical="center" wrapText="1"/>
      <protection locked="0"/>
    </xf>
    <xf numFmtId="0" fontId="39" fillId="5" borderId="14" xfId="0" applyNumberFormat="1" applyFont="1" applyFill="1" applyBorder="1" applyAlignment="1" applyProtection="1">
      <alignment horizontal="left" vertical="center" wrapText="1"/>
    </xf>
    <xf numFmtId="0" fontId="39" fillId="5" borderId="41" xfId="0" applyNumberFormat="1" applyFont="1" applyFill="1" applyBorder="1" applyAlignment="1" applyProtection="1">
      <alignment horizontal="left" vertical="center" wrapText="1"/>
    </xf>
    <xf numFmtId="0" fontId="39" fillId="5" borderId="0" xfId="0" applyFont="1" applyFill="1" applyBorder="1" applyAlignment="1" applyProtection="1">
      <alignment horizontal="left" vertical="center"/>
      <protection locked="0"/>
    </xf>
    <xf numFmtId="188" fontId="39" fillId="5" borderId="2" xfId="0" applyNumberFormat="1" applyFont="1" applyFill="1" applyBorder="1" applyAlignment="1" applyProtection="1">
      <alignment horizontal="left" vertical="center"/>
    </xf>
    <xf numFmtId="49" fontId="39" fillId="5" borderId="3" xfId="0" applyNumberFormat="1" applyFont="1" applyFill="1" applyBorder="1" applyAlignment="1" applyProtection="1">
      <alignment horizontal="left" vertical="center"/>
    </xf>
    <xf numFmtId="0" fontId="39" fillId="5" borderId="49" xfId="0" applyFont="1" applyFill="1" applyBorder="1" applyAlignment="1" applyProtection="1">
      <alignment horizontal="left" vertical="center"/>
    </xf>
    <xf numFmtId="0" fontId="39" fillId="5" borderId="1" xfId="0" applyNumberFormat="1" applyFont="1" applyFill="1" applyBorder="1" applyAlignment="1" applyProtection="1">
      <alignment horizontal="left" vertical="center"/>
    </xf>
    <xf numFmtId="0" fontId="39" fillId="0" borderId="0" xfId="0" applyFont="1" applyFill="1" applyAlignment="1" applyProtection="1">
      <alignment horizontal="left" vertical="center"/>
      <protection locked="0"/>
    </xf>
    <xf numFmtId="49" fontId="39" fillId="2" borderId="9" xfId="0" applyNumberFormat="1" applyFont="1" applyFill="1" applyBorder="1" applyAlignment="1" applyProtection="1">
      <alignment horizontal="left" vertical="center" wrapText="1"/>
      <protection locked="0"/>
    </xf>
    <xf numFmtId="49" fontId="39" fillId="2" borderId="67" xfId="0" applyNumberFormat="1" applyFont="1" applyFill="1" applyBorder="1" applyAlignment="1" applyProtection="1">
      <alignment horizontal="left" vertical="center" wrapText="1"/>
      <protection locked="0"/>
    </xf>
    <xf numFmtId="0" fontId="39" fillId="5" borderId="13" xfId="0" applyFont="1" applyFill="1" applyBorder="1" applyAlignment="1" applyProtection="1">
      <alignment horizontal="left" vertical="center" wrapText="1"/>
    </xf>
    <xf numFmtId="0" fontId="39" fillId="0" borderId="46" xfId="0" applyNumberFormat="1" applyFont="1" applyFill="1" applyBorder="1" applyAlignment="1" applyProtection="1">
      <alignment horizontal="left" vertical="center" wrapText="1"/>
      <protection locked="0"/>
    </xf>
    <xf numFmtId="0" fontId="39" fillId="5" borderId="31" xfId="0" applyNumberFormat="1" applyFont="1" applyFill="1" applyBorder="1" applyAlignment="1" applyProtection="1">
      <alignment horizontal="left" vertical="center" wrapText="1"/>
    </xf>
    <xf numFmtId="49" fontId="39" fillId="2" borderId="28" xfId="0" applyNumberFormat="1" applyFont="1" applyFill="1" applyBorder="1" applyAlignment="1" applyProtection="1">
      <alignment horizontal="left" vertical="center" wrapText="1"/>
      <protection locked="0"/>
    </xf>
    <xf numFmtId="0" fontId="39" fillId="5" borderId="13" xfId="0" applyNumberFormat="1" applyFont="1" applyFill="1" applyBorder="1" applyAlignment="1" applyProtection="1">
      <alignment horizontal="left" vertical="center" wrapText="1"/>
    </xf>
    <xf numFmtId="49" fontId="39" fillId="2" borderId="4" xfId="0" applyNumberFormat="1" applyFont="1" applyFill="1" applyBorder="1" applyAlignment="1" applyProtection="1">
      <alignment horizontal="left" vertical="center" wrapText="1"/>
      <protection locked="0"/>
    </xf>
    <xf numFmtId="0" fontId="39" fillId="5" borderId="1" xfId="0" applyFont="1" applyFill="1" applyBorder="1" applyAlignment="1" applyProtection="1">
      <alignment horizontal="left" vertical="center"/>
    </xf>
    <xf numFmtId="0" fontId="66" fillId="5" borderId="26" xfId="0" applyFont="1" applyFill="1" applyBorder="1" applyAlignment="1" applyProtection="1">
      <alignment horizontal="left" vertical="center" wrapText="1"/>
    </xf>
    <xf numFmtId="0" fontId="39" fillId="5" borderId="2" xfId="0" applyFont="1" applyFill="1" applyBorder="1" applyAlignment="1" applyProtection="1">
      <alignment horizontal="left" vertical="center" wrapText="1"/>
    </xf>
    <xf numFmtId="49" fontId="39" fillId="2" borderId="7" xfId="0" applyNumberFormat="1" applyFont="1" applyFill="1" applyBorder="1" applyAlignment="1" applyProtection="1">
      <alignment horizontal="left" vertical="center" wrapText="1"/>
      <protection locked="0"/>
    </xf>
    <xf numFmtId="0" fontId="39" fillId="5" borderId="6" xfId="0" applyNumberFormat="1" applyFont="1" applyFill="1" applyBorder="1" applyAlignment="1" applyProtection="1">
      <alignment horizontal="left" vertical="center" wrapText="1"/>
    </xf>
    <xf numFmtId="49" fontId="39" fillId="2" borderId="3" xfId="0" applyNumberFormat="1" applyFont="1" applyFill="1" applyBorder="1" applyAlignment="1" applyProtection="1">
      <alignment horizontal="left" vertical="center" wrapText="1"/>
      <protection locked="0"/>
    </xf>
    <xf numFmtId="0" fontId="39" fillId="5" borderId="2" xfId="0" applyNumberFormat="1" applyFont="1" applyFill="1" applyBorder="1" applyAlignment="1" applyProtection="1">
      <alignment horizontal="left" vertical="center" wrapText="1"/>
    </xf>
    <xf numFmtId="0" fontId="53" fillId="0" borderId="41" xfId="0" applyNumberFormat="1" applyFont="1" applyFill="1" applyBorder="1" applyAlignment="1" applyProtection="1">
      <alignment horizontal="left" vertical="center" wrapText="1"/>
      <protection locked="0"/>
    </xf>
    <xf numFmtId="0" fontId="67" fillId="0" borderId="0" xfId="0" applyFont="1" applyFill="1" applyAlignment="1" applyProtection="1">
      <alignment horizontal="left" vertical="center"/>
      <protection locked="0"/>
    </xf>
    <xf numFmtId="0" fontId="45" fillId="5" borderId="26" xfId="0" applyFont="1" applyFill="1" applyBorder="1" applyAlignment="1" applyProtection="1">
      <alignment horizontal="left" vertical="center" wrapText="1"/>
    </xf>
    <xf numFmtId="0" fontId="39" fillId="0" borderId="7" xfId="0" applyNumberFormat="1" applyFont="1" applyFill="1" applyBorder="1" applyAlignment="1" applyProtection="1">
      <alignment horizontal="left" vertical="center" wrapText="1"/>
      <protection locked="0"/>
    </xf>
    <xf numFmtId="0" fontId="39" fillId="0" borderId="3" xfId="0" applyNumberFormat="1" applyFont="1" applyFill="1" applyBorder="1" applyAlignment="1" applyProtection="1">
      <alignment horizontal="left" vertical="center" wrapText="1"/>
      <protection locked="0"/>
    </xf>
    <xf numFmtId="0" fontId="41" fillId="5" borderId="26" xfId="0" applyFont="1" applyFill="1" applyBorder="1" applyAlignment="1" applyProtection="1">
      <alignment horizontal="left" vertical="center" wrapText="1"/>
    </xf>
    <xf numFmtId="0" fontId="39" fillId="0" borderId="35" xfId="0" applyFont="1" applyFill="1" applyBorder="1" applyAlignment="1" applyProtection="1">
      <alignment horizontal="left" vertical="center" wrapText="1"/>
      <protection locked="0"/>
    </xf>
    <xf numFmtId="0" fontId="39" fillId="0" borderId="23" xfId="0" applyNumberFormat="1" applyFont="1" applyFill="1" applyBorder="1" applyAlignment="1" applyProtection="1">
      <alignment horizontal="left" vertical="center" wrapText="1"/>
      <protection locked="0"/>
    </xf>
    <xf numFmtId="0" fontId="39" fillId="5" borderId="68" xfId="0" applyNumberFormat="1" applyFont="1" applyFill="1" applyBorder="1" applyAlignment="1" applyProtection="1">
      <alignment horizontal="left" vertical="center" wrapText="1"/>
    </xf>
    <xf numFmtId="0" fontId="53" fillId="5" borderId="41" xfId="0" applyNumberFormat="1" applyFont="1" applyFill="1" applyBorder="1" applyAlignment="1" applyProtection="1">
      <alignment horizontal="left" vertical="center" wrapText="1"/>
    </xf>
    <xf numFmtId="0" fontId="46" fillId="0" borderId="19" xfId="0" applyNumberFormat="1" applyFont="1" applyFill="1" applyBorder="1" applyAlignment="1" applyProtection="1">
      <alignment horizontal="left" vertical="center" wrapText="1"/>
      <protection locked="0"/>
    </xf>
    <xf numFmtId="0" fontId="46" fillId="5" borderId="6" xfId="0" applyNumberFormat="1" applyFont="1" applyFill="1" applyBorder="1" applyAlignment="1" applyProtection="1">
      <alignment horizontal="left" vertical="center" wrapText="1"/>
    </xf>
    <xf numFmtId="0" fontId="45" fillId="5" borderId="42" xfId="0" applyFont="1" applyFill="1" applyBorder="1" applyAlignment="1" applyProtection="1">
      <alignment horizontal="left" vertical="center" wrapText="1"/>
    </xf>
    <xf numFmtId="0" fontId="39" fillId="0" borderId="44" xfId="0" applyFont="1" applyFill="1" applyBorder="1" applyAlignment="1" applyProtection="1">
      <alignment horizontal="left" vertical="center" wrapText="1"/>
      <protection locked="0"/>
    </xf>
    <xf numFmtId="0" fontId="46" fillId="0" borderId="20" xfId="0" applyNumberFormat="1" applyFont="1" applyFill="1" applyBorder="1" applyAlignment="1" applyProtection="1">
      <alignment horizontal="left" vertical="center" wrapText="1"/>
      <protection locked="0"/>
    </xf>
    <xf numFmtId="0" fontId="46" fillId="5" borderId="43" xfId="0" applyNumberFormat="1" applyFont="1" applyFill="1" applyBorder="1" applyAlignment="1" applyProtection="1">
      <alignment horizontal="left" vertical="center" wrapText="1"/>
    </xf>
    <xf numFmtId="0" fontId="46" fillId="5" borderId="44" xfId="0" applyNumberFormat="1" applyFont="1" applyFill="1" applyBorder="1" applyAlignment="1" applyProtection="1">
      <alignment horizontal="left" vertical="center" wrapText="1"/>
    </xf>
    <xf numFmtId="0" fontId="45" fillId="5" borderId="22" xfId="0" applyFont="1" applyFill="1" applyBorder="1" applyAlignment="1" applyProtection="1">
      <alignment horizontal="left" vertical="center" wrapText="1"/>
    </xf>
    <xf numFmtId="0" fontId="39" fillId="5" borderId="12" xfId="0" applyFont="1" applyFill="1" applyBorder="1" applyAlignment="1" applyProtection="1">
      <alignment horizontal="left" vertical="center" wrapText="1"/>
    </xf>
    <xf numFmtId="49" fontId="46" fillId="5" borderId="22" xfId="0" applyNumberFormat="1" applyFont="1" applyFill="1" applyBorder="1" applyAlignment="1" applyProtection="1">
      <alignment horizontal="left" vertical="center" wrapText="1"/>
    </xf>
    <xf numFmtId="0" fontId="46" fillId="5" borderId="59" xfId="0" applyNumberFormat="1" applyFont="1" applyFill="1" applyBorder="1" applyAlignment="1" applyProtection="1">
      <alignment horizontal="left" vertical="center" wrapText="1"/>
    </xf>
    <xf numFmtId="49" fontId="46" fillId="0" borderId="21" xfId="0" applyNumberFormat="1" applyFont="1" applyFill="1" applyBorder="1" applyAlignment="1" applyProtection="1">
      <alignment horizontal="left" vertical="center" wrapText="1"/>
      <protection locked="0"/>
    </xf>
    <xf numFmtId="0" fontId="46" fillId="5" borderId="12" xfId="0" applyNumberFormat="1" applyFont="1" applyFill="1" applyBorder="1" applyAlignment="1" applyProtection="1">
      <alignment horizontal="left" vertical="center" wrapText="1"/>
    </xf>
    <xf numFmtId="49" fontId="46" fillId="0" borderId="22" xfId="0" applyNumberFormat="1" applyFont="1" applyFill="1" applyBorder="1" applyAlignment="1" applyProtection="1">
      <alignment horizontal="left" vertical="center" wrapText="1"/>
      <protection locked="0"/>
    </xf>
    <xf numFmtId="0" fontId="53" fillId="0" borderId="69" xfId="0" applyNumberFormat="1" applyFont="1" applyFill="1" applyBorder="1" applyAlignment="1" applyProtection="1">
      <alignment horizontal="left" vertical="center" wrapText="1"/>
      <protection locked="0"/>
    </xf>
    <xf numFmtId="188" fontId="46" fillId="5" borderId="2" xfId="0" applyNumberFormat="1" applyFont="1" applyFill="1" applyBorder="1" applyAlignment="1" applyProtection="1">
      <alignment horizontal="left" vertical="center"/>
    </xf>
    <xf numFmtId="49" fontId="46" fillId="5" borderId="3" xfId="0" applyNumberFormat="1" applyFont="1" applyFill="1" applyBorder="1" applyAlignment="1" applyProtection="1">
      <alignment horizontal="left" vertical="center"/>
    </xf>
    <xf numFmtId="0" fontId="46" fillId="5" borderId="1" xfId="0" applyFont="1" applyFill="1" applyBorder="1" applyAlignment="1" applyProtection="1">
      <alignment horizontal="left" vertical="center"/>
    </xf>
    <xf numFmtId="0" fontId="46" fillId="5" borderId="1" xfId="0" applyNumberFormat="1" applyFont="1" applyFill="1" applyBorder="1" applyAlignment="1" applyProtection="1">
      <alignment horizontal="left" vertical="center"/>
    </xf>
    <xf numFmtId="0" fontId="46" fillId="5" borderId="0" xfId="0" applyFont="1" applyFill="1" applyBorder="1" applyAlignment="1" applyProtection="1">
      <alignment horizontal="left" vertical="center"/>
    </xf>
    <xf numFmtId="0" fontId="46" fillId="2" borderId="23" xfId="0" applyNumberFormat="1" applyFont="1" applyFill="1" applyBorder="1" applyAlignment="1" applyProtection="1">
      <alignment horizontal="left" vertical="center" wrapText="1"/>
      <protection locked="0"/>
    </xf>
    <xf numFmtId="0" fontId="46" fillId="5" borderId="34" xfId="0" applyNumberFormat="1" applyFont="1" applyFill="1" applyBorder="1" applyAlignment="1" applyProtection="1">
      <alignment horizontal="left" vertical="center" wrapText="1"/>
    </xf>
    <xf numFmtId="49" fontId="46" fillId="2" borderId="24" xfId="0" applyNumberFormat="1" applyFont="1" applyFill="1" applyBorder="1" applyAlignment="1" applyProtection="1">
      <alignment horizontal="left" vertical="center" wrapText="1"/>
      <protection locked="0"/>
    </xf>
    <xf numFmtId="0" fontId="46" fillId="5" borderId="64" xfId="0" applyNumberFormat="1" applyFont="1" applyFill="1" applyBorder="1" applyAlignment="1" applyProtection="1">
      <alignment horizontal="left" vertical="center" wrapText="1"/>
    </xf>
    <xf numFmtId="49" fontId="46" fillId="2" borderId="23" xfId="0" applyNumberFormat="1" applyFont="1" applyFill="1" applyBorder="1" applyAlignment="1" applyProtection="1">
      <alignment horizontal="left" vertical="center" wrapText="1"/>
      <protection locked="0"/>
    </xf>
    <xf numFmtId="0" fontId="46" fillId="5" borderId="50" xfId="0" applyNumberFormat="1" applyFont="1" applyFill="1" applyBorder="1" applyAlignment="1" applyProtection="1">
      <alignment horizontal="left" vertical="center" wrapText="1"/>
    </xf>
    <xf numFmtId="0" fontId="53" fillId="5" borderId="45" xfId="0" applyNumberFormat="1" applyFont="1" applyFill="1" applyBorder="1" applyAlignment="1" applyProtection="1">
      <alignment horizontal="left" vertical="center" wrapText="1"/>
    </xf>
    <xf numFmtId="0" fontId="39" fillId="5" borderId="35" xfId="0" applyFont="1" applyFill="1" applyBorder="1" applyAlignment="1" applyProtection="1">
      <alignment horizontal="left" vertical="center" wrapText="1"/>
    </xf>
    <xf numFmtId="0" fontId="46" fillId="5" borderId="16" xfId="0" applyNumberFormat="1" applyFont="1" applyFill="1" applyBorder="1" applyAlignment="1" applyProtection="1">
      <alignment horizontal="left" vertical="center" wrapText="1"/>
    </xf>
    <xf numFmtId="49" fontId="46" fillId="0" borderId="25" xfId="0" applyNumberFormat="1" applyFont="1" applyFill="1" applyBorder="1" applyAlignment="1" applyProtection="1">
      <alignment horizontal="left" vertical="center" wrapText="1"/>
      <protection locked="0"/>
    </xf>
    <xf numFmtId="0" fontId="46" fillId="5" borderId="60" xfId="0" applyNumberFormat="1" applyFont="1" applyFill="1" applyBorder="1" applyAlignment="1" applyProtection="1">
      <alignment horizontal="left" vertical="center" wrapText="1"/>
    </xf>
    <xf numFmtId="49" fontId="46" fillId="0" borderId="26" xfId="0" applyNumberFormat="1" applyFont="1" applyFill="1" applyBorder="1" applyAlignment="1" applyProtection="1">
      <alignment horizontal="left" vertical="center" wrapText="1"/>
      <protection locked="0"/>
    </xf>
    <xf numFmtId="0" fontId="46" fillId="5" borderId="58" xfId="0" applyNumberFormat="1" applyFont="1" applyFill="1" applyBorder="1" applyAlignment="1" applyProtection="1">
      <alignment horizontal="left" vertical="center" wrapText="1"/>
    </xf>
    <xf numFmtId="0" fontId="39" fillId="5" borderId="64" xfId="0" applyFont="1" applyFill="1" applyBorder="1" applyAlignment="1" applyProtection="1">
      <alignment horizontal="left" vertical="center" wrapText="1"/>
    </xf>
    <xf numFmtId="0" fontId="46" fillId="2" borderId="26" xfId="0" applyNumberFormat="1" applyFont="1" applyFill="1" applyBorder="1" applyAlignment="1" applyProtection="1">
      <alignment horizontal="left" vertical="center" wrapText="1"/>
      <protection locked="0"/>
    </xf>
    <xf numFmtId="49" fontId="46" fillId="2" borderId="25" xfId="0" applyNumberFormat="1" applyFont="1" applyFill="1" applyBorder="1" applyAlignment="1" applyProtection="1">
      <alignment horizontal="left" vertical="center" wrapText="1"/>
      <protection locked="0"/>
    </xf>
    <xf numFmtId="49" fontId="46" fillId="2" borderId="26" xfId="0" applyNumberFormat="1" applyFont="1" applyFill="1" applyBorder="1" applyAlignment="1" applyProtection="1">
      <alignment horizontal="left" vertical="center" wrapText="1"/>
      <protection locked="0"/>
    </xf>
    <xf numFmtId="49" fontId="46" fillId="0" borderId="27" xfId="0" applyNumberFormat="1" applyFont="1" applyFill="1" applyBorder="1" applyAlignment="1" applyProtection="1">
      <alignment horizontal="left" vertical="center" wrapText="1"/>
      <protection locked="0"/>
    </xf>
    <xf numFmtId="0" fontId="46" fillId="5" borderId="35" xfId="0" applyNumberFormat="1" applyFont="1" applyFill="1" applyBorder="1" applyAlignment="1" applyProtection="1">
      <alignment horizontal="left" vertical="center" wrapText="1"/>
    </xf>
    <xf numFmtId="49" fontId="46" fillId="0" borderId="16" xfId="0" applyNumberFormat="1" applyFont="1" applyFill="1" applyBorder="1" applyAlignment="1" applyProtection="1">
      <alignment horizontal="left" vertical="center" wrapText="1"/>
      <protection locked="0"/>
    </xf>
    <xf numFmtId="0" fontId="39" fillId="5" borderId="60" xfId="0" applyFont="1" applyFill="1" applyBorder="1" applyAlignment="1" applyProtection="1">
      <alignment horizontal="left" vertical="center" wrapText="1"/>
    </xf>
    <xf numFmtId="0" fontId="53" fillId="5" borderId="77" xfId="0" applyNumberFormat="1" applyFont="1" applyFill="1" applyBorder="1" applyAlignment="1" applyProtection="1">
      <alignment horizontal="left" vertical="center" wrapText="1"/>
    </xf>
    <xf numFmtId="0" fontId="46" fillId="2" borderId="7" xfId="0" applyNumberFormat="1" applyFont="1" applyFill="1" applyBorder="1" applyAlignment="1" applyProtection="1">
      <alignment horizontal="left" vertical="center" wrapText="1"/>
      <protection locked="0"/>
    </xf>
    <xf numFmtId="49" fontId="46" fillId="2" borderId="3" xfId="0" applyNumberFormat="1" applyFont="1" applyFill="1" applyBorder="1" applyAlignment="1" applyProtection="1">
      <alignment horizontal="left" vertical="center" wrapText="1"/>
      <protection locked="0"/>
    </xf>
    <xf numFmtId="0" fontId="46" fillId="5" borderId="2" xfId="0" applyNumberFormat="1" applyFont="1" applyFill="1" applyBorder="1" applyAlignment="1" applyProtection="1">
      <alignment horizontal="left" vertical="center" wrapText="1"/>
    </xf>
    <xf numFmtId="49" fontId="46" fillId="2" borderId="7" xfId="0" applyNumberFormat="1" applyFont="1" applyFill="1" applyBorder="1" applyAlignment="1" applyProtection="1">
      <alignment horizontal="left" vertical="center" wrapText="1"/>
      <protection locked="0"/>
    </xf>
    <xf numFmtId="0" fontId="39" fillId="5" borderId="34" xfId="0" applyNumberFormat="1" applyFont="1" applyFill="1" applyBorder="1" applyAlignment="1" applyProtection="1">
      <alignment horizontal="left" vertical="center" wrapText="1"/>
    </xf>
    <xf numFmtId="49" fontId="39" fillId="0" borderId="24" xfId="0" applyNumberFormat="1" applyFont="1" applyFill="1" applyBorder="1" applyAlignment="1" applyProtection="1">
      <alignment horizontal="left" vertical="center" wrapText="1"/>
      <protection locked="0"/>
    </xf>
    <xf numFmtId="0" fontId="39" fillId="5" borderId="64" xfId="0" applyNumberFormat="1" applyFont="1" applyFill="1" applyBorder="1" applyAlignment="1" applyProtection="1">
      <alignment horizontal="left" vertical="center" wrapText="1"/>
    </xf>
    <xf numFmtId="49" fontId="39" fillId="0" borderId="23" xfId="0" applyNumberFormat="1" applyFont="1" applyFill="1" applyBorder="1" applyAlignment="1" applyProtection="1">
      <alignment horizontal="left" vertical="center" wrapText="1"/>
      <protection locked="0"/>
    </xf>
    <xf numFmtId="0" fontId="39" fillId="0" borderId="2" xfId="0" applyFont="1" applyFill="1" applyBorder="1" applyAlignment="1" applyProtection="1">
      <alignment horizontal="left" vertical="center" wrapText="1"/>
      <protection locked="0"/>
    </xf>
    <xf numFmtId="0" fontId="46" fillId="2" borderId="4" xfId="0" applyFont="1" applyFill="1" applyBorder="1" applyAlignment="1" applyProtection="1">
      <alignment horizontal="left" vertical="center" wrapText="1"/>
      <protection locked="0"/>
    </xf>
    <xf numFmtId="0" fontId="46" fillId="5" borderId="31" xfId="0" applyNumberFormat="1" applyFont="1" applyFill="1" applyBorder="1" applyAlignment="1" applyProtection="1">
      <alignment horizontal="left" vertical="center" wrapText="1"/>
    </xf>
    <xf numFmtId="0" fontId="46" fillId="2" borderId="28" xfId="0" applyFont="1" applyFill="1" applyBorder="1" applyAlignment="1" applyProtection="1">
      <alignment horizontal="left" vertical="center" wrapText="1"/>
      <protection locked="0"/>
    </xf>
    <xf numFmtId="0" fontId="69" fillId="5" borderId="26" xfId="0" applyFont="1" applyFill="1" applyBorder="1" applyAlignment="1" applyProtection="1">
      <alignment horizontal="left" vertical="center" textRotation="255" wrapText="1"/>
    </xf>
    <xf numFmtId="0" fontId="39" fillId="0" borderId="19" xfId="0" applyNumberFormat="1" applyFont="1" applyFill="1" applyBorder="1" applyAlignment="1" applyProtection="1">
      <alignment horizontal="left" vertical="center" wrapText="1"/>
      <protection locked="0"/>
    </xf>
    <xf numFmtId="0" fontId="44" fillId="5" borderId="1" xfId="0" applyFont="1" applyFill="1" applyBorder="1" applyAlignment="1" applyProtection="1">
      <alignment horizontal="left" vertical="center" wrapText="1"/>
    </xf>
    <xf numFmtId="188" fontId="44" fillId="5" borderId="2" xfId="0" applyNumberFormat="1" applyFont="1" applyFill="1" applyBorder="1" applyAlignment="1" applyProtection="1">
      <alignment horizontal="left" vertical="center"/>
    </xf>
    <xf numFmtId="49" fontId="44" fillId="5" borderId="3" xfId="0" applyNumberFormat="1" applyFont="1" applyFill="1" applyBorder="1" applyAlignment="1" applyProtection="1">
      <alignment horizontal="left" vertical="center"/>
    </xf>
    <xf numFmtId="0" fontId="44" fillId="5" borderId="49" xfId="0" applyFont="1" applyFill="1" applyBorder="1" applyAlignment="1" applyProtection="1">
      <alignment horizontal="left" vertical="center"/>
    </xf>
    <xf numFmtId="0" fontId="44" fillId="5" borderId="1" xfId="0" applyFont="1" applyFill="1" applyBorder="1" applyAlignment="1" applyProtection="1">
      <alignment horizontal="left" vertical="center"/>
    </xf>
    <xf numFmtId="0" fontId="44" fillId="0" borderId="0" xfId="0" applyFont="1" applyFill="1" applyAlignment="1" applyProtection="1">
      <alignment horizontal="left" vertical="center"/>
      <protection locked="0"/>
    </xf>
    <xf numFmtId="0" fontId="45" fillId="5" borderId="26" xfId="0" applyFont="1" applyFill="1" applyBorder="1" applyAlignment="1" applyProtection="1">
      <alignment horizontal="left" vertical="center" textRotation="255" wrapText="1"/>
    </xf>
    <xf numFmtId="0" fontId="46" fillId="2" borderId="7" xfId="0" applyFont="1" applyFill="1" applyBorder="1" applyAlignment="1" applyProtection="1">
      <alignment horizontal="left" vertical="center" wrapText="1"/>
      <protection locked="0"/>
    </xf>
    <xf numFmtId="0" fontId="46" fillId="2" borderId="3" xfId="0" applyFont="1" applyFill="1" applyBorder="1" applyAlignment="1" applyProtection="1">
      <alignment horizontal="left" vertical="center" wrapText="1"/>
      <protection locked="0"/>
    </xf>
    <xf numFmtId="0" fontId="41" fillId="5" borderId="26" xfId="0" applyFont="1" applyFill="1" applyBorder="1" applyAlignment="1" applyProtection="1">
      <alignment horizontal="left" vertical="center" textRotation="255" wrapText="1"/>
    </xf>
    <xf numFmtId="9" fontId="39" fillId="0" borderId="19" xfId="0" applyNumberFormat="1" applyFont="1" applyFill="1" applyBorder="1" applyAlignment="1" applyProtection="1">
      <alignment horizontal="left" vertical="center" wrapText="1"/>
      <protection locked="0"/>
    </xf>
    <xf numFmtId="9" fontId="39" fillId="0" borderId="3" xfId="0" applyNumberFormat="1" applyFont="1" applyFill="1" applyBorder="1" applyAlignment="1" applyProtection="1">
      <alignment horizontal="left" vertical="center" wrapText="1"/>
      <protection locked="0"/>
    </xf>
    <xf numFmtId="9" fontId="39" fillId="0" borderId="7" xfId="0" applyNumberFormat="1" applyFont="1" applyFill="1" applyBorder="1" applyAlignment="1" applyProtection="1">
      <alignment horizontal="left" vertical="center" wrapText="1"/>
      <protection locked="0"/>
    </xf>
    <xf numFmtId="0" fontId="46" fillId="0" borderId="3" xfId="0" applyNumberFormat="1" applyFont="1" applyFill="1" applyBorder="1" applyAlignment="1" applyProtection="1">
      <alignment horizontal="left" vertical="center" wrapText="1"/>
      <protection locked="0"/>
    </xf>
    <xf numFmtId="0" fontId="45" fillId="5" borderId="42" xfId="0" applyFont="1" applyFill="1" applyBorder="1" applyAlignment="1" applyProtection="1">
      <alignment horizontal="left" vertical="center" textRotation="255" wrapText="1"/>
    </xf>
    <xf numFmtId="49" fontId="45" fillId="5" borderId="46" xfId="0" applyNumberFormat="1" applyFont="1" applyFill="1" applyBorder="1" applyAlignment="1" applyProtection="1">
      <alignment horizontal="left" vertical="center"/>
    </xf>
    <xf numFmtId="49" fontId="45" fillId="5" borderId="47" xfId="0" applyNumberFormat="1" applyFont="1" applyFill="1" applyBorder="1" applyAlignment="1" applyProtection="1">
      <alignment horizontal="left" vertical="center"/>
    </xf>
    <xf numFmtId="0" fontId="45" fillId="5" borderId="46" xfId="0" applyNumberFormat="1" applyFont="1" applyFill="1" applyBorder="1" applyAlignment="1" applyProtection="1">
      <alignment horizontal="left" vertical="center" wrapText="1"/>
    </xf>
    <xf numFmtId="0" fontId="45" fillId="5" borderId="38" xfId="0" applyNumberFormat="1" applyFont="1" applyFill="1" applyBorder="1" applyAlignment="1" applyProtection="1">
      <alignment horizontal="left" vertical="center" wrapText="1"/>
    </xf>
    <xf numFmtId="0" fontId="70" fillId="3" borderId="47" xfId="0" applyNumberFormat="1" applyFont="1" applyFill="1" applyBorder="1" applyAlignment="1" applyProtection="1">
      <alignment horizontal="left" vertical="center" wrapText="1"/>
      <protection locked="0"/>
    </xf>
    <xf numFmtId="0" fontId="70" fillId="5" borderId="47" xfId="0" applyNumberFormat="1" applyFont="1" applyFill="1" applyBorder="1" applyAlignment="1" applyProtection="1">
      <alignment horizontal="left" vertical="center" wrapText="1"/>
    </xf>
    <xf numFmtId="0" fontId="70" fillId="3" borderId="46" xfId="0" applyNumberFormat="1" applyFont="1" applyFill="1" applyBorder="1" applyAlignment="1" applyProtection="1">
      <alignment horizontal="left" vertical="center" wrapText="1"/>
      <protection locked="0"/>
    </xf>
    <xf numFmtId="0" fontId="70" fillId="5" borderId="38" xfId="0" applyNumberFormat="1" applyFont="1" applyFill="1" applyBorder="1" applyAlignment="1" applyProtection="1">
      <alignment horizontal="left" vertical="center" wrapText="1"/>
    </xf>
    <xf numFmtId="189" fontId="46" fillId="5" borderId="41" xfId="0" applyNumberFormat="1" applyFont="1" applyFill="1" applyBorder="1" applyAlignment="1" applyProtection="1">
      <alignment horizontal="left" vertical="center"/>
    </xf>
    <xf numFmtId="0" fontId="46" fillId="5" borderId="0" xfId="0" applyFont="1" applyFill="1" applyAlignment="1" applyProtection="1">
      <alignment horizontal="left" vertical="center"/>
      <protection locked="0"/>
    </xf>
    <xf numFmtId="0" fontId="46" fillId="5" borderId="0" xfId="0" applyFont="1" applyFill="1" applyAlignment="1" applyProtection="1">
      <alignment horizontal="left" vertical="center"/>
    </xf>
    <xf numFmtId="0" fontId="46" fillId="5" borderId="17" xfId="0" applyFont="1" applyFill="1" applyBorder="1" applyAlignment="1" applyProtection="1">
      <alignment horizontal="left" vertical="center" textRotation="255" wrapText="1"/>
    </xf>
    <xf numFmtId="49" fontId="45" fillId="5" borderId="20" xfId="0" applyNumberFormat="1" applyFont="1" applyFill="1" applyBorder="1" applyAlignment="1" applyProtection="1">
      <alignment horizontal="left" vertical="center"/>
    </xf>
    <xf numFmtId="49" fontId="45" fillId="5" borderId="48" xfId="0" applyNumberFormat="1" applyFont="1" applyFill="1" applyBorder="1" applyAlignment="1" applyProtection="1">
      <alignment horizontal="left" vertical="center"/>
    </xf>
    <xf numFmtId="0" fontId="45" fillId="5" borderId="20" xfId="0" applyNumberFormat="1" applyFont="1" applyFill="1" applyBorder="1" applyAlignment="1" applyProtection="1">
      <alignment horizontal="left" vertical="center" wrapText="1"/>
    </xf>
    <xf numFmtId="0" fontId="49" fillId="18" borderId="62" xfId="0" applyNumberFormat="1" applyFont="1" applyFill="1" applyBorder="1" applyAlignment="1" applyProtection="1">
      <alignment horizontal="left" vertical="center" wrapText="1"/>
      <protection locked="0"/>
    </xf>
    <xf numFmtId="0" fontId="45" fillId="5" borderId="48" xfId="0" applyNumberFormat="1" applyFont="1" applyFill="1" applyBorder="1" applyAlignment="1" applyProtection="1">
      <alignment horizontal="left" vertical="center" wrapText="1"/>
    </xf>
    <xf numFmtId="181" fontId="45" fillId="18" borderId="62" xfId="0" applyNumberFormat="1" applyFont="1" applyFill="1" applyBorder="1" applyAlignment="1" applyProtection="1">
      <alignment horizontal="left" vertical="center" wrapText="1"/>
      <protection locked="0"/>
    </xf>
    <xf numFmtId="49" fontId="45" fillId="0" borderId="29" xfId="0" applyNumberFormat="1" applyFont="1" applyFill="1" applyBorder="1" applyAlignment="1" applyProtection="1">
      <alignment horizontal="left" vertical="center"/>
      <protection locked="0"/>
    </xf>
    <xf numFmtId="49" fontId="45" fillId="0" borderId="30" xfId="0" applyNumberFormat="1" applyFont="1" applyFill="1" applyBorder="1" applyAlignment="1" applyProtection="1">
      <alignment horizontal="left" vertical="center"/>
      <protection locked="0"/>
    </xf>
    <xf numFmtId="0" fontId="45" fillId="5" borderId="40" xfId="0" applyNumberFormat="1" applyFont="1" applyFill="1" applyBorder="1" applyAlignment="1" applyProtection="1">
      <alignment horizontal="left" vertical="center" wrapText="1"/>
      <protection locked="0"/>
    </xf>
    <xf numFmtId="0" fontId="45" fillId="5" borderId="40" xfId="0" applyNumberFormat="1" applyFont="1" applyFill="1" applyBorder="1" applyAlignment="1" applyProtection="1">
      <alignment horizontal="left" vertical="center" wrapText="1"/>
    </xf>
    <xf numFmtId="189" fontId="46" fillId="5" borderId="43" xfId="0" applyNumberFormat="1" applyFont="1" applyFill="1" applyBorder="1" applyAlignment="1" applyProtection="1">
      <alignment horizontal="left" vertical="center" wrapText="1"/>
    </xf>
    <xf numFmtId="189" fontId="46" fillId="5" borderId="0" xfId="0" applyNumberFormat="1" applyFont="1" applyFill="1" applyAlignment="1" applyProtection="1">
      <alignment horizontal="left" vertical="center"/>
      <protection locked="0"/>
    </xf>
    <xf numFmtId="181" fontId="46" fillId="5" borderId="0" xfId="0" applyNumberFormat="1" applyFont="1" applyFill="1" applyAlignment="1" applyProtection="1">
      <alignment horizontal="left" vertical="center"/>
      <protection locked="0"/>
    </xf>
    <xf numFmtId="0" fontId="46" fillId="0" borderId="39" xfId="0" applyFont="1" applyFill="1" applyBorder="1" applyAlignment="1" applyProtection="1">
      <alignment horizontal="left" vertical="center"/>
      <protection locked="0"/>
    </xf>
    <xf numFmtId="0" fontId="45" fillId="5" borderId="1" xfId="0" applyFont="1" applyFill="1" applyBorder="1" applyAlignment="1" applyProtection="1">
      <alignment horizontal="left" vertical="center" wrapText="1"/>
    </xf>
    <xf numFmtId="181" fontId="46" fillId="5" borderId="2" xfId="0" applyNumberFormat="1" applyFont="1" applyFill="1" applyBorder="1" applyAlignment="1" applyProtection="1">
      <alignment horizontal="left" vertical="center"/>
    </xf>
    <xf numFmtId="181" fontId="46" fillId="5" borderId="3" xfId="0" applyNumberFormat="1" applyFont="1" applyFill="1" applyBorder="1" applyAlignment="1" applyProtection="1">
      <alignment horizontal="left" vertical="center"/>
    </xf>
    <xf numFmtId="0" fontId="45" fillId="5" borderId="3" xfId="0" applyFont="1" applyFill="1" applyBorder="1" applyAlignment="1" applyProtection="1">
      <alignment horizontal="left" vertical="center" wrapText="1"/>
    </xf>
    <xf numFmtId="0" fontId="68" fillId="5" borderId="0" xfId="0" applyFont="1" applyFill="1" applyAlignment="1" applyProtection="1">
      <alignment horizontal="left" vertical="center"/>
      <protection locked="0"/>
    </xf>
    <xf numFmtId="0" fontId="68" fillId="0" borderId="39" xfId="0" applyFont="1" applyFill="1" applyBorder="1" applyAlignment="1" applyProtection="1">
      <alignment horizontal="left" vertical="center"/>
      <protection locked="0"/>
    </xf>
    <xf numFmtId="0" fontId="68" fillId="0" borderId="0" xfId="0" applyFont="1" applyFill="1" applyAlignment="1" applyProtection="1">
      <alignment horizontal="left" vertical="center"/>
      <protection locked="0"/>
    </xf>
    <xf numFmtId="14" fontId="46" fillId="5" borderId="0" xfId="0" applyNumberFormat="1" applyFont="1" applyFill="1" applyAlignment="1" applyProtection="1">
      <alignment horizontal="left" vertical="center"/>
      <protection locked="0"/>
    </xf>
    <xf numFmtId="176" fontId="46" fillId="5" borderId="0" xfId="0" applyNumberFormat="1" applyFont="1" applyFill="1" applyAlignment="1" applyProtection="1">
      <alignment horizontal="left" vertical="center"/>
      <protection locked="0"/>
    </xf>
    <xf numFmtId="0" fontId="51" fillId="5" borderId="0" xfId="0" applyFont="1" applyFill="1" applyBorder="1" applyAlignment="1" applyProtection="1">
      <alignment horizontal="left"/>
    </xf>
    <xf numFmtId="0" fontId="46" fillId="5" borderId="0" xfId="0" applyFont="1" applyFill="1" applyBorder="1" applyAlignment="1" applyProtection="1">
      <alignment horizontal="left"/>
    </xf>
    <xf numFmtId="189" fontId="46" fillId="5" borderId="0" xfId="0" applyNumberFormat="1" applyFont="1" applyFill="1" applyBorder="1" applyAlignment="1" applyProtection="1">
      <alignment horizontal="left"/>
    </xf>
    <xf numFmtId="181" fontId="46" fillId="5" borderId="0" xfId="0" applyNumberFormat="1" applyFont="1" applyFill="1" applyBorder="1" applyAlignment="1" applyProtection="1">
      <alignment horizontal="left"/>
    </xf>
    <xf numFmtId="0" fontId="46" fillId="0" borderId="39" xfId="0" applyFont="1" applyBorder="1" applyAlignment="1" applyProtection="1">
      <alignment horizontal="left"/>
      <protection locked="0"/>
    </xf>
    <xf numFmtId="9" fontId="39" fillId="0" borderId="0" xfId="0" applyNumberFormat="1" applyFont="1" applyFill="1" applyBorder="1" applyAlignment="1" applyProtection="1">
      <alignment horizontal="left" vertical="center" wrapText="1"/>
      <protection locked="0"/>
    </xf>
    <xf numFmtId="0" fontId="41" fillId="5" borderId="5" xfId="0" applyNumberFormat="1" applyFont="1" applyFill="1" applyBorder="1" applyAlignment="1" applyProtection="1">
      <alignment horizontal="left" vertical="center" wrapText="1"/>
    </xf>
    <xf numFmtId="0" fontId="41" fillId="5" borderId="21" xfId="0" applyNumberFormat="1" applyFont="1" applyFill="1" applyBorder="1" applyAlignment="1" applyProtection="1">
      <alignment horizontal="left" vertical="center" wrapText="1"/>
    </xf>
    <xf numFmtId="190" fontId="39" fillId="5" borderId="28" xfId="0" applyNumberFormat="1" applyFont="1" applyFill="1" applyBorder="1" applyAlignment="1" applyProtection="1">
      <alignment horizontal="left" vertical="center" wrapText="1"/>
    </xf>
    <xf numFmtId="190" fontId="39" fillId="5" borderId="11" xfId="0" applyNumberFormat="1" applyFont="1" applyFill="1" applyBorder="1" applyAlignment="1" applyProtection="1">
      <alignment horizontal="left" vertical="center" wrapText="1"/>
    </xf>
    <xf numFmtId="49" fontId="39" fillId="0" borderId="39" xfId="0" applyNumberFormat="1" applyFont="1" applyFill="1" applyBorder="1" applyAlignment="1" applyProtection="1">
      <alignment horizontal="left" vertical="center"/>
      <protection locked="0"/>
    </xf>
    <xf numFmtId="49" fontId="39" fillId="0" borderId="0" xfId="0" applyNumberFormat="1" applyFont="1" applyFill="1" applyAlignment="1" applyProtection="1">
      <alignment horizontal="left" vertical="center"/>
      <protection locked="0"/>
    </xf>
    <xf numFmtId="0" fontId="41" fillId="5" borderId="39" xfId="0" applyNumberFormat="1" applyFont="1" applyFill="1" applyBorder="1" applyAlignment="1" applyProtection="1">
      <alignment horizontal="left" vertical="center" wrapText="1"/>
    </xf>
    <xf numFmtId="0" fontId="41" fillId="5" borderId="25" xfId="0" applyNumberFormat="1" applyFont="1" applyFill="1" applyBorder="1" applyAlignment="1" applyProtection="1">
      <alignment horizontal="left" vertical="center" wrapText="1"/>
    </xf>
    <xf numFmtId="0" fontId="39" fillId="5" borderId="27" xfId="0" applyNumberFormat="1" applyFont="1" applyFill="1" applyBorder="1" applyAlignment="1" applyProtection="1">
      <alignment horizontal="left" vertical="center" wrapText="1"/>
    </xf>
    <xf numFmtId="0" fontId="39" fillId="0" borderId="18" xfId="0" applyNumberFormat="1" applyFont="1" applyFill="1" applyBorder="1" applyAlignment="1" applyProtection="1">
      <alignment horizontal="left" vertical="center" wrapText="1"/>
      <protection locked="0"/>
    </xf>
    <xf numFmtId="0" fontId="39" fillId="0" borderId="35" xfId="0" applyNumberFormat="1" applyFont="1" applyFill="1" applyBorder="1" applyAlignment="1" applyProtection="1">
      <alignment horizontal="left" vertical="center" wrapText="1"/>
      <protection locked="0"/>
    </xf>
    <xf numFmtId="9" fontId="39" fillId="0" borderId="39" xfId="0" applyNumberFormat="1" applyFont="1" applyFill="1" applyBorder="1" applyAlignment="1" applyProtection="1">
      <alignment horizontal="left" vertical="center" wrapText="1"/>
      <protection locked="0"/>
    </xf>
    <xf numFmtId="0" fontId="41" fillId="5" borderId="29" xfId="0" applyNumberFormat="1" applyFont="1" applyFill="1" applyBorder="1" applyAlignment="1" applyProtection="1">
      <alignment horizontal="left" vertical="center"/>
    </xf>
    <xf numFmtId="0" fontId="41" fillId="5" borderId="70" xfId="0" applyNumberFormat="1" applyFont="1" applyFill="1" applyBorder="1" applyAlignment="1" applyProtection="1">
      <alignment horizontal="left" vertical="center" wrapText="1"/>
    </xf>
    <xf numFmtId="0" fontId="39" fillId="0" borderId="70" xfId="0" applyNumberFormat="1" applyFont="1" applyFill="1" applyBorder="1" applyAlignment="1" applyProtection="1">
      <alignment horizontal="left" vertical="center" wrapText="1"/>
      <protection locked="0"/>
    </xf>
    <xf numFmtId="0" fontId="39" fillId="0" borderId="71" xfId="0" applyNumberFormat="1" applyFont="1" applyFill="1" applyBorder="1" applyAlignment="1" applyProtection="1">
      <alignment horizontal="left" vertical="center" wrapText="1"/>
      <protection locked="0"/>
    </xf>
    <xf numFmtId="0" fontId="39" fillId="0" borderId="72" xfId="0" applyNumberFormat="1" applyFont="1" applyFill="1" applyBorder="1" applyAlignment="1" applyProtection="1">
      <alignment horizontal="left" vertical="center" wrapText="1"/>
      <protection locked="0"/>
    </xf>
    <xf numFmtId="0" fontId="41" fillId="5" borderId="60" xfId="0" applyNumberFormat="1" applyFont="1" applyFill="1" applyBorder="1" applyAlignment="1" applyProtection="1">
      <alignment horizontal="left" vertical="center" wrapText="1"/>
    </xf>
    <xf numFmtId="0" fontId="39" fillId="5" borderId="24" xfId="0" applyNumberFormat="1" applyFont="1" applyFill="1" applyBorder="1" applyAlignment="1" applyProtection="1">
      <alignment horizontal="left" vertical="center" wrapText="1"/>
    </xf>
    <xf numFmtId="0" fontId="39" fillId="0" borderId="34" xfId="0" applyNumberFormat="1" applyFont="1" applyFill="1" applyBorder="1" applyAlignment="1" applyProtection="1">
      <alignment horizontal="left" vertical="center" wrapText="1"/>
      <protection locked="0"/>
    </xf>
    <xf numFmtId="0" fontId="39" fillId="5" borderId="0" xfId="0" applyNumberFormat="1" applyFont="1" applyFill="1" applyBorder="1" applyAlignment="1" applyProtection="1">
      <alignment horizontal="left" vertical="center" wrapText="1"/>
      <protection locked="0"/>
    </xf>
    <xf numFmtId="0" fontId="98" fillId="0" borderId="39" xfId="0" applyFont="1" applyFill="1" applyBorder="1" applyAlignment="1" applyProtection="1">
      <alignment horizontal="left" vertical="center"/>
      <protection locked="0"/>
    </xf>
    <xf numFmtId="0" fontId="39" fillId="0" borderId="27" xfId="0" applyNumberFormat="1" applyFont="1" applyFill="1" applyBorder="1" applyAlignment="1" applyProtection="1">
      <alignment horizontal="left" vertical="center" wrapText="1"/>
      <protection locked="0"/>
    </xf>
    <xf numFmtId="0" fontId="39" fillId="0" borderId="58" xfId="0" applyNumberFormat="1" applyFont="1" applyFill="1" applyBorder="1" applyAlignment="1" applyProtection="1">
      <alignment horizontal="left" vertical="center" wrapText="1"/>
      <protection locked="0"/>
    </xf>
    <xf numFmtId="0" fontId="45" fillId="5" borderId="22" xfId="0" applyNumberFormat="1" applyFont="1" applyFill="1" applyBorder="1" applyAlignment="1" applyProtection="1">
      <alignment horizontal="left" vertical="center" wrapText="1"/>
    </xf>
    <xf numFmtId="0" fontId="39" fillId="5" borderId="57" xfId="0" applyNumberFormat="1" applyFont="1" applyFill="1" applyBorder="1" applyAlignment="1" applyProtection="1">
      <alignment horizontal="left" vertical="center" wrapText="1"/>
    </xf>
    <xf numFmtId="0" fontId="46" fillId="5" borderId="11" xfId="0" applyNumberFormat="1" applyFont="1" applyFill="1" applyBorder="1" applyAlignment="1" applyProtection="1">
      <alignment horizontal="left" vertical="center" wrapText="1"/>
    </xf>
    <xf numFmtId="0" fontId="46" fillId="0" borderId="11" xfId="0" applyNumberFormat="1" applyFont="1" applyFill="1" applyBorder="1" applyAlignment="1" applyProtection="1">
      <alignment horizontal="left" vertical="center" wrapText="1"/>
      <protection locked="0"/>
    </xf>
    <xf numFmtId="0" fontId="68" fillId="0" borderId="31" xfId="0" applyNumberFormat="1" applyFont="1" applyFill="1" applyBorder="1" applyAlignment="1" applyProtection="1">
      <alignment horizontal="left" vertical="center" wrapText="1"/>
      <protection locked="0"/>
    </xf>
    <xf numFmtId="0" fontId="68" fillId="5" borderId="0" xfId="0" applyNumberFormat="1" applyFont="1" applyFill="1" applyBorder="1" applyAlignment="1" applyProtection="1">
      <alignment horizontal="left" vertical="center" wrapText="1"/>
      <protection locked="0"/>
    </xf>
    <xf numFmtId="0" fontId="39" fillId="0" borderId="39" xfId="0" applyFont="1" applyFill="1" applyBorder="1" applyAlignment="1" applyProtection="1">
      <alignment horizontal="left" vertical="center" wrapText="1"/>
      <protection locked="0"/>
    </xf>
    <xf numFmtId="0" fontId="45" fillId="5" borderId="26" xfId="0" applyNumberFormat="1" applyFont="1" applyFill="1" applyBorder="1" applyAlignment="1" applyProtection="1">
      <alignment horizontal="left" vertical="center" wrapText="1"/>
    </xf>
    <xf numFmtId="0" fontId="44" fillId="5" borderId="74" xfId="0" applyNumberFormat="1" applyFont="1" applyFill="1" applyBorder="1" applyAlignment="1" applyProtection="1">
      <alignment horizontal="left" vertical="center" wrapText="1"/>
    </xf>
    <xf numFmtId="0" fontId="46" fillId="0" borderId="75" xfId="0" applyNumberFormat="1" applyFont="1" applyFill="1" applyBorder="1" applyAlignment="1" applyProtection="1">
      <alignment horizontal="left" vertical="center" wrapText="1"/>
      <protection locked="0"/>
    </xf>
    <xf numFmtId="0" fontId="46" fillId="0" borderId="76" xfId="0" applyNumberFormat="1" applyFont="1" applyFill="1" applyBorder="1" applyAlignment="1" applyProtection="1">
      <alignment horizontal="left" vertical="center" wrapText="1"/>
      <protection locked="0"/>
    </xf>
    <xf numFmtId="0" fontId="46" fillId="5" borderId="0" xfId="0" applyNumberFormat="1" applyFont="1" applyFill="1" applyBorder="1" applyAlignment="1" applyProtection="1">
      <alignment horizontal="left" vertical="center" wrapText="1"/>
      <protection locked="0"/>
    </xf>
    <xf numFmtId="0" fontId="39" fillId="5" borderId="54" xfId="0" applyNumberFormat="1" applyFont="1" applyFill="1" applyBorder="1" applyAlignment="1" applyProtection="1">
      <alignment horizontal="left" vertical="center" wrapText="1"/>
    </xf>
    <xf numFmtId="0" fontId="46" fillId="5" borderId="32" xfId="0" applyNumberFormat="1" applyFont="1" applyFill="1" applyBorder="1" applyAlignment="1" applyProtection="1">
      <alignment horizontal="left" vertical="center" wrapText="1"/>
    </xf>
    <xf numFmtId="0" fontId="68" fillId="5" borderId="33" xfId="0" applyNumberFormat="1" applyFont="1" applyFill="1" applyBorder="1" applyAlignment="1" applyProtection="1">
      <alignment horizontal="left" vertical="center" wrapText="1"/>
    </xf>
    <xf numFmtId="0" fontId="39" fillId="5" borderId="74" xfId="0" applyNumberFormat="1" applyFont="1" applyFill="1" applyBorder="1" applyAlignment="1" applyProtection="1">
      <alignment horizontal="left" vertical="center" wrapText="1"/>
    </xf>
    <xf numFmtId="0" fontId="46" fillId="5" borderId="75" xfId="0" applyNumberFormat="1" applyFont="1" applyFill="1" applyBorder="1" applyAlignment="1" applyProtection="1">
      <alignment horizontal="left" vertical="center" wrapText="1"/>
    </xf>
    <xf numFmtId="0" fontId="46" fillId="5" borderId="76" xfId="0" applyNumberFormat="1" applyFont="1" applyFill="1" applyBorder="1" applyAlignment="1" applyProtection="1">
      <alignment horizontal="left" vertical="center" wrapText="1"/>
    </xf>
    <xf numFmtId="0" fontId="39" fillId="5" borderId="49" xfId="0" applyNumberFormat="1" applyFont="1" applyFill="1" applyBorder="1" applyAlignment="1" applyProtection="1">
      <alignment horizontal="left" vertical="center" wrapText="1"/>
    </xf>
    <xf numFmtId="0" fontId="46" fillId="5" borderId="17" xfId="0" applyNumberFormat="1" applyFont="1" applyFill="1" applyBorder="1" applyAlignment="1" applyProtection="1">
      <alignment horizontal="left" vertical="center" wrapText="1"/>
    </xf>
    <xf numFmtId="0" fontId="44" fillId="5" borderId="49" xfId="0" applyNumberFormat="1" applyFont="1" applyFill="1" applyBorder="1" applyAlignment="1" applyProtection="1">
      <alignment horizontal="left" vertical="center" wrapText="1"/>
    </xf>
    <xf numFmtId="0" fontId="46" fillId="0" borderId="1" xfId="0" applyNumberFormat="1" applyFont="1" applyFill="1" applyBorder="1" applyAlignment="1" applyProtection="1">
      <alignment horizontal="left" vertical="center" wrapText="1"/>
      <protection locked="0"/>
    </xf>
    <xf numFmtId="0" fontId="68" fillId="0" borderId="6" xfId="0" applyNumberFormat="1" applyFont="1" applyFill="1" applyBorder="1" applyAlignment="1" applyProtection="1">
      <alignment horizontal="left" vertical="center" wrapText="1"/>
      <protection locked="0"/>
    </xf>
    <xf numFmtId="0" fontId="69" fillId="5" borderId="26" xfId="0" applyNumberFormat="1" applyFont="1" applyFill="1" applyBorder="1" applyAlignment="1" applyProtection="1">
      <alignment horizontal="left" vertical="center" wrapText="1"/>
    </xf>
    <xf numFmtId="0" fontId="44" fillId="0" borderId="33" xfId="0" applyNumberFormat="1" applyFont="1" applyFill="1" applyBorder="1" applyAlignment="1" applyProtection="1">
      <alignment horizontal="left" vertical="center" wrapText="1"/>
      <protection locked="0"/>
    </xf>
    <xf numFmtId="0" fontId="44" fillId="5" borderId="0" xfId="0" applyNumberFormat="1" applyFont="1" applyFill="1" applyBorder="1" applyAlignment="1" applyProtection="1">
      <alignment horizontal="left" vertical="center" wrapText="1"/>
      <protection locked="0"/>
    </xf>
    <xf numFmtId="0" fontId="44" fillId="0" borderId="39" xfId="0" applyFont="1" applyFill="1" applyBorder="1" applyAlignment="1" applyProtection="1">
      <alignment horizontal="left" vertical="center" wrapText="1"/>
      <protection locked="0"/>
    </xf>
    <xf numFmtId="9" fontId="44" fillId="0" borderId="0" xfId="0" applyNumberFormat="1" applyFont="1" applyFill="1" applyBorder="1" applyAlignment="1" applyProtection="1">
      <alignment horizontal="left" vertical="center" wrapText="1"/>
      <protection locked="0"/>
    </xf>
    <xf numFmtId="0" fontId="39" fillId="0" borderId="75" xfId="0" applyNumberFormat="1" applyFont="1" applyFill="1" applyBorder="1" applyAlignment="1" applyProtection="1">
      <alignment horizontal="left" vertical="center" wrapText="1"/>
      <protection locked="0"/>
    </xf>
    <xf numFmtId="0" fontId="44" fillId="0" borderId="39" xfId="0" applyFont="1" applyFill="1" applyBorder="1" applyAlignment="1" applyProtection="1">
      <alignment horizontal="left" vertical="center"/>
      <protection locked="0"/>
    </xf>
    <xf numFmtId="9" fontId="44" fillId="0" borderId="0" xfId="0" applyNumberFormat="1" applyFont="1" applyFill="1" applyBorder="1" applyAlignment="1" applyProtection="1">
      <alignment horizontal="left" vertical="center"/>
      <protection locked="0"/>
    </xf>
    <xf numFmtId="0" fontId="44" fillId="0" borderId="75" xfId="0" applyNumberFormat="1" applyFont="1" applyFill="1" applyBorder="1" applyAlignment="1" applyProtection="1">
      <alignment horizontal="left" vertical="center" wrapText="1"/>
      <protection locked="0"/>
    </xf>
    <xf numFmtId="0" fontId="44" fillId="0" borderId="76" xfId="0" applyNumberFormat="1" applyFont="1" applyFill="1" applyBorder="1" applyAlignment="1" applyProtection="1">
      <alignment horizontal="left" vertical="center" wrapText="1"/>
      <protection locked="0"/>
    </xf>
    <xf numFmtId="0" fontId="44" fillId="0" borderId="34" xfId="0" applyNumberFormat="1" applyFont="1" applyFill="1" applyBorder="1" applyAlignment="1" applyProtection="1">
      <alignment horizontal="left" vertical="center" wrapText="1"/>
      <protection locked="0"/>
    </xf>
    <xf numFmtId="0" fontId="69" fillId="5" borderId="42" xfId="0" applyNumberFormat="1" applyFont="1" applyFill="1" applyBorder="1" applyAlignment="1" applyProtection="1">
      <alignment horizontal="left" vertical="center" wrapText="1"/>
    </xf>
    <xf numFmtId="0" fontId="39" fillId="5" borderId="71" xfId="0" applyNumberFormat="1" applyFont="1" applyFill="1" applyBorder="1" applyAlignment="1" applyProtection="1">
      <alignment horizontal="left" vertical="center" wrapText="1"/>
    </xf>
    <xf numFmtId="0" fontId="39" fillId="0" borderId="61" xfId="0" applyNumberFormat="1" applyFont="1" applyFill="1" applyBorder="1" applyAlignment="1" applyProtection="1">
      <alignment horizontal="left" vertical="center" wrapText="1"/>
      <protection locked="0"/>
    </xf>
    <xf numFmtId="0" fontId="44" fillId="0" borderId="61" xfId="0" applyNumberFormat="1" applyFont="1" applyFill="1" applyBorder="1" applyAlignment="1" applyProtection="1">
      <alignment horizontal="left" vertical="center" wrapText="1"/>
      <protection locked="0"/>
    </xf>
    <xf numFmtId="0" fontId="44" fillId="0" borderId="43" xfId="0" applyNumberFormat="1" applyFont="1" applyFill="1" applyBorder="1" applyAlignment="1" applyProtection="1">
      <alignment horizontal="left" vertical="center" wrapText="1"/>
      <protection locked="0"/>
    </xf>
    <xf numFmtId="0" fontId="39" fillId="5" borderId="11" xfId="0" applyNumberFormat="1" applyFont="1" applyFill="1" applyBorder="1" applyAlignment="1" applyProtection="1">
      <alignment horizontal="left" vertical="center" wrapText="1"/>
    </xf>
    <xf numFmtId="0" fontId="68" fillId="5" borderId="31" xfId="0" applyNumberFormat="1" applyFont="1" applyFill="1" applyBorder="1" applyAlignment="1" applyProtection="1">
      <alignment horizontal="left" vertical="center" wrapText="1"/>
    </xf>
    <xf numFmtId="0" fontId="46" fillId="5" borderId="33" xfId="0" applyNumberFormat="1" applyFont="1" applyFill="1" applyBorder="1" applyAlignment="1" applyProtection="1">
      <alignment horizontal="left" vertical="center" wrapText="1"/>
    </xf>
    <xf numFmtId="0" fontId="46" fillId="5" borderId="49" xfId="0" applyNumberFormat="1" applyFont="1" applyFill="1" applyBorder="1" applyAlignment="1" applyProtection="1">
      <alignment horizontal="left" vertical="center" wrapText="1"/>
    </xf>
    <xf numFmtId="0" fontId="41" fillId="5" borderId="26" xfId="0" applyNumberFormat="1" applyFont="1" applyFill="1" applyBorder="1" applyAlignment="1" applyProtection="1">
      <alignment horizontal="left" vertical="center" wrapText="1"/>
    </xf>
    <xf numFmtId="0" fontId="39" fillId="0" borderId="33" xfId="0" applyNumberFormat="1" applyFont="1" applyFill="1" applyBorder="1" applyAlignment="1" applyProtection="1">
      <alignment horizontal="left" vertical="center" wrapText="1"/>
      <protection locked="0"/>
    </xf>
    <xf numFmtId="0" fontId="39" fillId="5" borderId="75" xfId="0" applyNumberFormat="1" applyFont="1" applyFill="1" applyBorder="1" applyAlignment="1" applyProtection="1">
      <alignment horizontal="left" vertical="center" wrapText="1"/>
    </xf>
    <xf numFmtId="0" fontId="39" fillId="0" borderId="83" xfId="0" applyNumberFormat="1" applyFont="1" applyFill="1" applyBorder="1" applyAlignment="1" applyProtection="1">
      <alignment horizontal="left" vertical="center"/>
      <protection locked="0"/>
    </xf>
    <xf numFmtId="0" fontId="68" fillId="0" borderId="33" xfId="0" applyNumberFormat="1" applyFont="1" applyFill="1" applyBorder="1" applyAlignment="1" applyProtection="1">
      <alignment horizontal="left" vertical="center" wrapText="1"/>
      <protection locked="0"/>
    </xf>
    <xf numFmtId="0" fontId="46" fillId="0" borderId="17" xfId="0" applyNumberFormat="1" applyFont="1" applyFill="1" applyBorder="1" applyAlignment="1" applyProtection="1">
      <alignment horizontal="left" vertical="center" wrapText="1"/>
      <protection locked="0"/>
    </xf>
    <xf numFmtId="0" fontId="68" fillId="0" borderId="34" xfId="0" applyNumberFormat="1" applyFont="1" applyFill="1" applyBorder="1" applyAlignment="1" applyProtection="1">
      <alignment horizontal="left" vertical="center" wrapText="1"/>
      <protection locked="0"/>
    </xf>
    <xf numFmtId="0" fontId="45" fillId="5" borderId="42" xfId="0" applyNumberFormat="1" applyFont="1" applyFill="1" applyBorder="1" applyAlignment="1" applyProtection="1">
      <alignment horizontal="left" vertical="center" wrapText="1"/>
    </xf>
    <xf numFmtId="0" fontId="46" fillId="0" borderId="61" xfId="0" applyNumberFormat="1" applyFont="1" applyFill="1" applyBorder="1" applyAlignment="1" applyProtection="1">
      <alignment horizontal="left" vertical="center" wrapText="1"/>
      <protection locked="0"/>
    </xf>
    <xf numFmtId="0" fontId="46" fillId="0" borderId="43" xfId="0" applyNumberFormat="1" applyFont="1" applyFill="1" applyBorder="1" applyAlignment="1" applyProtection="1">
      <alignment horizontal="left" vertical="center" wrapText="1"/>
      <protection locked="0"/>
    </xf>
    <xf numFmtId="0" fontId="69" fillId="5" borderId="26" xfId="0" applyNumberFormat="1" applyFont="1" applyFill="1" applyBorder="1" applyAlignment="1" applyProtection="1">
      <alignment horizontal="left" vertical="center" textRotation="255" wrapText="1"/>
    </xf>
    <xf numFmtId="0" fontId="39" fillId="5" borderId="60" xfId="0" applyNumberFormat="1" applyFont="1" applyFill="1" applyBorder="1" applyAlignment="1" applyProtection="1">
      <alignment horizontal="left" vertical="center"/>
    </xf>
    <xf numFmtId="0" fontId="39" fillId="0" borderId="1" xfId="0" applyNumberFormat="1" applyFont="1" applyFill="1" applyBorder="1" applyAlignment="1" applyProtection="1">
      <alignment horizontal="left" vertical="center" wrapText="1"/>
      <protection locked="0"/>
    </xf>
    <xf numFmtId="0" fontId="44" fillId="0" borderId="6" xfId="0" applyNumberFormat="1" applyFont="1" applyFill="1" applyBorder="1" applyAlignment="1" applyProtection="1">
      <alignment horizontal="left" vertical="center" wrapText="1"/>
      <protection locked="0"/>
    </xf>
    <xf numFmtId="0" fontId="45" fillId="5" borderId="26" xfId="0" applyNumberFormat="1" applyFont="1" applyFill="1" applyBorder="1" applyAlignment="1" applyProtection="1">
      <alignment horizontal="left" vertical="center" textRotation="255" wrapText="1"/>
    </xf>
    <xf numFmtId="0" fontId="44" fillId="5" borderId="33" xfId="0" applyNumberFormat="1" applyFont="1" applyFill="1" applyBorder="1" applyAlignment="1" applyProtection="1">
      <alignment horizontal="left" vertical="center" wrapText="1"/>
    </xf>
    <xf numFmtId="0" fontId="39" fillId="5" borderId="1" xfId="0" applyNumberFormat="1" applyFont="1" applyFill="1" applyBorder="1" applyAlignment="1" applyProtection="1">
      <alignment horizontal="left" vertical="center" wrapText="1"/>
    </xf>
    <xf numFmtId="0" fontId="44" fillId="5" borderId="6" xfId="0" applyNumberFormat="1" applyFont="1" applyFill="1" applyBorder="1" applyAlignment="1" applyProtection="1">
      <alignment horizontal="left" vertical="center" wrapText="1"/>
    </xf>
    <xf numFmtId="0" fontId="44" fillId="5" borderId="75" xfId="0" applyNumberFormat="1" applyFont="1" applyFill="1" applyBorder="1" applyAlignment="1" applyProtection="1">
      <alignment horizontal="left" vertical="center" wrapText="1"/>
    </xf>
    <xf numFmtId="0" fontId="44" fillId="5" borderId="76" xfId="0" applyNumberFormat="1" applyFont="1" applyFill="1" applyBorder="1" applyAlignment="1" applyProtection="1">
      <alignment horizontal="left" vertical="center" wrapText="1"/>
    </xf>
    <xf numFmtId="189" fontId="46" fillId="0" borderId="0" xfId="0" applyNumberFormat="1" applyFont="1" applyFill="1" applyAlignment="1" applyProtection="1">
      <alignment horizontal="left" vertical="center"/>
      <protection locked="0"/>
    </xf>
    <xf numFmtId="181" fontId="46" fillId="0" borderId="0" xfId="0" applyNumberFormat="1" applyFont="1" applyFill="1" applyAlignment="1" applyProtection="1">
      <alignment horizontal="left" vertical="center"/>
      <protection locked="0"/>
    </xf>
    <xf numFmtId="0" fontId="98" fillId="5" borderId="5" xfId="0" applyFont="1" applyFill="1" applyBorder="1" applyAlignment="1" applyProtection="1">
      <alignment horizontal="left" vertical="center"/>
      <protection locked="0"/>
    </xf>
    <xf numFmtId="0" fontId="53" fillId="5" borderId="37" xfId="0" applyFont="1" applyFill="1" applyBorder="1" applyAlignment="1" applyProtection="1">
      <alignment horizontal="left" vertical="center"/>
      <protection locked="0"/>
    </xf>
    <xf numFmtId="0" fontId="46" fillId="5" borderId="37" xfId="0" applyFont="1" applyFill="1" applyBorder="1" applyAlignment="1" applyProtection="1">
      <alignment horizontal="left" vertical="center"/>
      <protection locked="0"/>
    </xf>
    <xf numFmtId="0" fontId="46" fillId="5" borderId="79" xfId="0" applyFont="1" applyFill="1" applyBorder="1" applyAlignment="1" applyProtection="1">
      <alignment horizontal="left" vertical="center"/>
      <protection locked="0"/>
    </xf>
    <xf numFmtId="0" fontId="98" fillId="5" borderId="37" xfId="0" applyFont="1" applyFill="1" applyBorder="1" applyAlignment="1" applyProtection="1">
      <alignment horizontal="left" vertical="center"/>
      <protection locked="0"/>
    </xf>
    <xf numFmtId="0" fontId="53" fillId="5" borderId="79" xfId="0" applyFont="1" applyFill="1" applyBorder="1" applyAlignment="1" applyProtection="1">
      <alignment horizontal="left" vertical="center"/>
      <protection locked="0"/>
    </xf>
    <xf numFmtId="0" fontId="53" fillId="5" borderId="63" xfId="0" applyFont="1" applyFill="1" applyBorder="1" applyAlignment="1" applyProtection="1">
      <alignment horizontal="left" vertical="center"/>
    </xf>
    <xf numFmtId="0" fontId="98" fillId="5" borderId="1" xfId="0" applyFont="1" applyFill="1" applyBorder="1" applyAlignment="1" applyProtection="1">
      <alignment horizontal="left" vertical="center"/>
    </xf>
    <xf numFmtId="0" fontId="98" fillId="5" borderId="2" xfId="0" applyFont="1" applyFill="1" applyBorder="1" applyAlignment="1" applyProtection="1">
      <alignment horizontal="left" vertical="center"/>
    </xf>
    <xf numFmtId="0" fontId="98" fillId="5" borderId="95" xfId="0" applyFont="1" applyFill="1" applyBorder="1" applyAlignment="1" applyProtection="1">
      <alignment horizontal="left" vertical="center"/>
    </xf>
    <xf numFmtId="0" fontId="98" fillId="5" borderId="6" xfId="0" applyFont="1" applyFill="1" applyBorder="1" applyAlignment="1" applyProtection="1">
      <alignment horizontal="left" vertical="center"/>
    </xf>
    <xf numFmtId="0" fontId="53" fillId="5" borderId="65" xfId="0" applyFont="1" applyFill="1" applyBorder="1" applyAlignment="1" applyProtection="1">
      <alignment horizontal="left" vertical="center"/>
    </xf>
    <xf numFmtId="0" fontId="53" fillId="5" borderId="23" xfId="0" applyFont="1" applyFill="1" applyBorder="1" applyAlignment="1" applyProtection="1">
      <alignment horizontal="left" vertical="center"/>
    </xf>
    <xf numFmtId="0" fontId="53" fillId="0" borderId="17" xfId="0" applyFont="1" applyBorder="1" applyAlignment="1" applyProtection="1">
      <alignment horizontal="left" vertical="center"/>
      <protection locked="0"/>
    </xf>
    <xf numFmtId="0" fontId="98" fillId="0" borderId="17" xfId="0" applyFont="1" applyBorder="1" applyAlignment="1" applyProtection="1">
      <alignment horizontal="left" vertical="center"/>
      <protection locked="0"/>
    </xf>
    <xf numFmtId="0" fontId="53" fillId="0" borderId="64" xfId="0" applyFont="1" applyBorder="1" applyAlignment="1" applyProtection="1">
      <alignment horizontal="left" vertical="center"/>
      <protection locked="0"/>
    </xf>
    <xf numFmtId="0" fontId="53" fillId="0" borderId="97" xfId="0" applyFont="1" applyFill="1" applyBorder="1" applyAlignment="1" applyProtection="1">
      <alignment horizontal="left" vertical="center"/>
      <protection locked="0"/>
    </xf>
    <xf numFmtId="0" fontId="53" fillId="0" borderId="34" xfId="0" applyFont="1" applyBorder="1" applyAlignment="1" applyProtection="1">
      <alignment horizontal="left" vertical="center"/>
      <protection locked="0"/>
    </xf>
    <xf numFmtId="0" fontId="98" fillId="5" borderId="24" xfId="0" applyFont="1" applyFill="1" applyBorder="1" applyAlignment="1" applyProtection="1">
      <alignment horizontal="left" vertical="center"/>
    </xf>
    <xf numFmtId="187" fontId="53" fillId="5" borderId="34" xfId="0" applyNumberFormat="1" applyFont="1" applyFill="1" applyBorder="1" applyAlignment="1" applyProtection="1">
      <alignment horizontal="left" vertical="center"/>
    </xf>
    <xf numFmtId="0" fontId="53" fillId="5" borderId="7" xfId="0" applyFont="1" applyFill="1" applyBorder="1" applyAlignment="1" applyProtection="1">
      <alignment horizontal="left" vertical="center"/>
    </xf>
    <xf numFmtId="0" fontId="53" fillId="0" borderId="1" xfId="0" applyFont="1" applyBorder="1" applyAlignment="1" applyProtection="1">
      <alignment horizontal="left" vertical="center"/>
      <protection locked="0"/>
    </xf>
    <xf numFmtId="0" fontId="53" fillId="0" borderId="2" xfId="0" applyFont="1" applyBorder="1" applyAlignment="1" applyProtection="1">
      <alignment horizontal="left" vertical="center"/>
      <protection locked="0"/>
    </xf>
    <xf numFmtId="0" fontId="53" fillId="0" borderId="95" xfId="0" applyFont="1" applyFill="1" applyBorder="1" applyAlignment="1" applyProtection="1">
      <alignment horizontal="left" vertical="center"/>
      <protection locked="0"/>
    </xf>
    <xf numFmtId="0" fontId="53" fillId="0" borderId="6" xfId="0" applyFont="1" applyBorder="1" applyAlignment="1" applyProtection="1">
      <alignment horizontal="left" vertical="center"/>
      <protection locked="0"/>
    </xf>
    <xf numFmtId="0" fontId="98" fillId="5" borderId="3" xfId="0" applyFont="1" applyFill="1" applyBorder="1" applyAlignment="1" applyProtection="1">
      <alignment horizontal="left" vertical="center"/>
    </xf>
    <xf numFmtId="0" fontId="53" fillId="5" borderId="1"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178" fontId="53" fillId="5" borderId="6" xfId="0" applyNumberFormat="1" applyFont="1" applyFill="1" applyBorder="1" applyAlignment="1" applyProtection="1">
      <alignment horizontal="left" vertical="center"/>
    </xf>
    <xf numFmtId="178" fontId="53" fillId="0" borderId="6" xfId="0" applyNumberFormat="1" applyFont="1" applyBorder="1" applyAlignment="1" applyProtection="1">
      <alignment horizontal="left" vertical="center"/>
      <protection locked="0"/>
    </xf>
    <xf numFmtId="0" fontId="98" fillId="0" borderId="95" xfId="0" applyFont="1" applyFill="1" applyBorder="1" applyAlignment="1" applyProtection="1">
      <alignment horizontal="left" vertical="center"/>
      <protection locked="0"/>
    </xf>
    <xf numFmtId="0" fontId="98" fillId="5" borderId="8" xfId="0" applyFont="1" applyFill="1" applyBorder="1" applyAlignment="1" applyProtection="1">
      <alignment horizontal="left" vertical="center"/>
    </xf>
    <xf numFmtId="0" fontId="53" fillId="5" borderId="61" xfId="0" applyFont="1" applyFill="1" applyBorder="1" applyAlignment="1" applyProtection="1">
      <alignment horizontal="left" vertical="center"/>
    </xf>
    <xf numFmtId="0" fontId="53" fillId="5" borderId="40" xfId="0" applyFont="1" applyFill="1" applyBorder="1" applyAlignment="1" applyProtection="1">
      <alignment horizontal="left" vertical="center"/>
    </xf>
    <xf numFmtId="0" fontId="46" fillId="5" borderId="40" xfId="0" applyFont="1" applyFill="1" applyBorder="1" applyAlignment="1" applyProtection="1">
      <alignment horizontal="left" vertical="center"/>
    </xf>
    <xf numFmtId="0" fontId="46" fillId="5" borderId="30" xfId="0" applyFont="1" applyFill="1" applyBorder="1" applyAlignment="1" applyProtection="1">
      <alignment horizontal="left" vertical="center"/>
    </xf>
    <xf numFmtId="0" fontId="98" fillId="5" borderId="56" xfId="0" applyFont="1" applyFill="1" applyBorder="1" applyAlignment="1" applyProtection="1">
      <alignment horizontal="left" vertical="center"/>
    </xf>
    <xf numFmtId="0" fontId="53" fillId="0" borderId="61" xfId="0" applyFont="1" applyBorder="1" applyAlignment="1" applyProtection="1">
      <alignment horizontal="left" vertical="center"/>
      <protection locked="0"/>
    </xf>
    <xf numFmtId="178" fontId="53" fillId="5" borderId="43" xfId="0" applyNumberFormat="1" applyFont="1" applyFill="1" applyBorder="1" applyAlignment="1" applyProtection="1">
      <alignment horizontal="left" vertical="center"/>
    </xf>
    <xf numFmtId="0" fontId="100" fillId="5" borderId="35" xfId="0" applyFont="1" applyFill="1" applyBorder="1" applyAlignment="1" applyProtection="1">
      <alignment horizontal="left" vertical="center"/>
    </xf>
    <xf numFmtId="0" fontId="57" fillId="5" borderId="36" xfId="0" applyFont="1" applyFill="1" applyBorder="1" applyAlignment="1" applyProtection="1">
      <alignment horizontal="left" vertical="center"/>
    </xf>
    <xf numFmtId="0" fontId="57" fillId="5" borderId="0" xfId="0" applyFont="1" applyFill="1" applyAlignment="1" applyProtection="1">
      <alignment horizontal="left" vertical="center"/>
    </xf>
    <xf numFmtId="0" fontId="65" fillId="5" borderId="36" xfId="0" applyFont="1" applyFill="1" applyBorder="1" applyAlignment="1" applyProtection="1">
      <alignment horizontal="left" vertical="center"/>
    </xf>
    <xf numFmtId="189" fontId="57" fillId="5" borderId="36" xfId="0" applyNumberFormat="1" applyFont="1" applyFill="1" applyBorder="1" applyAlignment="1" applyProtection="1">
      <alignment horizontal="left" vertical="center"/>
    </xf>
    <xf numFmtId="181" fontId="57" fillId="5" borderId="36" xfId="0" applyNumberFormat="1" applyFont="1" applyFill="1" applyBorder="1" applyAlignment="1" applyProtection="1">
      <alignment horizontal="left" vertical="center"/>
    </xf>
    <xf numFmtId="0" fontId="57" fillId="5" borderId="0" xfId="0" applyFont="1" applyFill="1" applyBorder="1" applyAlignment="1" applyProtection="1">
      <alignment horizontal="left" vertical="center"/>
    </xf>
    <xf numFmtId="0" fontId="59" fillId="5" borderId="0" xfId="0" applyFont="1" applyFill="1" applyBorder="1" applyAlignment="1" applyProtection="1">
      <alignment horizontal="left" vertical="center"/>
    </xf>
    <xf numFmtId="0" fontId="59" fillId="0" borderId="0" xfId="0" applyFont="1" applyFill="1" applyBorder="1" applyAlignment="1" applyProtection="1">
      <alignment horizontal="left" vertical="center"/>
      <protection locked="0"/>
    </xf>
    <xf numFmtId="0" fontId="59" fillId="0" borderId="0" xfId="0" applyFont="1" applyFill="1" applyAlignment="1" applyProtection="1">
      <alignment horizontal="left" vertical="center"/>
      <protection locked="0"/>
    </xf>
    <xf numFmtId="0" fontId="52" fillId="5" borderId="1" xfId="1" applyFont="1" applyFill="1" applyBorder="1" applyAlignment="1" applyProtection="1">
      <alignment horizontal="left" vertical="center"/>
    </xf>
    <xf numFmtId="177" fontId="52" fillId="5" borderId="1" xfId="0" applyNumberFormat="1" applyFont="1" applyFill="1" applyBorder="1" applyAlignment="1" applyProtection="1">
      <alignment horizontal="left" vertical="center"/>
    </xf>
    <xf numFmtId="186" fontId="52" fillId="5" borderId="18" xfId="0" applyNumberFormat="1" applyFont="1" applyFill="1" applyBorder="1" applyAlignment="1" applyProtection="1">
      <alignment horizontal="left" vertical="center"/>
    </xf>
    <xf numFmtId="0" fontId="57" fillId="5" borderId="65" xfId="0" applyFont="1" applyFill="1" applyBorder="1" applyAlignment="1" applyProtection="1">
      <alignment horizontal="left" vertical="center"/>
    </xf>
    <xf numFmtId="0" fontId="59" fillId="5" borderId="0" xfId="0" applyFont="1" applyFill="1" applyAlignment="1" applyProtection="1">
      <alignment horizontal="left" vertical="center"/>
    </xf>
    <xf numFmtId="189" fontId="39" fillId="5" borderId="3" xfId="0" applyNumberFormat="1" applyFont="1" applyFill="1" applyBorder="1" applyAlignment="1" applyProtection="1">
      <alignment horizontal="left" vertical="center" wrapText="1"/>
    </xf>
    <xf numFmtId="184" fontId="39" fillId="0" borderId="9" xfId="0" applyNumberFormat="1" applyFont="1" applyFill="1" applyBorder="1" applyAlignment="1" applyProtection="1">
      <alignment horizontal="left" vertical="center" wrapText="1"/>
      <protection locked="0"/>
    </xf>
    <xf numFmtId="0" fontId="39" fillId="5" borderId="3" xfId="0" applyNumberFormat="1" applyFont="1" applyFill="1" applyBorder="1" applyAlignment="1" applyProtection="1">
      <alignment horizontal="left" vertical="center" wrapText="1"/>
    </xf>
    <xf numFmtId="0" fontId="39" fillId="2" borderId="46" xfId="0" applyNumberFormat="1" applyFont="1" applyFill="1" applyBorder="1" applyAlignment="1" applyProtection="1">
      <alignment horizontal="left" vertical="center" wrapText="1"/>
      <protection locked="0"/>
    </xf>
    <xf numFmtId="0" fontId="56" fillId="5" borderId="3" xfId="0" applyNumberFormat="1" applyFont="1" applyFill="1" applyBorder="1" applyAlignment="1" applyProtection="1">
      <alignment horizontal="left" vertical="center" wrapText="1"/>
    </xf>
    <xf numFmtId="0" fontId="56" fillId="0" borderId="3" xfId="0" applyNumberFormat="1" applyFont="1" applyFill="1" applyBorder="1" applyAlignment="1" applyProtection="1">
      <alignment horizontal="left" vertical="center" wrapText="1"/>
      <protection locked="0"/>
    </xf>
    <xf numFmtId="0" fontId="46" fillId="0" borderId="7" xfId="0" applyNumberFormat="1" applyFont="1" applyFill="1" applyBorder="1" applyAlignment="1" applyProtection="1">
      <alignment horizontal="left" vertical="center" wrapText="1"/>
      <protection locked="0"/>
    </xf>
    <xf numFmtId="0" fontId="39" fillId="5" borderId="10" xfId="0" applyFont="1" applyFill="1" applyBorder="1" applyAlignment="1" applyProtection="1">
      <alignment horizontal="left" vertical="center" wrapText="1"/>
    </xf>
    <xf numFmtId="49" fontId="46" fillId="5" borderId="21" xfId="0" applyNumberFormat="1" applyFont="1" applyFill="1" applyBorder="1" applyAlignment="1" applyProtection="1">
      <alignment horizontal="left" vertical="center" wrapText="1"/>
    </xf>
    <xf numFmtId="0" fontId="46" fillId="5" borderId="77" xfId="0" applyFont="1" applyFill="1" applyBorder="1" applyAlignment="1" applyProtection="1">
      <alignment horizontal="left" vertical="center"/>
    </xf>
    <xf numFmtId="0" fontId="46" fillId="2" borderId="24" xfId="0" applyNumberFormat="1" applyFont="1" applyFill="1" applyBorder="1" applyAlignment="1" applyProtection="1">
      <alignment horizontal="left" vertical="center" wrapText="1"/>
      <protection locked="0"/>
    </xf>
    <xf numFmtId="0" fontId="39" fillId="5" borderId="69" xfId="0" applyFont="1" applyFill="1" applyBorder="1" applyAlignment="1" applyProtection="1">
      <alignment horizontal="left" vertical="center" wrapText="1"/>
    </xf>
    <xf numFmtId="49" fontId="46" fillId="5" borderId="27" xfId="0" applyNumberFormat="1" applyFont="1" applyFill="1" applyBorder="1" applyAlignment="1" applyProtection="1">
      <alignment horizontal="left" vertical="center" wrapText="1"/>
    </xf>
    <xf numFmtId="0" fontId="39" fillId="5" borderId="45" xfId="0" applyFont="1" applyFill="1" applyBorder="1" applyAlignment="1" applyProtection="1">
      <alignment horizontal="left" vertical="center" wrapText="1"/>
    </xf>
    <xf numFmtId="0" fontId="46" fillId="2" borderId="25" xfId="0" applyNumberFormat="1" applyFont="1" applyFill="1" applyBorder="1" applyAlignment="1" applyProtection="1">
      <alignment horizontal="left" vertical="center" wrapText="1"/>
      <protection locked="0"/>
    </xf>
    <xf numFmtId="0" fontId="46" fillId="5" borderId="27" xfId="0" applyNumberFormat="1" applyFont="1" applyFill="1" applyBorder="1" applyAlignment="1" applyProtection="1">
      <alignment horizontal="left" vertical="center" wrapText="1"/>
    </xf>
    <xf numFmtId="0" fontId="39" fillId="5" borderId="77" xfId="0" applyFont="1" applyFill="1" applyBorder="1" applyAlignment="1" applyProtection="1">
      <alignment horizontal="left" vertical="center" wrapText="1"/>
    </xf>
    <xf numFmtId="0" fontId="46" fillId="5" borderId="51" xfId="0" applyNumberFormat="1" applyFont="1" applyFill="1" applyBorder="1" applyAlignment="1" applyProtection="1">
      <alignment horizontal="left" vertical="center" wrapText="1"/>
    </xf>
    <xf numFmtId="0" fontId="46" fillId="2" borderId="51" xfId="0" applyNumberFormat="1" applyFont="1" applyFill="1" applyBorder="1" applyAlignment="1" applyProtection="1">
      <alignment horizontal="left" vertical="center" wrapText="1"/>
      <protection locked="0"/>
    </xf>
    <xf numFmtId="0" fontId="56" fillId="5" borderId="3" xfId="0" applyNumberFormat="1" applyFont="1" applyFill="1" applyBorder="1" applyAlignment="1" applyProtection="1">
      <alignment horizontal="left" vertical="center" wrapText="1"/>
      <protection locked="0"/>
    </xf>
    <xf numFmtId="0" fontId="56" fillId="0" borderId="24" xfId="0" applyNumberFormat="1" applyFont="1" applyFill="1" applyBorder="1" applyAlignment="1" applyProtection="1">
      <alignment horizontal="left" vertical="center" wrapText="1"/>
      <protection locked="0"/>
    </xf>
    <xf numFmtId="0" fontId="39" fillId="2" borderId="65" xfId="0" applyNumberFormat="1" applyFont="1" applyFill="1" applyBorder="1" applyAlignment="1" applyProtection="1">
      <alignment horizontal="left" vertical="center" wrapText="1"/>
      <protection locked="0"/>
    </xf>
    <xf numFmtId="0" fontId="41" fillId="5" borderId="39" xfId="0" applyFont="1" applyFill="1" applyBorder="1" applyAlignment="1" applyProtection="1">
      <alignment horizontal="left" vertical="center" wrapText="1"/>
    </xf>
    <xf numFmtId="0" fontId="46" fillId="5" borderId="25" xfId="0" applyNumberFormat="1" applyFont="1" applyFill="1" applyBorder="1" applyAlignment="1" applyProtection="1">
      <alignment horizontal="left" vertical="center" wrapText="1"/>
    </xf>
    <xf numFmtId="0" fontId="53" fillId="5" borderId="3" xfId="0" applyNumberFormat="1" applyFont="1" applyFill="1" applyBorder="1" applyAlignment="1" applyProtection="1">
      <alignment horizontal="left" vertical="center" wrapText="1"/>
    </xf>
    <xf numFmtId="0" fontId="39" fillId="5" borderId="86" xfId="0" applyFont="1" applyFill="1" applyBorder="1" applyAlignment="1" applyProtection="1">
      <alignment horizontal="left" vertical="center" wrapText="1"/>
    </xf>
    <xf numFmtId="0" fontId="46" fillId="2" borderId="19" xfId="0" applyNumberFormat="1" applyFont="1" applyFill="1" applyBorder="1" applyAlignment="1" applyProtection="1">
      <alignment horizontal="left" vertical="center" wrapText="1"/>
      <protection locked="0"/>
    </xf>
    <xf numFmtId="0" fontId="53" fillId="0" borderId="3" xfId="0" applyNumberFormat="1" applyFont="1" applyFill="1" applyBorder="1" applyAlignment="1" applyProtection="1">
      <alignment horizontal="left" vertical="center" wrapText="1"/>
      <protection locked="0"/>
    </xf>
    <xf numFmtId="0" fontId="39" fillId="0" borderId="86" xfId="0" applyFont="1" applyFill="1" applyBorder="1" applyAlignment="1" applyProtection="1">
      <alignment horizontal="left" vertical="center" wrapText="1"/>
      <protection locked="0"/>
    </xf>
    <xf numFmtId="0" fontId="46" fillId="5" borderId="39" xfId="0" applyFont="1" applyFill="1" applyBorder="1" applyAlignment="1" applyProtection="1">
      <alignment horizontal="left" vertical="center"/>
    </xf>
    <xf numFmtId="0" fontId="46" fillId="0" borderId="86" xfId="0" applyFont="1" applyFill="1" applyBorder="1" applyAlignment="1" applyProtection="1">
      <alignment horizontal="left" vertical="center"/>
      <protection locked="0"/>
    </xf>
    <xf numFmtId="0" fontId="69" fillId="5" borderId="29" xfId="0" applyFont="1" applyFill="1" applyBorder="1" applyAlignment="1" applyProtection="1">
      <alignment horizontal="left" vertical="center" textRotation="255" wrapText="1"/>
    </xf>
    <xf numFmtId="0" fontId="44" fillId="0" borderId="123" xfId="0" applyFont="1" applyFill="1" applyBorder="1" applyAlignment="1" applyProtection="1">
      <alignment horizontal="left" vertical="center"/>
      <protection locked="0"/>
    </xf>
    <xf numFmtId="0" fontId="46" fillId="0" borderId="56" xfId="0" applyNumberFormat="1" applyFont="1" applyFill="1" applyBorder="1" applyAlignment="1" applyProtection="1">
      <alignment horizontal="left" vertical="center" wrapText="1"/>
      <protection locked="0"/>
    </xf>
    <xf numFmtId="0" fontId="39" fillId="5" borderId="43" xfId="0" applyNumberFormat="1" applyFont="1" applyFill="1" applyBorder="1" applyAlignment="1" applyProtection="1">
      <alignment horizontal="left" vertical="center" wrapText="1"/>
    </xf>
    <xf numFmtId="0" fontId="46" fillId="0" borderId="8" xfId="0" applyNumberFormat="1" applyFont="1" applyFill="1" applyBorder="1" applyAlignment="1" applyProtection="1">
      <alignment horizontal="left" vertical="center" wrapText="1"/>
      <protection locked="0"/>
    </xf>
    <xf numFmtId="0" fontId="46" fillId="0" borderId="4" xfId="0" applyNumberFormat="1" applyFont="1" applyFill="1" applyBorder="1" applyAlignment="1" applyProtection="1">
      <alignment horizontal="left" vertical="center" wrapText="1"/>
      <protection locked="0"/>
    </xf>
    <xf numFmtId="9" fontId="39" fillId="2" borderId="19" xfId="0" applyNumberFormat="1" applyFont="1" applyFill="1" applyBorder="1" applyAlignment="1" applyProtection="1">
      <alignment horizontal="left" vertical="center" wrapText="1"/>
      <protection locked="0"/>
    </xf>
    <xf numFmtId="0" fontId="46" fillId="0" borderId="2" xfId="0" applyFont="1" applyFill="1" applyBorder="1" applyAlignment="1" applyProtection="1">
      <alignment horizontal="left" vertical="center"/>
      <protection locked="0"/>
    </xf>
    <xf numFmtId="0" fontId="44" fillId="0" borderId="20" xfId="0" applyNumberFormat="1" applyFont="1" applyFill="1" applyBorder="1" applyAlignment="1" applyProtection="1">
      <alignment horizontal="left" vertical="center" wrapText="1"/>
      <protection locked="0"/>
    </xf>
    <xf numFmtId="0" fontId="71" fillId="5" borderId="3" xfId="0" applyNumberFormat="1" applyFont="1" applyFill="1" applyBorder="1" applyAlignment="1" applyProtection="1">
      <alignment horizontal="left" vertical="center" wrapText="1"/>
    </xf>
    <xf numFmtId="49" fontId="45" fillId="2" borderId="31" xfId="0" applyNumberFormat="1" applyFont="1" applyFill="1" applyBorder="1" applyAlignment="1" applyProtection="1">
      <alignment horizontal="left" vertical="center"/>
      <protection locked="0"/>
    </xf>
    <xf numFmtId="0" fontId="45" fillId="5" borderId="47" xfId="0" applyFont="1" applyFill="1" applyBorder="1" applyAlignment="1" applyProtection="1">
      <alignment horizontal="left" vertical="center" wrapText="1"/>
    </xf>
    <xf numFmtId="0" fontId="45" fillId="5" borderId="38" xfId="0" applyFont="1" applyFill="1" applyBorder="1" applyAlignment="1" applyProtection="1">
      <alignment horizontal="left" vertical="center" wrapText="1"/>
    </xf>
    <xf numFmtId="0" fontId="70" fillId="3" borderId="47" xfId="0" applyFont="1" applyFill="1" applyBorder="1" applyAlignment="1" applyProtection="1">
      <alignment horizontal="left" vertical="center" wrapText="1"/>
      <protection locked="0"/>
    </xf>
    <xf numFmtId="0" fontId="70" fillId="5" borderId="47" xfId="0" applyFont="1" applyFill="1" applyBorder="1" applyAlignment="1" applyProtection="1">
      <alignment horizontal="left" vertical="center" wrapText="1"/>
    </xf>
    <xf numFmtId="0" fontId="70" fillId="3" borderId="46" xfId="0" applyFont="1" applyFill="1" applyBorder="1" applyAlignment="1" applyProtection="1">
      <alignment horizontal="left" vertical="center" wrapText="1"/>
      <protection locked="0"/>
    </xf>
    <xf numFmtId="0" fontId="70" fillId="5" borderId="38" xfId="0" applyFont="1" applyFill="1" applyBorder="1" applyAlignment="1" applyProtection="1">
      <alignment horizontal="left" vertical="center" wrapText="1"/>
    </xf>
    <xf numFmtId="189" fontId="46" fillId="5" borderId="3" xfId="0" applyNumberFormat="1" applyFont="1" applyFill="1" applyBorder="1" applyAlignment="1" applyProtection="1">
      <alignment horizontal="left" vertical="center"/>
    </xf>
    <xf numFmtId="49" fontId="45" fillId="5" borderId="62" xfId="0" applyNumberFormat="1" applyFont="1" applyFill="1" applyBorder="1" applyAlignment="1" applyProtection="1">
      <alignment horizontal="left" vertical="center"/>
    </xf>
    <xf numFmtId="186" fontId="45" fillId="5" borderId="48" xfId="0" applyNumberFormat="1" applyFont="1" applyFill="1" applyBorder="1" applyAlignment="1" applyProtection="1">
      <alignment horizontal="left" vertical="center" wrapText="1"/>
    </xf>
    <xf numFmtId="186" fontId="45" fillId="5" borderId="20" xfId="0" applyNumberFormat="1" applyFont="1" applyFill="1" applyBorder="1" applyAlignment="1" applyProtection="1">
      <alignment horizontal="left" vertical="center" wrapText="1"/>
    </xf>
    <xf numFmtId="186" fontId="45" fillId="5" borderId="40" xfId="0" applyNumberFormat="1" applyFont="1" applyFill="1" applyBorder="1" applyAlignment="1" applyProtection="1">
      <alignment horizontal="left" vertical="center" wrapText="1"/>
    </xf>
    <xf numFmtId="189" fontId="46" fillId="5" borderId="1" xfId="0" applyNumberFormat="1" applyFont="1" applyFill="1" applyBorder="1" applyAlignment="1" applyProtection="1">
      <alignment horizontal="left" vertical="center" wrapText="1"/>
    </xf>
    <xf numFmtId="176" fontId="46" fillId="5" borderId="11" xfId="0" applyNumberFormat="1" applyFont="1" applyFill="1" applyBorder="1" applyAlignment="1" applyProtection="1">
      <alignment horizontal="left" vertical="center"/>
    </xf>
    <xf numFmtId="0" fontId="46" fillId="6" borderId="11" xfId="0" applyFont="1" applyFill="1" applyBorder="1" applyAlignment="1" applyProtection="1">
      <alignment horizontal="left" vertical="center"/>
      <protection locked="0"/>
    </xf>
    <xf numFmtId="0" fontId="46" fillId="5" borderId="37" xfId="0" applyFont="1" applyFill="1" applyBorder="1" applyAlignment="1" applyProtection="1">
      <alignment horizontal="left" vertical="center" wrapText="1"/>
      <protection locked="0"/>
    </xf>
    <xf numFmtId="0" fontId="46" fillId="5" borderId="11" xfId="0" applyFont="1" applyFill="1" applyBorder="1" applyAlignment="1" applyProtection="1">
      <alignment horizontal="left" vertical="center"/>
    </xf>
    <xf numFmtId="0" fontId="46" fillId="5" borderId="31" xfId="0" applyFont="1" applyFill="1" applyBorder="1" applyAlignment="1" applyProtection="1">
      <alignment horizontal="left" vertical="center"/>
    </xf>
    <xf numFmtId="189" fontId="46" fillId="5" borderId="0" xfId="0" applyNumberFormat="1" applyFont="1" applyFill="1" applyAlignment="1" applyProtection="1">
      <alignment horizontal="left" vertical="center"/>
    </xf>
    <xf numFmtId="0" fontId="48" fillId="5" borderId="7" xfId="0" applyFont="1" applyFill="1" applyBorder="1" applyAlignment="1" applyProtection="1">
      <alignment horizontal="left"/>
    </xf>
    <xf numFmtId="186" fontId="48" fillId="5" borderId="1" xfId="1" applyNumberFormat="1" applyFont="1" applyFill="1" applyBorder="1" applyAlignment="1" applyProtection="1">
      <alignment horizontal="left"/>
    </xf>
    <xf numFmtId="0" fontId="72" fillId="5" borderId="1" xfId="0" applyFont="1" applyFill="1" applyBorder="1" applyAlignment="1" applyProtection="1">
      <alignment horizontal="left" vertical="center"/>
      <protection locked="0"/>
    </xf>
    <xf numFmtId="179" fontId="48" fillId="0" borderId="1" xfId="1" applyNumberFormat="1" applyFont="1" applyFill="1" applyBorder="1" applyAlignment="1" applyProtection="1">
      <alignment horizontal="left"/>
      <protection locked="0"/>
    </xf>
    <xf numFmtId="177" fontId="48" fillId="5" borderId="6" xfId="1" applyNumberFormat="1" applyFont="1" applyFill="1" applyBorder="1" applyAlignment="1" applyProtection="1">
      <alignment horizontal="left"/>
    </xf>
    <xf numFmtId="0" fontId="101" fillId="5" borderId="1" xfId="0" applyFont="1" applyFill="1" applyBorder="1" applyAlignment="1" applyProtection="1">
      <alignment horizontal="left" vertical="center"/>
    </xf>
    <xf numFmtId="0" fontId="72" fillId="0" borderId="0" xfId="0" applyFont="1" applyFill="1" applyAlignment="1" applyProtection="1">
      <alignment horizontal="left" vertical="center"/>
      <protection locked="0"/>
    </xf>
    <xf numFmtId="0" fontId="48" fillId="5" borderId="7" xfId="1" applyFont="1" applyFill="1" applyBorder="1" applyAlignment="1" applyProtection="1">
      <alignment horizontal="left"/>
    </xf>
    <xf numFmtId="0" fontId="48" fillId="5" borderId="1" xfId="1" applyFont="1" applyFill="1" applyBorder="1" applyAlignment="1" applyProtection="1">
      <alignment horizontal="left"/>
    </xf>
    <xf numFmtId="9" fontId="72" fillId="6" borderId="1" xfId="0" applyNumberFormat="1" applyFont="1" applyFill="1" applyBorder="1" applyAlignment="1" applyProtection="1">
      <alignment horizontal="left" vertical="center"/>
      <protection locked="0"/>
    </xf>
    <xf numFmtId="0" fontId="101" fillId="0" borderId="1" xfId="0" applyFont="1" applyFill="1" applyBorder="1" applyAlignment="1" applyProtection="1">
      <alignment horizontal="left" vertical="center"/>
      <protection locked="0"/>
    </xf>
    <xf numFmtId="0" fontId="49" fillId="5" borderId="8" xfId="1" applyFont="1" applyFill="1" applyBorder="1" applyAlignment="1" applyProtection="1">
      <alignment horizontal="left"/>
    </xf>
    <xf numFmtId="0" fontId="48" fillId="5" borderId="61" xfId="0" applyFont="1" applyFill="1" applyBorder="1" applyAlignment="1" applyProtection="1">
      <alignment horizontal="left"/>
    </xf>
    <xf numFmtId="177" fontId="49" fillId="5" borderId="43" xfId="0" applyNumberFormat="1" applyFont="1" applyFill="1" applyBorder="1" applyAlignment="1" applyProtection="1">
      <alignment horizontal="left"/>
    </xf>
    <xf numFmtId="0" fontId="48" fillId="5" borderId="0" xfId="0" applyFont="1" applyFill="1" applyAlignment="1" applyProtection="1">
      <alignment horizontal="left"/>
    </xf>
    <xf numFmtId="14" fontId="46" fillId="5" borderId="0" xfId="0" applyNumberFormat="1" applyFont="1" applyFill="1" applyAlignment="1" applyProtection="1">
      <alignment horizontal="left" vertical="center"/>
    </xf>
    <xf numFmtId="0" fontId="46" fillId="0" borderId="0" xfId="0" applyFont="1" applyFill="1" applyAlignment="1" applyProtection="1">
      <alignment horizontal="left" vertical="center"/>
    </xf>
    <xf numFmtId="0" fontId="46" fillId="5" borderId="0" xfId="0" applyFont="1" applyFill="1" applyBorder="1" applyAlignment="1" applyProtection="1">
      <alignment horizontal="left"/>
      <protection locked="0"/>
    </xf>
    <xf numFmtId="189" fontId="46" fillId="5" borderId="0" xfId="0" applyNumberFormat="1" applyFont="1" applyFill="1" applyBorder="1" applyAlignment="1" applyProtection="1">
      <alignment horizontal="left"/>
      <protection locked="0"/>
    </xf>
    <xf numFmtId="181" fontId="46" fillId="5" borderId="0" xfId="0" applyNumberFormat="1" applyFont="1" applyFill="1" applyBorder="1" applyAlignment="1" applyProtection="1">
      <alignment horizontal="left"/>
      <protection locked="0"/>
    </xf>
    <xf numFmtId="0" fontId="46" fillId="0" borderId="0" xfId="0" applyFont="1" applyBorder="1" applyAlignment="1" applyProtection="1">
      <alignment horizontal="left"/>
      <protection locked="0"/>
    </xf>
    <xf numFmtId="0" fontId="41" fillId="5" borderId="5" xfId="0" applyNumberFormat="1" applyFont="1" applyFill="1" applyBorder="1" applyAlignment="1" applyProtection="1">
      <alignment horizontal="left" vertical="center"/>
    </xf>
    <xf numFmtId="0" fontId="41" fillId="5" borderId="21" xfId="0" applyNumberFormat="1" applyFont="1" applyFill="1" applyBorder="1" applyAlignment="1" applyProtection="1">
      <alignment horizontal="left" vertical="center"/>
    </xf>
    <xf numFmtId="0" fontId="39" fillId="5" borderId="28" xfId="0" applyNumberFormat="1" applyFont="1" applyFill="1" applyBorder="1" applyAlignment="1" applyProtection="1">
      <alignment horizontal="left" vertical="center" wrapText="1"/>
    </xf>
    <xf numFmtId="49" fontId="39" fillId="0" borderId="0" xfId="0" applyNumberFormat="1" applyFont="1" applyFill="1" applyBorder="1" applyAlignment="1" applyProtection="1">
      <alignment horizontal="left" vertical="center"/>
    </xf>
    <xf numFmtId="49" fontId="39" fillId="0" borderId="0" xfId="0" applyNumberFormat="1" applyFont="1" applyFill="1" applyAlignment="1" applyProtection="1">
      <alignment horizontal="left" vertical="center"/>
    </xf>
    <xf numFmtId="0" fontId="41" fillId="6" borderId="7" xfId="0" applyNumberFormat="1" applyFont="1" applyFill="1" applyBorder="1" applyAlignment="1" applyProtection="1">
      <alignment horizontal="left" vertical="center" wrapText="1"/>
      <protection locked="0"/>
    </xf>
    <xf numFmtId="10" fontId="41" fillId="5" borderId="1" xfId="0" applyNumberFormat="1" applyFont="1" applyFill="1" applyBorder="1" applyAlignment="1" applyProtection="1">
      <alignment horizontal="left" vertical="center" wrapText="1"/>
    </xf>
    <xf numFmtId="0" fontId="39" fillId="0" borderId="2" xfId="0" applyNumberFormat="1" applyFont="1" applyFill="1" applyBorder="1" applyAlignment="1" applyProtection="1">
      <alignment horizontal="left" vertical="center" wrapText="1"/>
      <protection locked="0"/>
    </xf>
    <xf numFmtId="0" fontId="39" fillId="0" borderId="41" xfId="0" applyNumberFormat="1" applyFont="1" applyFill="1" applyBorder="1" applyAlignment="1" applyProtection="1">
      <alignment horizontal="left" vertical="center" wrapText="1"/>
      <protection locked="0"/>
    </xf>
    <xf numFmtId="0" fontId="39" fillId="0" borderId="30" xfId="0" applyNumberFormat="1" applyFont="1" applyFill="1" applyBorder="1" applyAlignment="1" applyProtection="1">
      <alignment horizontal="left" vertical="center" wrapText="1"/>
      <protection locked="0"/>
    </xf>
    <xf numFmtId="0" fontId="98" fillId="0" borderId="0" xfId="0" applyFont="1" applyFill="1" applyBorder="1" applyAlignment="1" applyProtection="1">
      <alignment horizontal="left" vertical="center"/>
      <protection locked="0"/>
    </xf>
    <xf numFmtId="0" fontId="39" fillId="0" borderId="0"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protection locked="0"/>
    </xf>
    <xf numFmtId="0" fontId="39" fillId="5" borderId="33" xfId="0" applyNumberFormat="1" applyFont="1" applyFill="1" applyBorder="1" applyAlignment="1" applyProtection="1">
      <alignment horizontal="left" vertical="center" wrapText="1"/>
    </xf>
    <xf numFmtId="0" fontId="46" fillId="0" borderId="18" xfId="0" applyNumberFormat="1" applyFont="1" applyFill="1" applyBorder="1" applyAlignment="1" applyProtection="1">
      <alignment horizontal="left" vertical="center" wrapText="1"/>
      <protection locked="0"/>
    </xf>
    <xf numFmtId="0" fontId="46" fillId="0" borderId="58" xfId="0" applyNumberFormat="1" applyFont="1" applyFill="1" applyBorder="1" applyAlignment="1" applyProtection="1">
      <alignment horizontal="left" vertical="center" wrapText="1"/>
      <protection locked="0"/>
    </xf>
    <xf numFmtId="0" fontId="98" fillId="5" borderId="31" xfId="0" applyNumberFormat="1" applyFont="1" applyFill="1" applyBorder="1" applyAlignment="1" applyProtection="1">
      <alignment horizontal="left" vertical="center" wrapText="1"/>
    </xf>
    <xf numFmtId="0" fontId="44" fillId="5" borderId="71" xfId="0" applyNumberFormat="1" applyFont="1" applyFill="1" applyBorder="1" applyAlignment="1" applyProtection="1">
      <alignment horizontal="left" vertical="center" wrapText="1"/>
    </xf>
    <xf numFmtId="0" fontId="39" fillId="5" borderId="1" xfId="0" applyFont="1" applyFill="1" applyBorder="1" applyAlignment="1" applyProtection="1">
      <alignment horizontal="left" vertical="center" wrapText="1"/>
    </xf>
    <xf numFmtId="0" fontId="41" fillId="5" borderId="22" xfId="0" applyFont="1" applyFill="1" applyBorder="1" applyAlignment="1" applyProtection="1">
      <alignment horizontal="left" vertical="center" wrapText="1"/>
    </xf>
    <xf numFmtId="0" fontId="101" fillId="5" borderId="0" xfId="0" applyFont="1" applyFill="1" applyBorder="1" applyAlignment="1" applyProtection="1">
      <alignment horizontal="left" vertical="center"/>
    </xf>
    <xf numFmtId="0" fontId="48" fillId="5" borderId="34" xfId="0" applyFont="1" applyFill="1" applyBorder="1" applyAlignment="1" applyProtection="1">
      <alignment horizontal="left" vertical="center"/>
    </xf>
    <xf numFmtId="0" fontId="46" fillId="5" borderId="1" xfId="0" applyNumberFormat="1" applyFont="1" applyFill="1" applyBorder="1" applyAlignment="1" applyProtection="1">
      <alignment horizontal="left" vertical="center"/>
    </xf>
    <xf numFmtId="0" fontId="46" fillId="5" borderId="2"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wrapText="1"/>
    </xf>
    <xf numFmtId="0" fontId="46" fillId="5" borderId="16" xfId="0" applyFont="1" applyFill="1" applyBorder="1" applyAlignment="1" applyProtection="1">
      <alignment horizontal="left" vertical="center" wrapText="1"/>
    </xf>
    <xf numFmtId="0" fontId="46" fillId="5" borderId="17" xfId="0" applyFont="1" applyFill="1" applyBorder="1" applyAlignment="1" applyProtection="1">
      <alignment horizontal="left" vertical="center" textRotation="255" wrapText="1"/>
    </xf>
    <xf numFmtId="0" fontId="46" fillId="5" borderId="49" xfId="0" applyFont="1" applyFill="1" applyBorder="1" applyAlignment="1" applyProtection="1">
      <alignment horizontal="left" vertical="center"/>
    </xf>
    <xf numFmtId="0" fontId="46" fillId="5" borderId="4" xfId="0" applyFont="1" applyFill="1" applyBorder="1" applyAlignment="1" applyProtection="1">
      <alignment horizontal="left" vertical="center" wrapText="1"/>
    </xf>
    <xf numFmtId="0" fontId="46" fillId="5" borderId="31" xfId="0" applyFont="1" applyFill="1" applyBorder="1" applyAlignment="1" applyProtection="1">
      <alignment horizontal="left" vertical="center" wrapText="1"/>
    </xf>
    <xf numFmtId="0" fontId="46" fillId="5" borderId="27"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xf>
    <xf numFmtId="0" fontId="101" fillId="0" borderId="0" xfId="0" applyFont="1" applyAlignment="1" applyProtection="1">
      <alignment horizontal="left" vertical="center"/>
    </xf>
    <xf numFmtId="0" fontId="42" fillId="5" borderId="26"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10" fontId="42" fillId="5" borderId="41" xfId="0" applyNumberFormat="1" applyFont="1" applyFill="1" applyBorder="1" applyAlignment="1" applyProtection="1">
      <alignment horizontal="left" vertical="center" wrapText="1"/>
    </xf>
    <xf numFmtId="0" fontId="42" fillId="5" borderId="2"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41" xfId="0" applyFont="1" applyFill="1" applyBorder="1" applyAlignment="1" applyProtection="1">
      <alignment horizontal="left" vertical="center" wrapText="1"/>
    </xf>
    <xf numFmtId="0" fontId="42" fillId="5" borderId="16" xfId="0" applyFont="1" applyFill="1" applyBorder="1" applyAlignment="1" applyProtection="1">
      <alignment horizontal="left" vertical="center" wrapText="1"/>
    </xf>
    <xf numFmtId="0" fontId="42" fillId="5" borderId="1" xfId="0" applyFont="1" applyFill="1" applyBorder="1" applyAlignment="1" applyProtection="1">
      <alignment horizontal="left" vertical="center" wrapText="1"/>
    </xf>
    <xf numFmtId="0" fontId="39" fillId="5" borderId="2" xfId="0" applyFont="1" applyFill="1" applyBorder="1" applyAlignment="1" applyProtection="1">
      <alignment horizontal="left" vertical="center"/>
    </xf>
    <xf numFmtId="0" fontId="39" fillId="5" borderId="3" xfId="0" applyFont="1" applyFill="1" applyBorder="1" applyAlignment="1" applyProtection="1">
      <alignment horizontal="left" vertical="center"/>
    </xf>
    <xf numFmtId="0" fontId="39" fillId="5" borderId="51" xfId="0" applyFont="1" applyFill="1" applyBorder="1" applyAlignment="1" applyProtection="1">
      <alignment horizontal="left" vertical="center"/>
    </xf>
    <xf numFmtId="0" fontId="75" fillId="18" borderId="3" xfId="0" applyFont="1" applyFill="1" applyBorder="1" applyAlignment="1" applyProtection="1">
      <alignment horizontal="left" vertical="center" wrapText="1"/>
      <protection locked="0"/>
    </xf>
    <xf numFmtId="0" fontId="100" fillId="5" borderId="46" xfId="1" applyFont="1" applyFill="1" applyBorder="1" applyAlignment="1" applyProtection="1">
      <alignment horizontal="left" vertical="center"/>
    </xf>
    <xf numFmtId="0" fontId="52" fillId="5" borderId="47" xfId="1" applyFont="1" applyFill="1" applyBorder="1" applyAlignment="1" applyProtection="1">
      <alignment horizontal="left" vertical="center"/>
    </xf>
    <xf numFmtId="0" fontId="52" fillId="5" borderId="37" xfId="1" applyFont="1" applyFill="1" applyBorder="1" applyAlignment="1" applyProtection="1">
      <alignment horizontal="left" vertical="center"/>
    </xf>
    <xf numFmtId="0" fontId="48" fillId="5" borderId="0" xfId="0" applyFont="1" applyFill="1" applyAlignment="1" applyProtection="1">
      <alignment horizontal="left" vertical="center" wrapText="1"/>
    </xf>
    <xf numFmtId="0" fontId="98" fillId="5" borderId="4" xfId="0" applyNumberFormat="1" applyFont="1" applyFill="1" applyBorder="1" applyAlignment="1" applyProtection="1">
      <alignment horizontal="left" vertical="center"/>
    </xf>
    <xf numFmtId="0" fontId="98" fillId="5" borderId="13" xfId="0" applyNumberFormat="1" applyFont="1" applyFill="1" applyBorder="1" applyAlignment="1" applyProtection="1">
      <alignment horizontal="left" vertical="center"/>
    </xf>
    <xf numFmtId="10" fontId="48" fillId="5" borderId="31" xfId="0" applyNumberFormat="1" applyFont="1" applyFill="1" applyBorder="1" applyAlignment="1" applyProtection="1">
      <alignment horizontal="left" vertical="center" wrapText="1"/>
    </xf>
    <xf numFmtId="0" fontId="53" fillId="5" borderId="1" xfId="6" applyFont="1" applyFill="1" applyBorder="1" applyAlignment="1" applyProtection="1">
      <alignment horizontal="left" vertical="center" wrapText="1"/>
    </xf>
    <xf numFmtId="0" fontId="48" fillId="5" borderId="0" xfId="6" applyFont="1" applyFill="1" applyAlignment="1" applyProtection="1">
      <alignment horizontal="left" vertical="center" wrapText="1"/>
      <protection locked="0"/>
    </xf>
    <xf numFmtId="0" fontId="48" fillId="8" borderId="0" xfId="6" applyFont="1" applyFill="1" applyAlignment="1" applyProtection="1">
      <alignment horizontal="left" vertical="center" wrapText="1"/>
    </xf>
    <xf numFmtId="0" fontId="48" fillId="0" borderId="0" xfId="6" applyFont="1" applyAlignment="1" applyProtection="1">
      <alignment horizontal="left" vertical="center" wrapText="1"/>
    </xf>
    <xf numFmtId="0" fontId="52" fillId="5" borderId="2" xfId="1" applyFont="1" applyFill="1" applyBorder="1" applyAlignment="1" applyProtection="1">
      <alignment horizontal="left" vertical="center"/>
    </xf>
    <xf numFmtId="0" fontId="48" fillId="6" borderId="1" xfId="0" applyNumberFormat="1" applyFont="1" applyFill="1" applyBorder="1" applyAlignment="1" applyProtection="1">
      <alignment horizontal="left" vertical="center" wrapText="1"/>
      <protection locked="0"/>
    </xf>
    <xf numFmtId="49" fontId="48" fillId="5" borderId="1" xfId="0" applyNumberFormat="1" applyFont="1" applyFill="1" applyBorder="1" applyAlignment="1" applyProtection="1">
      <alignment horizontal="left" vertical="center" wrapText="1"/>
    </xf>
    <xf numFmtId="0" fontId="48" fillId="5" borderId="0" xfId="0" applyNumberFormat="1" applyFont="1" applyFill="1" applyAlignment="1" applyProtection="1">
      <alignment horizontal="left" vertical="center" wrapText="1"/>
    </xf>
    <xf numFmtId="0" fontId="98" fillId="5" borderId="7" xfId="0" applyNumberFormat="1" applyFont="1" applyFill="1" applyBorder="1" applyAlignment="1" applyProtection="1">
      <alignment horizontal="left" vertical="center"/>
    </xf>
    <xf numFmtId="0" fontId="98" fillId="5" borderId="2" xfId="0" applyNumberFormat="1" applyFont="1" applyFill="1" applyBorder="1" applyAlignment="1" applyProtection="1">
      <alignment horizontal="left" vertical="center"/>
    </xf>
    <xf numFmtId="10" fontId="48" fillId="5" borderId="6" xfId="0" applyNumberFormat="1" applyFont="1" applyFill="1" applyBorder="1" applyAlignment="1" applyProtection="1">
      <alignment horizontal="left" vertical="center" wrapText="1"/>
    </xf>
    <xf numFmtId="0" fontId="53" fillId="0" borderId="1" xfId="6" applyFont="1" applyFill="1" applyBorder="1" applyAlignment="1" applyProtection="1">
      <alignment horizontal="left" vertical="center" wrapText="1"/>
      <protection locked="0"/>
    </xf>
    <xf numFmtId="179" fontId="46" fillId="5" borderId="1" xfId="0" applyNumberFormat="1" applyFont="1" applyFill="1" applyBorder="1" applyAlignment="1" applyProtection="1">
      <alignment horizontal="left" vertical="center" wrapText="1"/>
    </xf>
    <xf numFmtId="177" fontId="46" fillId="0" borderId="1" xfId="0" applyNumberFormat="1" applyFont="1" applyFill="1" applyBorder="1" applyAlignment="1" applyProtection="1">
      <alignment horizontal="left" vertical="center" wrapText="1"/>
      <protection locked="0"/>
    </xf>
    <xf numFmtId="0" fontId="45" fillId="5" borderId="44" xfId="0" applyFont="1" applyFill="1" applyBorder="1" applyAlignment="1" applyProtection="1">
      <alignment horizontal="left" vertical="center"/>
    </xf>
    <xf numFmtId="0" fontId="179" fillId="5" borderId="44" xfId="0" applyFont="1" applyFill="1" applyBorder="1" applyAlignment="1" applyProtection="1">
      <alignment horizontal="left" vertical="center"/>
    </xf>
    <xf numFmtId="0" fontId="45" fillId="5" borderId="44" xfId="0" applyFont="1" applyFill="1" applyBorder="1" applyAlignment="1" applyProtection="1">
      <alignment horizontal="left" vertical="center" wrapText="1"/>
    </xf>
    <xf numFmtId="0" fontId="46" fillId="5" borderId="36" xfId="0" applyFont="1" applyFill="1" applyBorder="1" applyAlignment="1" applyProtection="1">
      <alignment horizontal="left" vertical="center" wrapText="1"/>
    </xf>
    <xf numFmtId="0" fontId="46" fillId="5" borderId="0" xfId="6" applyFont="1" applyFill="1" applyAlignment="1" applyProtection="1">
      <alignment horizontal="left" vertical="center" wrapText="1"/>
      <protection locked="0"/>
    </xf>
    <xf numFmtId="0" fontId="46" fillId="8" borderId="0" xfId="6" applyFont="1" applyFill="1" applyAlignment="1" applyProtection="1">
      <alignment horizontal="left" vertical="center" wrapText="1"/>
    </xf>
    <xf numFmtId="0" fontId="46" fillId="0" borderId="0" xfId="6" applyFont="1" applyAlignment="1" applyProtection="1">
      <alignment horizontal="left" vertical="center" wrapText="1"/>
    </xf>
    <xf numFmtId="0" fontId="46" fillId="0" borderId="0" xfId="0" applyFont="1" applyAlignment="1" applyProtection="1">
      <alignment horizontal="left" vertical="center" wrapText="1"/>
    </xf>
    <xf numFmtId="0" fontId="49" fillId="5" borderId="9" xfId="0" applyFont="1" applyFill="1" applyBorder="1" applyAlignment="1" applyProtection="1">
      <alignment horizontal="left" vertical="center" wrapText="1"/>
    </xf>
    <xf numFmtId="0" fontId="49" fillId="5" borderId="14" xfId="0" applyFont="1" applyFill="1" applyBorder="1" applyAlignment="1" applyProtection="1">
      <alignment horizontal="left" vertical="center"/>
    </xf>
    <xf numFmtId="0" fontId="117" fillId="5" borderId="14" xfId="0" applyFont="1" applyFill="1" applyBorder="1" applyAlignment="1" applyProtection="1">
      <alignment horizontal="left" vertical="center"/>
    </xf>
    <xf numFmtId="0" fontId="48" fillId="5" borderId="66" xfId="0" applyFont="1" applyFill="1" applyBorder="1" applyAlignment="1" applyProtection="1">
      <alignment horizontal="left" vertical="center" wrapText="1"/>
    </xf>
    <xf numFmtId="0" fontId="48" fillId="5" borderId="81" xfId="0" applyFont="1" applyFill="1" applyBorder="1" applyAlignment="1" applyProtection="1">
      <alignment horizontal="left" vertical="center" wrapText="1"/>
    </xf>
    <xf numFmtId="0" fontId="49" fillId="5" borderId="13" xfId="0" applyNumberFormat="1" applyFont="1" applyFill="1" applyBorder="1" applyAlignment="1" applyProtection="1">
      <alignment horizontal="left" vertical="center" wrapText="1"/>
    </xf>
    <xf numFmtId="0" fontId="48" fillId="5" borderId="11" xfId="0" applyFont="1" applyFill="1" applyBorder="1" applyAlignment="1" applyProtection="1">
      <alignment horizontal="left" vertical="center" wrapText="1"/>
    </xf>
    <xf numFmtId="0" fontId="48" fillId="0" borderId="11" xfId="0" applyFont="1" applyFill="1" applyBorder="1" applyAlignment="1" applyProtection="1">
      <alignment horizontal="left" vertical="center" wrapText="1"/>
      <protection locked="0"/>
    </xf>
    <xf numFmtId="0" fontId="48" fillId="5" borderId="37" xfId="0" applyFont="1" applyFill="1" applyBorder="1" applyAlignment="1" applyProtection="1">
      <alignment horizontal="left" vertical="center" wrapText="1"/>
    </xf>
    <xf numFmtId="0" fontId="48" fillId="5" borderId="79" xfId="0" applyFont="1" applyFill="1" applyBorder="1" applyAlignment="1" applyProtection="1">
      <alignment horizontal="left" vertical="center" wrapText="1"/>
    </xf>
    <xf numFmtId="0" fontId="48" fillId="5" borderId="3" xfId="6" applyFont="1" applyFill="1" applyBorder="1" applyAlignment="1" applyProtection="1">
      <alignment horizontal="left" vertical="center" wrapText="1"/>
      <protection locked="0"/>
    </xf>
    <xf numFmtId="0" fontId="48" fillId="5" borderId="1" xfId="6" applyFont="1" applyFill="1" applyBorder="1" applyAlignment="1" applyProtection="1">
      <alignment horizontal="left" vertical="center" wrapText="1"/>
      <protection locked="0"/>
    </xf>
    <xf numFmtId="179" fontId="48" fillId="5" borderId="1" xfId="6" applyNumberFormat="1" applyFont="1" applyFill="1" applyBorder="1" applyAlignment="1" applyProtection="1">
      <alignment horizontal="left" vertical="center" wrapText="1"/>
      <protection locked="0"/>
    </xf>
    <xf numFmtId="0" fontId="48" fillId="6" borderId="1" xfId="0" applyFont="1" applyFill="1" applyBorder="1" applyAlignment="1" applyProtection="1">
      <alignment horizontal="left" vertical="center" wrapText="1"/>
      <protection locked="0"/>
    </xf>
    <xf numFmtId="0" fontId="48" fillId="5" borderId="64" xfId="0" applyFont="1" applyFill="1" applyBorder="1" applyAlignment="1" applyProtection="1">
      <alignment horizontal="left" vertical="center" wrapText="1"/>
    </xf>
    <xf numFmtId="0" fontId="48" fillId="5" borderId="2" xfId="0" applyFont="1" applyFill="1" applyBorder="1" applyAlignment="1" applyProtection="1">
      <alignment horizontal="left" vertical="center"/>
    </xf>
    <xf numFmtId="0" fontId="48" fillId="5" borderId="51" xfId="0" applyFont="1" applyFill="1" applyBorder="1" applyAlignment="1" applyProtection="1">
      <alignment horizontal="left" vertical="center" wrapText="1"/>
    </xf>
    <xf numFmtId="0" fontId="48" fillId="5" borderId="41" xfId="0" applyFont="1" applyFill="1" applyBorder="1" applyAlignment="1" applyProtection="1">
      <alignment horizontal="left" vertical="center" wrapText="1"/>
    </xf>
    <xf numFmtId="0" fontId="101" fillId="5" borderId="1" xfId="6" applyFont="1" applyFill="1" applyBorder="1" applyAlignment="1" applyProtection="1">
      <alignment horizontal="left" vertical="center"/>
    </xf>
    <xf numFmtId="9" fontId="48" fillId="5" borderId="1" xfId="0" applyNumberFormat="1" applyFont="1" applyFill="1" applyBorder="1" applyAlignment="1" applyProtection="1">
      <alignment horizontal="left" vertical="center" wrapText="1"/>
    </xf>
    <xf numFmtId="186" fontId="101" fillId="5" borderId="1" xfId="6" applyNumberFormat="1" applyFont="1" applyFill="1" applyBorder="1" applyAlignment="1" applyProtection="1">
      <alignment horizontal="left" vertical="center"/>
    </xf>
    <xf numFmtId="177" fontId="117" fillId="0" borderId="1" xfId="6" applyNumberFormat="1" applyFont="1" applyFill="1" applyBorder="1" applyAlignment="1" applyProtection="1">
      <alignment horizontal="left" vertical="center"/>
    </xf>
    <xf numFmtId="177" fontId="117" fillId="5" borderId="1" xfId="6" applyNumberFormat="1" applyFont="1" applyFill="1" applyBorder="1" applyAlignment="1" applyProtection="1">
      <alignment horizontal="left" vertical="center"/>
    </xf>
    <xf numFmtId="187" fontId="117" fillId="5" borderId="1" xfId="6" applyNumberFormat="1" applyFont="1" applyFill="1" applyBorder="1" applyAlignment="1" applyProtection="1">
      <alignment horizontal="left" vertical="center" wrapText="1"/>
    </xf>
    <xf numFmtId="0" fontId="48" fillId="5" borderId="35" xfId="0" applyFont="1" applyFill="1" applyBorder="1" applyAlignment="1" applyProtection="1">
      <alignment horizontal="left" vertical="center"/>
    </xf>
    <xf numFmtId="0" fontId="48" fillId="5" borderId="36" xfId="0" applyFont="1" applyFill="1" applyBorder="1" applyAlignment="1" applyProtection="1">
      <alignment horizontal="left" vertical="center" wrapText="1"/>
    </xf>
    <xf numFmtId="0" fontId="48" fillId="5" borderId="80" xfId="0" applyFont="1" applyFill="1" applyBorder="1" applyAlignment="1" applyProtection="1">
      <alignment horizontal="left" vertical="center" wrapText="1"/>
    </xf>
    <xf numFmtId="0" fontId="48" fillId="5" borderId="1" xfId="6" applyFont="1" applyFill="1" applyBorder="1" applyAlignment="1" applyProtection="1">
      <alignment horizontal="left" vertical="center" wrapText="1"/>
    </xf>
    <xf numFmtId="0" fontId="48" fillId="5" borderId="1" xfId="6" applyNumberFormat="1" applyFont="1" applyFill="1" applyBorder="1" applyAlignment="1" applyProtection="1">
      <alignment horizontal="left" vertical="center" wrapText="1"/>
    </xf>
    <xf numFmtId="0" fontId="48" fillId="5" borderId="13" xfId="0" applyFont="1" applyFill="1" applyBorder="1" applyAlignment="1" applyProtection="1">
      <alignment horizontal="left" vertical="center"/>
    </xf>
    <xf numFmtId="0" fontId="48" fillId="5" borderId="47" xfId="0" applyFont="1" applyFill="1" applyBorder="1" applyAlignment="1" applyProtection="1">
      <alignment horizontal="left" vertical="center" wrapText="1"/>
    </xf>
    <xf numFmtId="0" fontId="48" fillId="5" borderId="38" xfId="0" applyFont="1" applyFill="1" applyBorder="1" applyAlignment="1" applyProtection="1">
      <alignment horizontal="left" vertical="center" wrapText="1"/>
    </xf>
    <xf numFmtId="0" fontId="98" fillId="5" borderId="8" xfId="0" applyNumberFormat="1" applyFont="1" applyFill="1" applyBorder="1" applyAlignment="1" applyProtection="1">
      <alignment horizontal="left" vertical="center"/>
    </xf>
    <xf numFmtId="0" fontId="98" fillId="5" borderId="44" xfId="0" applyNumberFormat="1" applyFont="1" applyFill="1" applyBorder="1" applyAlignment="1" applyProtection="1">
      <alignment horizontal="left" vertical="center"/>
    </xf>
    <xf numFmtId="10" fontId="48" fillId="5" borderId="43" xfId="0" applyNumberFormat="1" applyFont="1" applyFill="1" applyBorder="1" applyAlignment="1" applyProtection="1">
      <alignment horizontal="left" vertical="center" wrapText="1"/>
    </xf>
    <xf numFmtId="0" fontId="101" fillId="5" borderId="1" xfId="6" applyFont="1" applyFill="1" applyBorder="1" applyAlignment="1" applyProtection="1">
      <alignment horizontal="left" vertical="center" wrapText="1"/>
    </xf>
    <xf numFmtId="0" fontId="101" fillId="5" borderId="3" xfId="0" applyFont="1" applyFill="1" applyBorder="1" applyAlignment="1" applyProtection="1">
      <alignment horizontal="left" vertical="center" wrapText="1"/>
    </xf>
    <xf numFmtId="0" fontId="48" fillId="0" borderId="1" xfId="0" applyFont="1" applyFill="1" applyBorder="1" applyAlignment="1" applyProtection="1">
      <alignment horizontal="left" vertical="center"/>
      <protection locked="0"/>
    </xf>
    <xf numFmtId="0" fontId="48" fillId="0" borderId="6" xfId="0" applyFont="1" applyFill="1" applyBorder="1" applyAlignment="1" applyProtection="1">
      <alignment horizontal="left" vertical="center" wrapText="1"/>
      <protection locked="0"/>
    </xf>
    <xf numFmtId="0" fontId="101" fillId="6" borderId="3" xfId="0" applyFont="1" applyFill="1" applyBorder="1" applyAlignment="1" applyProtection="1">
      <alignment horizontal="left" vertical="center" wrapText="1"/>
      <protection locked="0"/>
    </xf>
    <xf numFmtId="0" fontId="101" fillId="6" borderId="1" xfId="0" applyFont="1" applyFill="1" applyBorder="1" applyAlignment="1" applyProtection="1">
      <alignment horizontal="left" vertical="center" wrapText="1"/>
      <protection locked="0"/>
    </xf>
    <xf numFmtId="0" fontId="101" fillId="6" borderId="17" xfId="0" applyFont="1" applyFill="1" applyBorder="1" applyAlignment="1" applyProtection="1">
      <alignment horizontal="left" vertical="center" wrapText="1"/>
      <protection locked="0"/>
    </xf>
    <xf numFmtId="0" fontId="43" fillId="5" borderId="64" xfId="0" applyFont="1" applyFill="1" applyBorder="1" applyAlignment="1" applyProtection="1">
      <alignment horizontal="left" vertical="center"/>
    </xf>
    <xf numFmtId="0" fontId="48" fillId="5" borderId="0" xfId="0" applyFont="1" applyFill="1" applyBorder="1" applyAlignment="1" applyProtection="1">
      <alignment horizontal="left" vertical="center" wrapText="1"/>
    </xf>
    <xf numFmtId="0" fontId="117" fillId="5" borderId="65" xfId="0" applyFont="1" applyFill="1" applyBorder="1" applyAlignment="1" applyProtection="1">
      <alignment horizontal="left" vertical="center"/>
    </xf>
    <xf numFmtId="0" fontId="117" fillId="5" borderId="68" xfId="0" applyFont="1" applyFill="1" applyBorder="1" applyAlignment="1" applyProtection="1">
      <alignment horizontal="left" vertical="center"/>
    </xf>
    <xf numFmtId="0" fontId="48" fillId="5" borderId="61" xfId="0" applyFont="1" applyFill="1" applyBorder="1" applyAlignment="1" applyProtection="1">
      <alignment horizontal="left" vertical="center" wrapText="1"/>
    </xf>
    <xf numFmtId="0" fontId="48" fillId="0" borderId="61" xfId="0" applyFont="1" applyFill="1" applyBorder="1" applyAlignment="1" applyProtection="1">
      <alignment horizontal="left" vertical="center" wrapText="1"/>
      <protection locked="0"/>
    </xf>
    <xf numFmtId="0" fontId="48" fillId="0" borderId="43" xfId="0" applyFont="1" applyFill="1" applyBorder="1" applyAlignment="1" applyProtection="1">
      <alignment horizontal="left" vertical="center" wrapText="1"/>
      <protection locked="0"/>
    </xf>
    <xf numFmtId="0" fontId="48" fillId="6" borderId="11" xfId="0" applyFont="1" applyFill="1" applyBorder="1" applyAlignment="1" applyProtection="1">
      <alignment horizontal="left" vertical="center" wrapText="1"/>
      <protection locked="0"/>
    </xf>
    <xf numFmtId="0" fontId="48" fillId="6" borderId="13" xfId="0" applyFont="1" applyFill="1" applyBorder="1" applyAlignment="1" applyProtection="1">
      <alignment horizontal="left" vertical="center" wrapText="1"/>
      <protection locked="0"/>
    </xf>
    <xf numFmtId="0" fontId="48" fillId="6" borderId="31" xfId="0" applyFont="1" applyFill="1" applyBorder="1" applyAlignment="1" applyProtection="1">
      <alignment horizontal="left" vertical="center" wrapText="1"/>
      <protection locked="0"/>
    </xf>
    <xf numFmtId="0" fontId="48" fillId="5" borderId="71" xfId="0" applyFont="1" applyFill="1" applyBorder="1" applyAlignment="1" applyProtection="1">
      <alignment horizontal="left" vertical="center" wrapText="1"/>
    </xf>
    <xf numFmtId="0" fontId="48" fillId="5" borderId="44" xfId="0" applyFont="1" applyFill="1" applyBorder="1" applyAlignment="1" applyProtection="1">
      <alignment horizontal="left" vertical="center" wrapText="1"/>
    </xf>
    <xf numFmtId="0" fontId="48" fillId="6" borderId="61" xfId="0" applyFont="1" applyFill="1" applyBorder="1" applyAlignment="1" applyProtection="1">
      <alignment horizontal="left" vertical="center" wrapText="1"/>
      <protection locked="0"/>
    </xf>
    <xf numFmtId="0" fontId="48" fillId="5" borderId="72" xfId="0" applyFont="1" applyFill="1" applyBorder="1" applyAlignment="1" applyProtection="1">
      <alignment horizontal="left" vertical="center" wrapText="1"/>
    </xf>
    <xf numFmtId="0" fontId="48" fillId="5" borderId="73" xfId="0" applyFont="1" applyFill="1" applyBorder="1" applyAlignment="1" applyProtection="1">
      <alignment horizontal="left" vertical="center" wrapText="1"/>
    </xf>
    <xf numFmtId="0" fontId="45" fillId="5" borderId="9" xfId="0" applyFont="1" applyFill="1" applyBorder="1" applyAlignment="1" applyProtection="1">
      <alignment horizontal="left" vertical="center" wrapText="1"/>
    </xf>
    <xf numFmtId="0" fontId="45" fillId="5" borderId="72" xfId="0" applyFont="1" applyFill="1" applyBorder="1" applyAlignment="1" applyProtection="1">
      <alignment horizontal="left" vertical="center" wrapText="1"/>
    </xf>
    <xf numFmtId="0" fontId="48" fillId="5" borderId="72" xfId="0" applyFont="1" applyFill="1" applyBorder="1" applyAlignment="1" applyProtection="1">
      <alignment horizontal="left" vertical="center"/>
    </xf>
    <xf numFmtId="0" fontId="46" fillId="5" borderId="40" xfId="0" applyFont="1" applyFill="1" applyBorder="1" applyAlignment="1" applyProtection="1">
      <alignment horizontal="left" vertical="center" wrapText="1"/>
    </xf>
    <xf numFmtId="0" fontId="46" fillId="5" borderId="30" xfId="0" applyFont="1" applyFill="1" applyBorder="1" applyAlignment="1" applyProtection="1">
      <alignment horizontal="left" vertical="center" wrapText="1"/>
    </xf>
    <xf numFmtId="0" fontId="46" fillId="8" borderId="0" xfId="0" applyFont="1" applyFill="1" applyAlignment="1" applyProtection="1">
      <alignment horizontal="left" vertical="center" wrapText="1"/>
      <protection locked="0"/>
    </xf>
    <xf numFmtId="187" fontId="45" fillId="5" borderId="84" xfId="0" applyNumberFormat="1" applyFont="1" applyFill="1" applyBorder="1" applyAlignment="1" applyProtection="1">
      <alignment horizontal="left" vertical="center" wrapText="1"/>
    </xf>
    <xf numFmtId="0" fontId="46" fillId="5" borderId="84" xfId="0" applyFont="1" applyFill="1" applyBorder="1" applyAlignment="1" applyProtection="1">
      <alignment horizontal="left" vertical="center" wrapText="1"/>
    </xf>
    <xf numFmtId="14" fontId="46" fillId="5" borderId="84" xfId="0" applyNumberFormat="1" applyFont="1" applyFill="1" applyBorder="1" applyAlignment="1" applyProtection="1">
      <alignment horizontal="left" vertical="center" wrapText="1"/>
    </xf>
    <xf numFmtId="14" fontId="46" fillId="5" borderId="66" xfId="0" applyNumberFormat="1" applyFont="1" applyFill="1" applyBorder="1" applyAlignment="1" applyProtection="1">
      <alignment horizontal="left" vertical="center" wrapText="1"/>
    </xf>
    <xf numFmtId="0" fontId="46" fillId="6" borderId="84" xfId="6" applyFont="1" applyFill="1" applyBorder="1" applyAlignment="1" applyProtection="1">
      <alignment horizontal="left" vertical="center" wrapText="1"/>
      <protection locked="0"/>
    </xf>
    <xf numFmtId="10" fontId="46" fillId="5" borderId="66" xfId="0" applyNumberFormat="1" applyFont="1" applyFill="1" applyBorder="1" applyAlignment="1" applyProtection="1">
      <alignment horizontal="left" vertical="center" wrapText="1"/>
    </xf>
    <xf numFmtId="0" fontId="46" fillId="5" borderId="8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48" fillId="5" borderId="55" xfId="0" applyFont="1" applyFill="1" applyBorder="1" applyAlignment="1" applyProtection="1">
      <alignment horizontal="left" vertical="center" wrapText="1"/>
    </xf>
    <xf numFmtId="0" fontId="101" fillId="5" borderId="15" xfId="0" applyFont="1" applyFill="1" applyBorder="1" applyAlignment="1" applyProtection="1">
      <alignment horizontal="left" vertical="center" wrapText="1"/>
    </xf>
    <xf numFmtId="10" fontId="48" fillId="8" borderId="0" xfId="0" applyNumberFormat="1" applyFont="1" applyFill="1" applyAlignment="1" applyProtection="1">
      <alignment horizontal="left" vertical="center" wrapText="1"/>
      <protection locked="0"/>
    </xf>
    <xf numFmtId="10" fontId="48" fillId="0" borderId="0" xfId="0" applyNumberFormat="1" applyFont="1" applyAlignment="1" applyProtection="1">
      <alignment horizontal="left" vertical="center" wrapText="1"/>
    </xf>
    <xf numFmtId="187" fontId="45" fillId="5" borderId="57" xfId="0" applyNumberFormat="1" applyFont="1" applyFill="1" applyBorder="1" applyAlignment="1" applyProtection="1">
      <alignment horizontal="left" vertical="center" wrapText="1"/>
    </xf>
    <xf numFmtId="0" fontId="48" fillId="5" borderId="57" xfId="0" applyFont="1" applyFill="1" applyBorder="1" applyAlignment="1" applyProtection="1">
      <alignment horizontal="left" vertical="center" wrapText="1"/>
    </xf>
    <xf numFmtId="0" fontId="48" fillId="5" borderId="12" xfId="0" applyFont="1" applyFill="1" applyBorder="1" applyAlignment="1" applyProtection="1">
      <alignment horizontal="left" vertical="center" wrapText="1"/>
    </xf>
    <xf numFmtId="0" fontId="48" fillId="5" borderId="59" xfId="0" applyFont="1" applyFill="1" applyBorder="1" applyAlignment="1" applyProtection="1">
      <alignment horizontal="left" vertical="center" wrapText="1"/>
    </xf>
    <xf numFmtId="0" fontId="46" fillId="5" borderId="8" xfId="0" applyFont="1" applyFill="1" applyBorder="1" applyAlignment="1" applyProtection="1">
      <alignment horizontal="left" vertical="center" wrapText="1"/>
    </xf>
    <xf numFmtId="0" fontId="53" fillId="5" borderId="43" xfId="0" applyFont="1" applyFill="1" applyBorder="1" applyAlignment="1" applyProtection="1">
      <alignment horizontal="left" vertical="center" wrapText="1"/>
    </xf>
    <xf numFmtId="0" fontId="46" fillId="5" borderId="5" xfId="6" applyFont="1" applyFill="1" applyBorder="1" applyAlignment="1" applyProtection="1">
      <alignment horizontal="left" vertical="center" wrapText="1"/>
      <protection locked="0"/>
    </xf>
    <xf numFmtId="0" fontId="46" fillId="5" borderId="11" xfId="6" applyFont="1" applyFill="1" applyBorder="1" applyAlignment="1" applyProtection="1">
      <alignment horizontal="left" vertical="center" wrapText="1"/>
      <protection locked="0"/>
    </xf>
    <xf numFmtId="0" fontId="46" fillId="5" borderId="79" xfId="6" applyFont="1" applyFill="1" applyBorder="1" applyAlignment="1" applyProtection="1">
      <alignment horizontal="left" vertical="center"/>
      <protection locked="0"/>
    </xf>
    <xf numFmtId="0" fontId="45" fillId="5" borderId="4" xfId="0" applyFont="1" applyFill="1" applyBorder="1" applyAlignment="1" applyProtection="1">
      <alignment horizontal="left" vertical="center" wrapText="1"/>
    </xf>
    <xf numFmtId="0" fontId="46" fillId="5" borderId="11" xfId="0" applyFont="1" applyFill="1" applyBorder="1" applyAlignment="1" applyProtection="1">
      <alignment horizontal="left" vertical="center" wrapText="1"/>
    </xf>
    <xf numFmtId="0" fontId="46" fillId="5" borderId="37" xfId="0" applyFont="1" applyFill="1" applyBorder="1" applyAlignment="1" applyProtection="1">
      <alignment horizontal="left" vertical="center" wrapText="1"/>
    </xf>
    <xf numFmtId="0" fontId="46" fillId="5" borderId="7" xfId="6" applyFont="1" applyFill="1" applyBorder="1" applyAlignment="1" applyProtection="1">
      <alignment horizontal="left" vertical="center" wrapText="1"/>
    </xf>
    <xf numFmtId="10" fontId="46" fillId="0" borderId="3" xfId="6" applyNumberFormat="1" applyFont="1" applyFill="1" applyBorder="1" applyAlignment="1" applyProtection="1">
      <alignment horizontal="left" vertical="center" wrapText="1"/>
      <protection locked="0"/>
    </xf>
    <xf numFmtId="10" fontId="48" fillId="5" borderId="6" xfId="6" applyNumberFormat="1" applyFont="1" applyFill="1" applyBorder="1" applyAlignment="1" applyProtection="1">
      <alignment horizontal="left" vertical="center" wrapText="1"/>
    </xf>
    <xf numFmtId="0" fontId="46" fillId="5" borderId="6" xfId="0" applyFont="1" applyFill="1" applyBorder="1" applyAlignment="1" applyProtection="1">
      <alignment horizontal="left" vertical="center" wrapText="1"/>
    </xf>
    <xf numFmtId="0" fontId="45" fillId="5" borderId="17" xfId="0" applyFont="1" applyFill="1" applyBorder="1" applyAlignment="1" applyProtection="1">
      <alignment horizontal="left" vertical="center" wrapText="1"/>
    </xf>
    <xf numFmtId="187" fontId="48" fillId="5" borderId="49" xfId="0" applyNumberFormat="1" applyFont="1" applyFill="1" applyBorder="1" applyAlignment="1" applyProtection="1">
      <alignment horizontal="left" vertical="center" wrapText="1"/>
    </xf>
    <xf numFmtId="187" fontId="48" fillId="5" borderId="60" xfId="0" applyNumberFormat="1" applyFont="1" applyFill="1" applyBorder="1" applyAlignment="1" applyProtection="1">
      <alignment horizontal="left" vertical="center" wrapText="1"/>
    </xf>
    <xf numFmtId="0" fontId="45" fillId="5" borderId="8" xfId="0" applyFont="1" applyFill="1" applyBorder="1" applyAlignment="1" applyProtection="1">
      <alignment horizontal="left" vertical="center" wrapText="1"/>
    </xf>
    <xf numFmtId="187" fontId="45" fillId="5" borderId="61" xfId="0" applyNumberFormat="1" applyFont="1" applyFill="1" applyBorder="1" applyAlignment="1" applyProtection="1">
      <alignment horizontal="left" vertical="center" wrapText="1"/>
    </xf>
    <xf numFmtId="0" fontId="48" fillId="5" borderId="48" xfId="0" applyFont="1" applyFill="1" applyBorder="1" applyAlignment="1" applyProtection="1">
      <alignment horizontal="left" vertical="center"/>
    </xf>
    <xf numFmtId="0" fontId="46" fillId="5" borderId="61" xfId="0" applyFont="1" applyFill="1" applyBorder="1" applyAlignment="1" applyProtection="1">
      <alignment horizontal="left" vertical="center" wrapText="1"/>
    </xf>
    <xf numFmtId="0" fontId="46" fillId="5" borderId="43" xfId="0" applyFont="1" applyFill="1" applyBorder="1" applyAlignment="1" applyProtection="1">
      <alignment horizontal="left" vertical="center" wrapText="1"/>
    </xf>
    <xf numFmtId="0" fontId="46" fillId="5" borderId="8" xfId="6" applyFont="1" applyFill="1" applyBorder="1" applyAlignment="1" applyProtection="1">
      <alignment horizontal="left" vertical="center" wrapText="1"/>
    </xf>
    <xf numFmtId="10" fontId="46" fillId="0" borderId="56" xfId="6" applyNumberFormat="1" applyFont="1" applyFill="1" applyBorder="1" applyAlignment="1" applyProtection="1">
      <alignment horizontal="left" vertical="center" wrapText="1"/>
      <protection locked="0"/>
    </xf>
    <xf numFmtId="10" fontId="48" fillId="5" borderId="43" xfId="6" applyNumberFormat="1" applyFont="1" applyFill="1" applyBorder="1" applyAlignment="1" applyProtection="1">
      <alignment horizontal="left" vertical="center" wrapText="1"/>
    </xf>
    <xf numFmtId="0" fontId="49" fillId="5" borderId="47" xfId="0" applyFont="1" applyFill="1" applyBorder="1" applyAlignment="1" applyProtection="1">
      <alignment horizontal="left" vertical="center" wrapText="1"/>
    </xf>
    <xf numFmtId="0" fontId="49" fillId="5" borderId="37" xfId="0" applyFont="1" applyFill="1" applyBorder="1" applyAlignment="1" applyProtection="1">
      <alignment horizontal="left" vertical="center" wrapText="1"/>
    </xf>
    <xf numFmtId="0" fontId="48" fillId="5" borderId="60" xfId="0" applyFont="1" applyFill="1" applyBorder="1" applyAlignment="1" applyProtection="1">
      <alignment horizontal="left" vertical="center" wrapText="1"/>
    </xf>
    <xf numFmtId="0" fontId="48" fillId="5" borderId="53" xfId="0" applyFont="1" applyFill="1" applyBorder="1" applyAlignment="1" applyProtection="1">
      <alignment horizontal="left" vertical="center" wrapText="1"/>
    </xf>
    <xf numFmtId="0" fontId="49" fillId="5" borderId="49" xfId="0" applyFont="1" applyFill="1" applyBorder="1" applyAlignment="1" applyProtection="1">
      <alignment horizontal="left" vertical="center" wrapText="1"/>
    </xf>
    <xf numFmtId="0" fontId="48" fillId="5" borderId="40" xfId="0" applyFont="1" applyFill="1" applyBorder="1" applyAlignment="1" applyProtection="1">
      <alignment horizontal="left" vertical="center" wrapText="1"/>
    </xf>
    <xf numFmtId="0" fontId="49" fillId="5" borderId="40" xfId="0" applyFont="1" applyFill="1" applyBorder="1" applyAlignment="1" applyProtection="1">
      <alignment horizontal="left" vertical="center" wrapText="1"/>
    </xf>
    <xf numFmtId="0" fontId="48" fillId="5" borderId="30" xfId="0" applyFont="1" applyFill="1" applyBorder="1" applyAlignment="1" applyProtection="1">
      <alignment horizontal="left" vertical="center" wrapText="1"/>
    </xf>
    <xf numFmtId="0" fontId="48" fillId="5" borderId="7" xfId="0" applyFont="1" applyFill="1" applyBorder="1" applyAlignment="1" applyProtection="1">
      <alignment horizontal="left" vertical="center" wrapText="1"/>
    </xf>
    <xf numFmtId="9" fontId="48" fillId="5" borderId="6" xfId="0" applyNumberFormat="1" applyFont="1" applyFill="1" applyBorder="1" applyAlignment="1" applyProtection="1">
      <alignment horizontal="left" vertical="center" wrapText="1"/>
    </xf>
    <xf numFmtId="0" fontId="49" fillId="5" borderId="28" xfId="0" applyFont="1" applyFill="1" applyBorder="1" applyAlignment="1" applyProtection="1">
      <alignment horizontal="left" vertical="center" wrapText="1"/>
    </xf>
    <xf numFmtId="0" fontId="45" fillId="5" borderId="11" xfId="0" applyFont="1" applyFill="1" applyBorder="1" applyAlignment="1" applyProtection="1">
      <alignment horizontal="left" vertical="center" wrapText="1"/>
    </xf>
    <xf numFmtId="0" fontId="49" fillId="5" borderId="13" xfId="0" applyFont="1" applyFill="1" applyBorder="1" applyAlignment="1" applyProtection="1">
      <alignment horizontal="left" vertical="center" wrapText="1"/>
    </xf>
    <xf numFmtId="9" fontId="48" fillId="5" borderId="8" xfId="0" applyNumberFormat="1" applyFont="1" applyFill="1" applyBorder="1" applyAlignment="1" applyProtection="1">
      <alignment horizontal="left" vertical="center" wrapText="1"/>
    </xf>
    <xf numFmtId="10" fontId="48" fillId="5" borderId="61" xfId="0" applyNumberFormat="1" applyFont="1" applyFill="1" applyBorder="1" applyAlignment="1" applyProtection="1">
      <alignment horizontal="left" vertical="center" wrapText="1"/>
    </xf>
    <xf numFmtId="0" fontId="48" fillId="5" borderId="26" xfId="0" applyFont="1" applyFill="1" applyBorder="1" applyAlignment="1" applyProtection="1">
      <alignment horizontal="left" vertical="center" wrapText="1"/>
    </xf>
    <xf numFmtId="0" fontId="48" fillId="0" borderId="1" xfId="0" applyFont="1" applyBorder="1" applyAlignment="1" applyProtection="1">
      <alignment horizontal="left" vertical="center" wrapText="1"/>
      <protection locked="0"/>
    </xf>
    <xf numFmtId="0" fontId="101" fillId="5" borderId="2" xfId="0" applyFont="1" applyFill="1" applyBorder="1" applyAlignment="1" applyProtection="1">
      <alignment horizontal="left" vertical="center"/>
    </xf>
    <xf numFmtId="0" fontId="101" fillId="5" borderId="51" xfId="0" applyFont="1" applyFill="1" applyBorder="1" applyAlignment="1" applyProtection="1">
      <alignment horizontal="left" vertical="center"/>
    </xf>
    <xf numFmtId="0" fontId="101" fillId="5" borderId="41" xfId="0" applyFont="1" applyFill="1" applyBorder="1" applyAlignment="1" applyProtection="1">
      <alignment horizontal="left" vertical="center"/>
    </xf>
    <xf numFmtId="0" fontId="49" fillId="5" borderId="42" xfId="0" applyFont="1" applyFill="1" applyBorder="1" applyAlignment="1" applyProtection="1">
      <alignment horizontal="left" vertical="center" wrapText="1"/>
    </xf>
    <xf numFmtId="0" fontId="48" fillId="0" borderId="61" xfId="0" applyFont="1" applyBorder="1" applyAlignment="1" applyProtection="1">
      <alignment horizontal="left" vertical="center" wrapText="1"/>
      <protection locked="0"/>
    </xf>
    <xf numFmtId="0" fontId="48" fillId="5" borderId="61" xfId="0" applyFont="1" applyFill="1" applyBorder="1" applyAlignment="1" applyProtection="1">
      <alignment horizontal="left" vertical="center"/>
    </xf>
    <xf numFmtId="0" fontId="48" fillId="5" borderId="48" xfId="0" applyFont="1" applyFill="1" applyBorder="1" applyAlignment="1" applyProtection="1">
      <alignment horizontal="left" vertical="center" wrapText="1"/>
    </xf>
    <xf numFmtId="0" fontId="48" fillId="5" borderId="62" xfId="0" applyFont="1" applyFill="1" applyBorder="1" applyAlignment="1" applyProtection="1">
      <alignment horizontal="left" vertical="center" wrapText="1"/>
    </xf>
    <xf numFmtId="0" fontId="49" fillId="5" borderId="22" xfId="0" applyFont="1" applyFill="1" applyBorder="1" applyAlignment="1" applyProtection="1">
      <alignment horizontal="left" vertical="center" wrapText="1"/>
    </xf>
    <xf numFmtId="0" fontId="48" fillId="5" borderId="47" xfId="0" applyFont="1" applyFill="1" applyBorder="1" applyAlignment="1" applyProtection="1">
      <alignment horizontal="left" vertical="center"/>
    </xf>
    <xf numFmtId="0" fontId="48" fillId="5" borderId="28" xfId="0" applyFont="1" applyFill="1" applyBorder="1" applyAlignment="1" applyProtection="1">
      <alignment horizontal="left" vertical="center"/>
    </xf>
    <xf numFmtId="0" fontId="49" fillId="5" borderId="24" xfId="0" applyFont="1" applyFill="1" applyBorder="1" applyAlignment="1" applyProtection="1">
      <alignment horizontal="left" vertical="center" wrapText="1"/>
    </xf>
    <xf numFmtId="0" fontId="101" fillId="5" borderId="24" xfId="0" applyFont="1" applyFill="1" applyBorder="1" applyAlignment="1" applyProtection="1">
      <alignment horizontal="left" vertical="center" wrapText="1"/>
    </xf>
    <xf numFmtId="0" fontId="49" fillId="5" borderId="26" xfId="0" applyFont="1" applyFill="1" applyBorder="1" applyAlignment="1" applyProtection="1">
      <alignment horizontal="left" vertical="center" wrapText="1"/>
    </xf>
    <xf numFmtId="0" fontId="48" fillId="5" borderId="5" xfId="0" applyFont="1" applyFill="1" applyBorder="1" applyAlignment="1" applyProtection="1">
      <alignment horizontal="left" vertical="center"/>
    </xf>
    <xf numFmtId="0" fontId="48" fillId="5" borderId="7" xfId="0" applyFont="1" applyFill="1" applyBorder="1" applyAlignment="1" applyProtection="1">
      <alignment horizontal="left" vertical="center"/>
    </xf>
    <xf numFmtId="9" fontId="48" fillId="5" borderId="6" xfId="0" applyNumberFormat="1" applyFont="1" applyFill="1" applyBorder="1" applyAlignment="1" applyProtection="1">
      <alignment horizontal="left" vertical="center"/>
    </xf>
    <xf numFmtId="0" fontId="101" fillId="5" borderId="56" xfId="0" applyFont="1" applyFill="1" applyBorder="1" applyAlignment="1" applyProtection="1">
      <alignment horizontal="left" vertical="center" wrapText="1"/>
    </xf>
    <xf numFmtId="0" fontId="48" fillId="5" borderId="8" xfId="0" applyFont="1" applyFill="1" applyBorder="1" applyAlignment="1" applyProtection="1">
      <alignment horizontal="left" vertical="center" wrapText="1"/>
    </xf>
    <xf numFmtId="9" fontId="48" fillId="5" borderId="43" xfId="0" applyNumberFormat="1" applyFont="1" applyFill="1" applyBorder="1" applyAlignment="1" applyProtection="1">
      <alignment horizontal="left" vertical="center" wrapText="1"/>
    </xf>
    <xf numFmtId="0" fontId="48" fillId="8" borderId="0" xfId="0" applyFont="1" applyFill="1" applyAlignment="1" applyProtection="1">
      <alignment horizontal="left" vertical="center" wrapText="1"/>
    </xf>
    <xf numFmtId="0" fontId="16" fillId="5" borderId="1" xfId="0" applyFont="1" applyFill="1" applyBorder="1" applyAlignment="1" applyProtection="1">
      <alignment horizontal="left" vertical="center" wrapText="1"/>
    </xf>
    <xf numFmtId="181" fontId="101" fillId="5" borderId="1" xfId="0" applyNumberFormat="1" applyFont="1" applyFill="1" applyBorder="1" applyAlignment="1" applyProtection="1">
      <alignment horizontal="left" vertical="center" wrapText="1"/>
    </xf>
    <xf numFmtId="0" fontId="48" fillId="0" borderId="1" xfId="0" applyFont="1" applyFill="1" applyBorder="1" applyAlignment="1" applyProtection="1">
      <alignment horizontal="left" vertical="center" wrapText="1"/>
      <protection locked="0"/>
    </xf>
    <xf numFmtId="0" fontId="110" fillId="5" borderId="0" xfId="0" applyFont="1" applyFill="1" applyAlignment="1" applyProtection="1">
      <alignment horizontal="left" vertical="center"/>
    </xf>
    <xf numFmtId="187" fontId="98" fillId="5" borderId="0" xfId="0" applyNumberFormat="1" applyFont="1" applyFill="1" applyAlignment="1" applyProtection="1">
      <alignment horizontal="left" vertical="center" wrapText="1"/>
    </xf>
    <xf numFmtId="0" fontId="110" fillId="5" borderId="46" xfId="0" applyFont="1" applyFill="1" applyBorder="1" applyAlignment="1" applyProtection="1">
      <alignment horizontal="left" vertical="center"/>
    </xf>
    <xf numFmtId="187" fontId="189" fillId="5" borderId="37" xfId="0" applyNumberFormat="1" applyFont="1" applyFill="1" applyBorder="1" applyAlignment="1" applyProtection="1">
      <alignment horizontal="left" vertical="center" wrapText="1"/>
    </xf>
    <xf numFmtId="0" fontId="98" fillId="5" borderId="37" xfId="0" applyFont="1" applyFill="1" applyBorder="1" applyAlignment="1" applyProtection="1">
      <alignment horizontal="left" vertical="center"/>
    </xf>
    <xf numFmtId="0" fontId="110" fillId="5" borderId="47" xfId="0" applyFont="1" applyFill="1" applyBorder="1" applyAlignment="1" applyProtection="1">
      <alignment horizontal="left" vertical="center"/>
    </xf>
    <xf numFmtId="0" fontId="110" fillId="5" borderId="38" xfId="0" applyFont="1" applyFill="1" applyBorder="1" applyAlignment="1" applyProtection="1">
      <alignment horizontal="left" vertical="center"/>
    </xf>
    <xf numFmtId="0" fontId="110" fillId="5" borderId="0" xfId="0" applyFont="1" applyFill="1" applyBorder="1" applyAlignment="1" applyProtection="1">
      <alignment horizontal="left" vertical="center"/>
    </xf>
    <xf numFmtId="0" fontId="48" fillId="5" borderId="0" xfId="0" applyFont="1" applyFill="1" applyAlignment="1" applyProtection="1">
      <alignment horizontal="left" vertical="center" wrapText="1"/>
      <protection locked="0"/>
    </xf>
    <xf numFmtId="0" fontId="101" fillId="5" borderId="7" xfId="0" applyFont="1" applyFill="1" applyBorder="1" applyAlignment="1" applyProtection="1">
      <alignment horizontal="left" vertical="center" wrapText="1"/>
    </xf>
    <xf numFmtId="0" fontId="101" fillId="5" borderId="1" xfId="0" applyFont="1" applyFill="1" applyBorder="1" applyAlignment="1" applyProtection="1">
      <alignment horizontal="left" vertical="center" wrapText="1"/>
    </xf>
    <xf numFmtId="0" fontId="48" fillId="5" borderId="6" xfId="0" applyFont="1" applyFill="1" applyBorder="1" applyAlignment="1" applyProtection="1">
      <alignment horizontal="left" vertical="center" wrapText="1"/>
    </xf>
    <xf numFmtId="0" fontId="117" fillId="5" borderId="1" xfId="0" applyFont="1" applyFill="1" applyBorder="1" applyAlignment="1" applyProtection="1">
      <alignment horizontal="left" vertical="center" wrapText="1"/>
    </xf>
    <xf numFmtId="49" fontId="101" fillId="5" borderId="1" xfId="0" applyNumberFormat="1" applyFont="1" applyFill="1" applyBorder="1" applyAlignment="1" applyProtection="1">
      <alignment horizontal="left" vertical="center" wrapText="1"/>
    </xf>
    <xf numFmtId="10" fontId="101" fillId="5" borderId="1" xfId="0" applyNumberFormat="1" applyFont="1" applyFill="1" applyBorder="1" applyAlignment="1" applyProtection="1">
      <alignment horizontal="left" vertical="center" wrapText="1"/>
    </xf>
    <xf numFmtId="10" fontId="48" fillId="5" borderId="58" xfId="0" applyNumberFormat="1" applyFont="1" applyFill="1" applyBorder="1" applyAlignment="1" applyProtection="1">
      <alignment horizontal="left" vertical="center" wrapText="1"/>
    </xf>
    <xf numFmtId="10" fontId="48" fillId="5" borderId="0" xfId="0" applyNumberFormat="1" applyFont="1" applyFill="1" applyBorder="1" applyAlignment="1" applyProtection="1">
      <alignment horizontal="left" vertical="center" wrapText="1"/>
    </xf>
    <xf numFmtId="10" fontId="98" fillId="0" borderId="1" xfId="0" applyNumberFormat="1" applyFont="1" applyBorder="1" applyAlignment="1" applyProtection="1">
      <alignment horizontal="left" vertical="center"/>
      <protection locked="0"/>
    </xf>
    <xf numFmtId="10" fontId="98" fillId="5" borderId="1" xfId="0" applyNumberFormat="1" applyFont="1" applyFill="1" applyBorder="1" applyAlignment="1" applyProtection="1">
      <alignment horizontal="left" vertical="center"/>
    </xf>
    <xf numFmtId="9" fontId="101" fillId="5" borderId="1" xfId="0" applyNumberFormat="1" applyFont="1" applyFill="1" applyBorder="1" applyAlignment="1" applyProtection="1">
      <alignment horizontal="left" vertical="center" wrapText="1"/>
    </xf>
    <xf numFmtId="10" fontId="46" fillId="5" borderId="1" xfId="0" applyNumberFormat="1" applyFont="1" applyFill="1" applyBorder="1" applyAlignment="1" applyProtection="1">
      <alignment horizontal="left" vertical="center" wrapText="1"/>
    </xf>
    <xf numFmtId="0" fontId="101" fillId="5" borderId="1" xfId="0" applyNumberFormat="1" applyFont="1" applyFill="1" applyBorder="1" applyAlignment="1" applyProtection="1">
      <alignment horizontal="left" vertical="center" wrapText="1"/>
    </xf>
    <xf numFmtId="10" fontId="48" fillId="5" borderId="50" xfId="0" applyNumberFormat="1" applyFont="1" applyFill="1" applyBorder="1" applyAlignment="1" applyProtection="1">
      <alignment horizontal="left" vertical="center" wrapText="1"/>
    </xf>
    <xf numFmtId="0" fontId="240" fillId="0" borderId="1" xfId="0" applyNumberFormat="1" applyFont="1" applyFill="1" applyBorder="1" applyAlignment="1" applyProtection="1">
      <alignment horizontal="left" vertical="center" wrapText="1"/>
      <protection locked="0"/>
    </xf>
    <xf numFmtId="0" fontId="240" fillId="0" borderId="18" xfId="0" applyNumberFormat="1" applyFont="1" applyFill="1" applyBorder="1" applyAlignment="1" applyProtection="1">
      <alignment horizontal="left" vertical="center" wrapText="1"/>
      <protection locked="0"/>
    </xf>
    <xf numFmtId="0" fontId="101" fillId="5" borderId="19" xfId="0" applyFont="1" applyFill="1" applyBorder="1" applyAlignment="1" applyProtection="1">
      <alignment horizontal="left" vertical="center" wrapText="1"/>
    </xf>
    <xf numFmtId="0" fontId="101" fillId="5" borderId="18" xfId="0" applyNumberFormat="1" applyFont="1" applyFill="1" applyBorder="1" applyAlignment="1" applyProtection="1">
      <alignment horizontal="left" vertical="center" wrapText="1"/>
    </xf>
    <xf numFmtId="0" fontId="101" fillId="5" borderId="8" xfId="0" applyFont="1" applyFill="1" applyBorder="1" applyAlignment="1" applyProtection="1">
      <alignment horizontal="left" vertical="center" wrapText="1"/>
    </xf>
    <xf numFmtId="49" fontId="101" fillId="5" borderId="71" xfId="0" applyNumberFormat="1" applyFont="1" applyFill="1" applyBorder="1" applyAlignment="1" applyProtection="1">
      <alignment horizontal="left" vertical="center" wrapText="1"/>
    </xf>
    <xf numFmtId="10" fontId="48" fillId="5" borderId="73" xfId="0" applyNumberFormat="1" applyFont="1" applyFill="1" applyBorder="1" applyAlignment="1" applyProtection="1">
      <alignment horizontal="left" vertical="center" wrapText="1"/>
    </xf>
    <xf numFmtId="9" fontId="101" fillId="5" borderId="61" xfId="0" applyNumberFormat="1" applyFont="1" applyFill="1" applyBorder="1" applyAlignment="1" applyProtection="1">
      <alignment horizontal="left" vertical="center" wrapText="1"/>
    </xf>
    <xf numFmtId="0" fontId="189" fillId="5" borderId="37" xfId="0" applyNumberFormat="1" applyFont="1" applyFill="1" applyBorder="1" applyAlignment="1" applyProtection="1">
      <alignment horizontal="left" vertical="center" wrapText="1"/>
    </xf>
    <xf numFmtId="49" fontId="101" fillId="5" borderId="61" xfId="0" applyNumberFormat="1" applyFont="1" applyFill="1" applyBorder="1" applyAlignment="1" applyProtection="1">
      <alignment horizontal="left" vertical="center" wrapText="1"/>
    </xf>
    <xf numFmtId="0" fontId="101" fillId="0" borderId="61" xfId="0" applyNumberFormat="1" applyFont="1" applyFill="1" applyBorder="1" applyAlignment="1" applyProtection="1">
      <alignment horizontal="left" vertical="center" wrapText="1"/>
      <protection locked="0"/>
    </xf>
    <xf numFmtId="0" fontId="101" fillId="5" borderId="61" xfId="0" applyNumberFormat="1" applyFont="1" applyFill="1" applyBorder="1" applyAlignment="1" applyProtection="1">
      <alignment horizontal="left" vertical="center" wrapText="1"/>
    </xf>
    <xf numFmtId="0" fontId="101" fillId="6" borderId="61" xfId="0" applyFont="1" applyFill="1" applyBorder="1" applyAlignment="1" applyProtection="1">
      <alignment horizontal="left" vertical="center" wrapText="1"/>
      <protection locked="0"/>
    </xf>
    <xf numFmtId="10" fontId="101" fillId="5" borderId="61" xfId="0" applyNumberFormat="1" applyFont="1" applyFill="1" applyBorder="1" applyAlignment="1" applyProtection="1">
      <alignment horizontal="left" vertical="center" wrapText="1"/>
    </xf>
    <xf numFmtId="0" fontId="102" fillId="5" borderId="0" xfId="0" applyFont="1" applyFill="1" applyAlignment="1" applyProtection="1">
      <alignment horizontal="left" vertical="center"/>
    </xf>
    <xf numFmtId="0" fontId="101" fillId="5" borderId="1" xfId="0" applyFont="1" applyFill="1" applyBorder="1" applyAlignment="1" applyProtection="1">
      <alignment horizontal="left" vertical="center"/>
    </xf>
    <xf numFmtId="0" fontId="101" fillId="5" borderId="3" xfId="0" applyFont="1" applyFill="1" applyBorder="1" applyAlignment="1" applyProtection="1">
      <alignment horizontal="left" vertical="center"/>
    </xf>
    <xf numFmtId="186" fontId="101" fillId="5" borderId="1" xfId="0" applyNumberFormat="1" applyFont="1" applyFill="1" applyBorder="1" applyAlignment="1" applyProtection="1">
      <alignment horizontal="left" vertical="center"/>
    </xf>
    <xf numFmtId="187" fontId="101" fillId="5" borderId="1" xfId="0" applyNumberFormat="1" applyFont="1" applyFill="1" applyBorder="1" applyAlignment="1" applyProtection="1">
      <alignment horizontal="left" vertical="center"/>
    </xf>
    <xf numFmtId="177" fontId="117" fillId="5" borderId="1" xfId="0" applyNumberFormat="1" applyFont="1" applyFill="1" applyBorder="1" applyAlignment="1" applyProtection="1">
      <alignment horizontal="left" vertical="center"/>
    </xf>
    <xf numFmtId="187" fontId="117" fillId="5" borderId="1" xfId="0" applyNumberFormat="1" applyFont="1" applyFill="1" applyBorder="1" applyAlignment="1" applyProtection="1">
      <alignment horizontal="left" vertical="center" wrapText="1"/>
    </xf>
    <xf numFmtId="186" fontId="101" fillId="5" borderId="17" xfId="0" applyNumberFormat="1" applyFont="1" applyFill="1" applyBorder="1" applyAlignment="1" applyProtection="1">
      <alignment horizontal="left" vertical="center" wrapText="1"/>
    </xf>
    <xf numFmtId="179" fontId="117" fillId="5" borderId="1" xfId="0" applyNumberFormat="1" applyFont="1" applyFill="1" applyBorder="1" applyAlignment="1" applyProtection="1">
      <alignment horizontal="left" vertical="center"/>
    </xf>
    <xf numFmtId="0" fontId="48" fillId="5" borderId="49" xfId="0" applyNumberFormat="1" applyFont="1" applyFill="1" applyBorder="1" applyAlignment="1" applyProtection="1">
      <alignment horizontal="left" vertical="center" wrapText="1"/>
    </xf>
    <xf numFmtId="179" fontId="117" fillId="5" borderId="49" xfId="0" applyNumberFormat="1" applyFont="1" applyFill="1" applyBorder="1" applyAlignment="1" applyProtection="1">
      <alignment horizontal="left" vertical="center" wrapText="1"/>
    </xf>
    <xf numFmtId="0" fontId="48" fillId="5" borderId="57" xfId="0" applyNumberFormat="1" applyFont="1" applyFill="1" applyBorder="1" applyAlignment="1" applyProtection="1">
      <alignment horizontal="left" vertical="center" wrapText="1"/>
    </xf>
    <xf numFmtId="0" fontId="117" fillId="5" borderId="37" xfId="0" applyNumberFormat="1" applyFont="1" applyFill="1" applyBorder="1" applyAlignment="1" applyProtection="1">
      <alignment horizontal="left" vertical="center" wrapText="1"/>
    </xf>
    <xf numFmtId="0" fontId="235" fillId="5" borderId="1" xfId="3" applyNumberFormat="1" applyFont="1" applyFill="1" applyBorder="1" applyAlignment="1" applyProtection="1">
      <alignment horizontal="left" vertical="center"/>
    </xf>
    <xf numFmtId="0" fontId="98" fillId="0" borderId="0" xfId="0" applyNumberFormat="1" applyFont="1" applyAlignment="1" applyProtection="1">
      <alignment horizontal="left" vertical="center"/>
    </xf>
    <xf numFmtId="0" fontId="48" fillId="5" borderId="5" xfId="0" applyNumberFormat="1" applyFont="1" applyFill="1" applyBorder="1" applyAlignment="1" applyProtection="1">
      <alignment horizontal="left" vertical="center" wrapText="1"/>
    </xf>
    <xf numFmtId="0" fontId="48" fillId="5" borderId="11" xfId="3" applyNumberFormat="1" applyFont="1" applyFill="1" applyBorder="1" applyAlignment="1" applyProtection="1">
      <alignment horizontal="left" vertical="center"/>
    </xf>
    <xf numFmtId="0" fontId="48" fillId="5" borderId="17" xfId="3" applyNumberFormat="1" applyFont="1" applyFill="1" applyBorder="1" applyAlignment="1" applyProtection="1">
      <alignment horizontal="left" vertical="center"/>
    </xf>
    <xf numFmtId="0" fontId="48" fillId="5" borderId="17" xfId="3" applyNumberFormat="1" applyFont="1" applyFill="1" applyBorder="1" applyAlignment="1" applyProtection="1">
      <alignment horizontal="left" vertical="center" wrapText="1"/>
    </xf>
    <xf numFmtId="0" fontId="48" fillId="5" borderId="57" xfId="3" applyNumberFormat="1" applyFont="1" applyFill="1" applyBorder="1" applyAlignment="1" applyProtection="1">
      <alignment horizontal="left" vertical="center"/>
    </xf>
    <xf numFmtId="0" fontId="48" fillId="5" borderId="59" xfId="3" applyNumberFormat="1" applyFont="1" applyFill="1" applyBorder="1" applyAlignment="1" applyProtection="1">
      <alignment horizontal="left" vertical="center"/>
    </xf>
    <xf numFmtId="0" fontId="48" fillId="5" borderId="7" xfId="0" applyNumberFormat="1" applyFont="1" applyFill="1" applyBorder="1" applyAlignment="1" applyProtection="1">
      <alignment horizontal="left" vertical="center" wrapText="1"/>
    </xf>
    <xf numFmtId="0" fontId="117" fillId="5" borderId="1" xfId="0" applyNumberFormat="1" applyFont="1" applyFill="1" applyBorder="1" applyAlignment="1" applyProtection="1">
      <alignment horizontal="left" vertical="center" wrapText="1"/>
    </xf>
    <xf numFmtId="0" fontId="117" fillId="5" borderId="6" xfId="0" applyNumberFormat="1" applyFont="1" applyFill="1" applyBorder="1" applyAlignment="1" applyProtection="1">
      <alignment horizontal="left" vertical="center" wrapText="1"/>
    </xf>
    <xf numFmtId="0" fontId="48" fillId="5" borderId="8" xfId="0" applyNumberFormat="1" applyFont="1" applyFill="1" applyBorder="1" applyAlignment="1" applyProtection="1">
      <alignment horizontal="left" vertical="center" wrapText="1"/>
    </xf>
    <xf numFmtId="0" fontId="117" fillId="5" borderId="61" xfId="0" applyNumberFormat="1" applyFont="1" applyFill="1" applyBorder="1" applyAlignment="1" applyProtection="1">
      <alignment horizontal="left" vertical="center" wrapText="1"/>
    </xf>
    <xf numFmtId="0" fontId="117" fillId="5" borderId="43" xfId="0" applyNumberFormat="1" applyFont="1" applyFill="1" applyBorder="1" applyAlignment="1" applyProtection="1">
      <alignment horizontal="left" vertical="center" wrapText="1"/>
    </xf>
    <xf numFmtId="0" fontId="102" fillId="0" borderId="0" xfId="7" applyFont="1" applyAlignment="1">
      <alignment horizontal="left" vertical="center"/>
    </xf>
    <xf numFmtId="0" fontId="102" fillId="0" borderId="127" xfId="7" applyFont="1" applyBorder="1" applyAlignment="1">
      <alignment horizontal="left" vertical="center"/>
    </xf>
    <xf numFmtId="0" fontId="97" fillId="5" borderId="127" xfId="8" applyFont="1" applyFill="1" applyBorder="1" applyAlignment="1" applyProtection="1">
      <alignment horizontal="left" vertical="center"/>
    </xf>
    <xf numFmtId="0" fontId="18" fillId="5" borderId="127" xfId="8" applyFont="1" applyFill="1" applyBorder="1" applyAlignment="1" applyProtection="1">
      <alignment horizontal="left" vertical="center"/>
    </xf>
    <xf numFmtId="0" fontId="102" fillId="0" borderId="128" xfId="7" applyFont="1" applyBorder="1" applyAlignment="1">
      <alignment horizontal="left" vertical="center"/>
    </xf>
    <xf numFmtId="0" fontId="168" fillId="17" borderId="0" xfId="7" applyFont="1" applyFill="1" applyAlignment="1">
      <alignment horizontal="left" vertical="center"/>
    </xf>
    <xf numFmtId="0" fontId="98" fillId="17" borderId="0" xfId="8" applyFont="1" applyFill="1" applyAlignment="1" applyProtection="1">
      <alignment horizontal="left" vertical="center"/>
    </xf>
    <xf numFmtId="0" fontId="18" fillId="17" borderId="0" xfId="8" applyFont="1" applyFill="1" applyAlignment="1" applyProtection="1">
      <alignment horizontal="left" vertical="center"/>
    </xf>
    <xf numFmtId="0" fontId="102" fillId="17" borderId="129" xfId="7" applyFont="1" applyFill="1" applyBorder="1" applyAlignment="1">
      <alignment horizontal="left" vertical="center"/>
    </xf>
    <xf numFmtId="0" fontId="102" fillId="17" borderId="0" xfId="7" applyFont="1" applyFill="1" applyBorder="1" applyAlignment="1">
      <alignment horizontal="left" vertical="center"/>
    </xf>
    <xf numFmtId="0" fontId="150" fillId="17" borderId="134" xfId="7" applyFont="1" applyFill="1" applyBorder="1" applyAlignment="1" applyProtection="1">
      <alignment horizontal="left" vertical="center" wrapText="1"/>
    </xf>
    <xf numFmtId="0" fontId="150" fillId="17" borderId="138" xfId="7" applyFont="1" applyFill="1" applyBorder="1" applyAlignment="1" applyProtection="1">
      <alignment horizontal="left" vertical="center" wrapText="1"/>
    </xf>
    <xf numFmtId="0" fontId="102" fillId="17" borderId="0" xfId="7" applyFont="1" applyFill="1" applyAlignment="1">
      <alignment horizontal="left" vertical="center"/>
    </xf>
    <xf numFmtId="0" fontId="147" fillId="17" borderId="0" xfId="7" applyFont="1" applyFill="1" applyAlignment="1">
      <alignment horizontal="left" vertical="center"/>
    </xf>
    <xf numFmtId="0" fontId="101" fillId="17" borderId="0" xfId="7" applyFont="1" applyFill="1" applyAlignment="1">
      <alignment horizontal="left" vertical="center"/>
    </xf>
    <xf numFmtId="10" fontId="101" fillId="17" borderId="0" xfId="7" applyNumberFormat="1" applyFont="1" applyFill="1" applyAlignment="1">
      <alignment horizontal="left" vertical="center"/>
    </xf>
    <xf numFmtId="0" fontId="102" fillId="0" borderId="0" xfId="7" applyFont="1" applyFill="1" applyAlignment="1">
      <alignment horizontal="left" vertical="center"/>
    </xf>
    <xf numFmtId="0" fontId="98" fillId="0" borderId="0" xfId="8" applyFont="1" applyFill="1" applyAlignment="1" applyProtection="1">
      <alignment horizontal="left" vertical="center"/>
    </xf>
    <xf numFmtId="0" fontId="18" fillId="0" borderId="0" xfId="8" applyFont="1" applyFill="1" applyAlignment="1" applyProtection="1">
      <alignment horizontal="left" vertical="center"/>
    </xf>
    <xf numFmtId="0" fontId="102" fillId="0" borderId="129" xfId="7" applyFont="1" applyFill="1" applyBorder="1" applyAlignment="1">
      <alignment horizontal="left" vertical="center"/>
    </xf>
    <xf numFmtId="0" fontId="102" fillId="0" borderId="0" xfId="7" applyFont="1" applyFill="1" applyBorder="1" applyAlignment="1">
      <alignment horizontal="left" vertical="center"/>
    </xf>
    <xf numFmtId="0" fontId="102" fillId="0" borderId="0" xfId="7" applyFont="1" applyFill="1" applyBorder="1" applyAlignment="1" applyProtection="1">
      <alignment horizontal="left" vertical="center"/>
      <protection locked="0"/>
    </xf>
    <xf numFmtId="0" fontId="101" fillId="0" borderId="0" xfId="7" applyFont="1" applyAlignment="1">
      <alignment horizontal="left" vertical="center"/>
    </xf>
    <xf numFmtId="10" fontId="101" fillId="0" borderId="0" xfId="7" applyNumberFormat="1" applyFont="1" applyAlignment="1">
      <alignment horizontal="left" vertical="center"/>
    </xf>
    <xf numFmtId="49" fontId="48" fillId="14" borderId="1" xfId="7" applyNumberFormat="1" applyFont="1" applyFill="1" applyBorder="1" applyAlignment="1" applyProtection="1">
      <alignment horizontal="left" vertical="center" wrapText="1"/>
    </xf>
    <xf numFmtId="186" fontId="151" fillId="14" borderId="0" xfId="7" applyNumberFormat="1" applyFont="1" applyFill="1" applyBorder="1" applyAlignment="1">
      <alignment horizontal="left" vertical="center"/>
    </xf>
    <xf numFmtId="186" fontId="151" fillId="14" borderId="0" xfId="7" applyNumberFormat="1" applyFont="1" applyFill="1" applyAlignment="1">
      <alignment horizontal="left" vertical="center"/>
    </xf>
    <xf numFmtId="0" fontId="150" fillId="12" borderId="133" xfId="7" applyFont="1" applyFill="1" applyBorder="1" applyAlignment="1" applyProtection="1">
      <alignment horizontal="left" vertical="center" wrapText="1"/>
    </xf>
    <xf numFmtId="0" fontId="150" fillId="14" borderId="134" xfId="7" applyFont="1" applyFill="1" applyBorder="1" applyAlignment="1" applyProtection="1">
      <alignment horizontal="left" vertical="center" wrapText="1"/>
    </xf>
    <xf numFmtId="0" fontId="242" fillId="16" borderId="134" xfId="7" applyFont="1" applyFill="1" applyBorder="1" applyAlignment="1" applyProtection="1">
      <alignment horizontal="left" vertical="center" wrapText="1"/>
      <protection locked="0"/>
    </xf>
    <xf numFmtId="0" fontId="242" fillId="16" borderId="138" xfId="7" applyFont="1" applyFill="1" applyBorder="1" applyAlignment="1" applyProtection="1">
      <alignment horizontal="left" vertical="center" wrapText="1"/>
      <protection locked="0"/>
    </xf>
    <xf numFmtId="0" fontId="102" fillId="14" borderId="0" xfId="7" applyFont="1" applyFill="1" applyAlignment="1">
      <alignment horizontal="left" vertical="center"/>
    </xf>
    <xf numFmtId="10" fontId="151" fillId="14" borderId="136" xfId="7" applyNumberFormat="1" applyFont="1" applyFill="1" applyBorder="1" applyAlignment="1">
      <alignment horizontal="left" vertical="center"/>
    </xf>
    <xf numFmtId="0" fontId="117" fillId="6" borderId="0" xfId="7" applyFont="1" applyFill="1" applyAlignment="1">
      <alignment horizontal="left" vertical="center"/>
    </xf>
    <xf numFmtId="0" fontId="101" fillId="14" borderId="0" xfId="7" applyFont="1" applyFill="1" applyAlignment="1">
      <alignment horizontal="left" vertical="center"/>
    </xf>
    <xf numFmtId="10" fontId="101" fillId="14" borderId="0" xfId="7" applyNumberFormat="1" applyFont="1" applyFill="1" applyAlignment="1">
      <alignment horizontal="left" vertical="center"/>
    </xf>
    <xf numFmtId="49" fontId="48" fillId="5" borderId="1" xfId="7" applyNumberFormat="1" applyFont="1" applyFill="1" applyBorder="1" applyAlignment="1" applyProtection="1">
      <alignment horizontal="left" vertical="center" wrapText="1"/>
    </xf>
    <xf numFmtId="186" fontId="101" fillId="0" borderId="0" xfId="7" applyNumberFormat="1" applyFont="1" applyAlignment="1" applyProtection="1">
      <alignment horizontal="left" vertical="center"/>
    </xf>
    <xf numFmtId="0" fontId="150" fillId="13" borderId="134" xfId="7" applyFont="1" applyFill="1" applyBorder="1" applyAlignment="1" applyProtection="1">
      <alignment horizontal="left" vertical="center" wrapText="1"/>
    </xf>
    <xf numFmtId="0" fontId="150" fillId="13" borderId="138" xfId="7" applyFont="1" applyFill="1" applyBorder="1" applyAlignment="1" applyProtection="1">
      <alignment horizontal="left" vertical="center" wrapText="1"/>
    </xf>
    <xf numFmtId="0" fontId="101" fillId="0" borderId="0" xfId="7" applyFont="1" applyAlignment="1" applyProtection="1">
      <alignment horizontal="left" vertical="center"/>
    </xf>
    <xf numFmtId="10" fontId="101" fillId="0" borderId="129" xfId="7" applyNumberFormat="1" applyFont="1" applyBorder="1" applyAlignment="1" applyProtection="1">
      <alignment horizontal="left" vertical="center"/>
    </xf>
    <xf numFmtId="10" fontId="101" fillId="0" borderId="0" xfId="7" applyNumberFormat="1" applyFont="1" applyAlignment="1" applyProtection="1">
      <alignment horizontal="left" vertical="center"/>
    </xf>
    <xf numFmtId="0" fontId="151" fillId="14" borderId="0" xfId="7" applyFont="1" applyFill="1" applyAlignment="1" applyProtection="1">
      <alignment horizontal="left" vertical="center"/>
    </xf>
    <xf numFmtId="0" fontId="150" fillId="12" borderId="131" xfId="7" applyFont="1" applyFill="1" applyBorder="1" applyAlignment="1" applyProtection="1">
      <alignment horizontal="left" vertical="center" wrapText="1"/>
    </xf>
    <xf numFmtId="0" fontId="150" fillId="12" borderId="132" xfId="7" applyFont="1" applyFill="1" applyBorder="1" applyAlignment="1" applyProtection="1">
      <alignment horizontal="left" vertical="center" wrapText="1"/>
    </xf>
    <xf numFmtId="186" fontId="102" fillId="12" borderId="131" xfId="7" applyNumberFormat="1" applyFont="1" applyFill="1" applyBorder="1" applyAlignment="1">
      <alignment horizontal="left" vertical="center" wrapText="1"/>
    </xf>
    <xf numFmtId="186" fontId="102" fillId="12" borderId="137" xfId="7" applyNumberFormat="1" applyFont="1" applyFill="1" applyBorder="1" applyAlignment="1">
      <alignment horizontal="left" vertical="center" wrapText="1"/>
    </xf>
    <xf numFmtId="10" fontId="101" fillId="0" borderId="142" xfId="7" applyNumberFormat="1" applyFont="1" applyBorder="1" applyAlignment="1">
      <alignment horizontal="left" vertical="center"/>
    </xf>
    <xf numFmtId="10" fontId="101" fillId="0" borderId="36" xfId="7" applyNumberFormat="1" applyFont="1" applyBorder="1" applyAlignment="1">
      <alignment horizontal="left" vertical="center"/>
    </xf>
    <xf numFmtId="177" fontId="101" fillId="0" borderId="0" xfId="7" applyNumberFormat="1" applyFont="1" applyAlignment="1">
      <alignment horizontal="left" vertical="center"/>
    </xf>
    <xf numFmtId="181" fontId="101" fillId="0" borderId="129" xfId="7" applyNumberFormat="1" applyFont="1" applyBorder="1" applyAlignment="1">
      <alignment horizontal="left" vertical="center"/>
    </xf>
    <xf numFmtId="181" fontId="101" fillId="0" borderId="0" xfId="7" applyNumberFormat="1" applyFont="1" applyAlignment="1">
      <alignment horizontal="left" vertical="center"/>
    </xf>
    <xf numFmtId="186" fontId="101" fillId="0" borderId="0" xfId="7" applyNumberFormat="1" applyFont="1" applyAlignment="1">
      <alignment horizontal="left" vertical="center"/>
    </xf>
    <xf numFmtId="10" fontId="101" fillId="0" borderId="129" xfId="7" applyNumberFormat="1" applyFont="1" applyBorder="1" applyAlignment="1">
      <alignment horizontal="left" vertical="center"/>
    </xf>
    <xf numFmtId="0" fontId="151" fillId="14" borderId="0" xfId="7" applyFont="1" applyFill="1" applyAlignment="1">
      <alignment horizontal="left" vertical="center"/>
    </xf>
    <xf numFmtId="0" fontId="150" fillId="12" borderId="134" xfId="7" applyFont="1" applyFill="1" applyBorder="1" applyAlignment="1" applyProtection="1">
      <alignment horizontal="left" vertical="center" wrapText="1"/>
    </xf>
    <xf numFmtId="0" fontId="150" fillId="12" borderId="138" xfId="7" applyFont="1" applyFill="1" applyBorder="1" applyAlignment="1" applyProtection="1">
      <alignment horizontal="left" vertical="center" wrapText="1"/>
    </xf>
    <xf numFmtId="10" fontId="101" fillId="0" borderId="136" xfId="7" applyNumberFormat="1" applyFont="1" applyBorder="1" applyAlignment="1">
      <alignment horizontal="left" vertical="center"/>
    </xf>
    <xf numFmtId="10" fontId="101" fillId="0" borderId="65" xfId="7" applyNumberFormat="1" applyFont="1" applyBorder="1" applyAlignment="1">
      <alignment horizontal="left" vertical="center"/>
    </xf>
    <xf numFmtId="10" fontId="101" fillId="0" borderId="0" xfId="7" applyNumberFormat="1" applyFont="1" applyBorder="1" applyAlignment="1">
      <alignment horizontal="left" vertical="center"/>
    </xf>
    <xf numFmtId="0" fontId="101" fillId="0" borderId="0" xfId="7" applyFont="1" applyFill="1" applyAlignment="1">
      <alignment horizontal="left" vertical="center"/>
    </xf>
    <xf numFmtId="10" fontId="101" fillId="0" borderId="0" xfId="7" applyNumberFormat="1" applyFont="1" applyFill="1" applyAlignment="1">
      <alignment horizontal="left" vertical="center"/>
    </xf>
    <xf numFmtId="0" fontId="150" fillId="12" borderId="140" xfId="7" applyFont="1" applyFill="1" applyBorder="1" applyAlignment="1" applyProtection="1">
      <alignment horizontal="left" vertical="center" wrapText="1"/>
    </xf>
    <xf numFmtId="0" fontId="150" fillId="12" borderId="141" xfId="7" applyFont="1" applyFill="1" applyBorder="1" applyAlignment="1" applyProtection="1">
      <alignment horizontal="left" vertical="center" wrapText="1"/>
    </xf>
    <xf numFmtId="0" fontId="101" fillId="0" borderId="129" xfId="7" applyFont="1" applyBorder="1" applyAlignment="1">
      <alignment horizontal="left" vertical="center"/>
    </xf>
    <xf numFmtId="0" fontId="150" fillId="13" borderId="131" xfId="7" applyFont="1" applyFill="1" applyBorder="1" applyAlignment="1" applyProtection="1">
      <alignment horizontal="left" vertical="center" wrapText="1"/>
    </xf>
    <xf numFmtId="0" fontId="150" fillId="13" borderId="132" xfId="7" applyFont="1" applyFill="1" applyBorder="1" applyAlignment="1" applyProtection="1">
      <alignment horizontal="left" vertical="center" wrapText="1"/>
    </xf>
    <xf numFmtId="186" fontId="102" fillId="12" borderId="134" xfId="7" applyNumberFormat="1" applyFont="1" applyFill="1" applyBorder="1" applyAlignment="1">
      <alignment horizontal="left" vertical="center" wrapText="1"/>
    </xf>
    <xf numFmtId="186" fontId="102" fillId="12" borderId="143" xfId="7" applyNumberFormat="1" applyFont="1" applyFill="1" applyBorder="1" applyAlignment="1">
      <alignment horizontal="left" vertical="center" wrapText="1"/>
    </xf>
    <xf numFmtId="0" fontId="101" fillId="13" borderId="131" xfId="7" applyFont="1" applyFill="1" applyBorder="1" applyAlignment="1" applyProtection="1">
      <alignment horizontal="left" vertical="center" wrapText="1"/>
    </xf>
    <xf numFmtId="0" fontId="101" fillId="13" borderId="132" xfId="7" applyFont="1" applyFill="1" applyBorder="1" applyAlignment="1" applyProtection="1">
      <alignment horizontal="left" vertical="center" wrapText="1"/>
    </xf>
    <xf numFmtId="49" fontId="48" fillId="6" borderId="1" xfId="7" applyNumberFormat="1" applyFont="1" applyFill="1" applyBorder="1" applyAlignment="1" applyProtection="1">
      <alignment horizontal="left" vertical="center" wrapText="1"/>
    </xf>
    <xf numFmtId="186" fontId="101" fillId="6" borderId="0" xfId="7" applyNumberFormat="1" applyFont="1" applyFill="1" applyAlignment="1">
      <alignment horizontal="left" vertical="center"/>
    </xf>
    <xf numFmtId="0" fontId="101" fillId="6" borderId="134" xfId="7" applyFont="1" applyFill="1" applyBorder="1" applyAlignment="1" applyProtection="1">
      <alignment horizontal="left" vertical="center" wrapText="1"/>
    </xf>
    <xf numFmtId="0" fontId="101" fillId="6" borderId="138" xfId="7" applyFont="1" applyFill="1" applyBorder="1" applyAlignment="1" applyProtection="1">
      <alignment horizontal="left" vertical="center" wrapText="1"/>
    </xf>
    <xf numFmtId="0" fontId="101" fillId="6" borderId="0" xfId="7" applyFont="1" applyFill="1" applyAlignment="1">
      <alignment horizontal="left" vertical="center"/>
    </xf>
    <xf numFmtId="10" fontId="101" fillId="6" borderId="129" xfId="7" applyNumberFormat="1" applyFont="1" applyFill="1" applyBorder="1" applyAlignment="1">
      <alignment horizontal="left" vertical="center"/>
    </xf>
    <xf numFmtId="10" fontId="101" fillId="6" borderId="0" xfId="7" applyNumberFormat="1" applyFont="1" applyFill="1" applyAlignment="1">
      <alignment horizontal="left" vertical="center"/>
    </xf>
    <xf numFmtId="177" fontId="101" fillId="6" borderId="0" xfId="7" applyNumberFormat="1" applyFont="1" applyFill="1" applyAlignment="1">
      <alignment horizontal="left" vertical="center"/>
    </xf>
    <xf numFmtId="10" fontId="101" fillId="6" borderId="136" xfId="7" applyNumberFormat="1" applyFont="1" applyFill="1" applyBorder="1" applyAlignment="1">
      <alignment horizontal="left" vertical="center"/>
    </xf>
    <xf numFmtId="10" fontId="101" fillId="6" borderId="65" xfId="7" applyNumberFormat="1" applyFont="1" applyFill="1" applyBorder="1" applyAlignment="1">
      <alignment horizontal="left" vertical="center"/>
    </xf>
    <xf numFmtId="0" fontId="138" fillId="6" borderId="0" xfId="7" applyFont="1" applyFill="1" applyAlignment="1">
      <alignment horizontal="left" vertical="center"/>
    </xf>
    <xf numFmtId="0" fontId="101" fillId="6" borderId="0" xfId="7" applyNumberFormat="1" applyFont="1" applyFill="1" applyAlignment="1">
      <alignment horizontal="left" vertical="center"/>
    </xf>
    <xf numFmtId="0" fontId="101" fillId="12" borderId="140" xfId="7" applyFont="1" applyFill="1" applyBorder="1" applyAlignment="1" applyProtection="1">
      <alignment horizontal="left" vertical="center" wrapText="1"/>
    </xf>
    <xf numFmtId="0" fontId="101" fillId="12" borderId="141" xfId="7" applyFont="1" applyFill="1" applyBorder="1" applyAlignment="1" applyProtection="1">
      <alignment horizontal="left" vertical="center" wrapText="1"/>
    </xf>
    <xf numFmtId="14" fontId="101" fillId="0" borderId="0" xfId="7" applyNumberFormat="1" applyFont="1" applyAlignment="1">
      <alignment horizontal="left" vertical="center"/>
    </xf>
    <xf numFmtId="0" fontId="138" fillId="0" borderId="0" xfId="7" applyFont="1" applyAlignment="1">
      <alignment horizontal="left" vertical="center"/>
    </xf>
    <xf numFmtId="0" fontId="101" fillId="0" borderId="0" xfId="7" applyNumberFormat="1" applyFont="1" applyAlignment="1">
      <alignment horizontal="left" vertical="center"/>
    </xf>
    <xf numFmtId="186" fontId="102" fillId="12" borderId="140" xfId="7" applyNumberFormat="1" applyFont="1" applyFill="1" applyBorder="1" applyAlignment="1">
      <alignment horizontal="left" vertical="center" wrapText="1"/>
    </xf>
    <xf numFmtId="186" fontId="102" fillId="12" borderId="144" xfId="7" applyNumberFormat="1" applyFont="1" applyFill="1" applyBorder="1" applyAlignment="1">
      <alignment horizontal="left" vertical="center" wrapText="1"/>
    </xf>
    <xf numFmtId="186" fontId="101" fillId="14" borderId="0" xfId="7" applyNumberFormat="1" applyFont="1" applyFill="1" applyAlignment="1">
      <alignment horizontal="left" vertical="center"/>
    </xf>
    <xf numFmtId="186" fontId="101" fillId="0" borderId="40" xfId="7" applyNumberFormat="1" applyFont="1" applyBorder="1" applyAlignment="1">
      <alignment horizontal="left" vertical="center"/>
    </xf>
    <xf numFmtId="0" fontId="150" fillId="13" borderId="145" xfId="7" applyFont="1" applyFill="1" applyBorder="1" applyAlignment="1" applyProtection="1">
      <alignment horizontal="left" vertical="center" wrapText="1"/>
    </xf>
    <xf numFmtId="0" fontId="150" fillId="13" borderId="146" xfId="7" applyFont="1" applyFill="1" applyBorder="1" applyAlignment="1" applyProtection="1">
      <alignment horizontal="left" vertical="center" wrapText="1"/>
    </xf>
    <xf numFmtId="0" fontId="101" fillId="0" borderId="40" xfId="7" applyFont="1" applyBorder="1" applyAlignment="1">
      <alignment horizontal="left" vertical="center"/>
    </xf>
    <xf numFmtId="10" fontId="101" fillId="0" borderId="147" xfId="7" applyNumberFormat="1" applyFont="1" applyBorder="1" applyAlignment="1">
      <alignment horizontal="left" vertical="center"/>
    </xf>
    <xf numFmtId="10" fontId="101" fillId="0" borderId="40" xfId="7" applyNumberFormat="1" applyFont="1" applyBorder="1" applyAlignment="1">
      <alignment horizontal="left" vertical="center"/>
    </xf>
    <xf numFmtId="177" fontId="101" fillId="0" borderId="40" xfId="7" applyNumberFormat="1" applyFont="1" applyBorder="1" applyAlignment="1">
      <alignment horizontal="left" vertical="center"/>
    </xf>
    <xf numFmtId="0" fontId="150" fillId="12" borderId="148" xfId="7" applyFont="1" applyFill="1" applyBorder="1" applyAlignment="1" applyProtection="1">
      <alignment horizontal="left" vertical="center" wrapText="1"/>
    </xf>
    <xf numFmtId="0" fontId="150" fillId="12" borderId="149" xfId="7" applyFont="1" applyFill="1" applyBorder="1" applyAlignment="1" applyProtection="1">
      <alignment horizontal="left" vertical="center" wrapText="1"/>
    </xf>
    <xf numFmtId="10" fontId="101" fillId="15" borderId="129" xfId="7" applyNumberFormat="1" applyFont="1" applyFill="1" applyBorder="1" applyAlignment="1">
      <alignment horizontal="left" vertical="center"/>
    </xf>
    <xf numFmtId="10" fontId="101" fillId="15" borderId="0" xfId="7" applyNumberFormat="1" applyFont="1" applyFill="1" applyAlignment="1">
      <alignment horizontal="left" vertical="center"/>
    </xf>
    <xf numFmtId="178" fontId="101" fillId="0" borderId="0" xfId="7" applyNumberFormat="1" applyFont="1" applyAlignment="1">
      <alignment horizontal="left" vertical="center"/>
    </xf>
    <xf numFmtId="10" fontId="101" fillId="15" borderId="136" xfId="7" applyNumberFormat="1" applyFont="1" applyFill="1" applyBorder="1" applyAlignment="1">
      <alignment horizontal="left" vertical="center"/>
    </xf>
    <xf numFmtId="10" fontId="101" fillId="15" borderId="65" xfId="7" applyNumberFormat="1" applyFont="1" applyFill="1" applyBorder="1" applyAlignment="1">
      <alignment horizontal="left" vertical="center"/>
    </xf>
    <xf numFmtId="10" fontId="101" fillId="15" borderId="147" xfId="7" applyNumberFormat="1" applyFont="1" applyFill="1" applyBorder="1" applyAlignment="1">
      <alignment horizontal="left" vertical="center"/>
    </xf>
    <xf numFmtId="10" fontId="101" fillId="15" borderId="40" xfId="7" applyNumberFormat="1" applyFont="1" applyFill="1" applyBorder="1" applyAlignment="1">
      <alignment horizontal="left" vertical="center"/>
    </xf>
    <xf numFmtId="178" fontId="101" fillId="0" borderId="40" xfId="7" applyNumberFormat="1" applyFont="1" applyBorder="1" applyAlignment="1">
      <alignment horizontal="left" vertical="center"/>
    </xf>
    <xf numFmtId="0" fontId="102" fillId="13" borderId="150" xfId="7" applyFont="1" applyFill="1" applyBorder="1" applyAlignment="1">
      <alignment horizontal="left" vertical="center" wrapText="1"/>
    </xf>
    <xf numFmtId="0" fontId="102" fillId="13" borderId="151" xfId="7" applyFont="1" applyFill="1" applyBorder="1" applyAlignment="1">
      <alignment horizontal="left" vertical="center" wrapText="1"/>
    </xf>
    <xf numFmtId="180" fontId="101" fillId="0" borderId="0" xfId="7" applyNumberFormat="1" applyFont="1" applyAlignment="1">
      <alignment horizontal="left" vertical="center"/>
    </xf>
    <xf numFmtId="180" fontId="101" fillId="0" borderId="129" xfId="7" applyNumberFormat="1" applyFont="1" applyBorder="1" applyAlignment="1">
      <alignment horizontal="left" vertical="center"/>
    </xf>
    <xf numFmtId="177" fontId="101" fillId="15" borderId="0" xfId="7" applyNumberFormat="1" applyFont="1" applyFill="1" applyAlignment="1">
      <alignment horizontal="left" vertical="center"/>
    </xf>
    <xf numFmtId="0" fontId="150" fillId="13" borderId="140" xfId="7" applyFont="1" applyFill="1" applyBorder="1" applyAlignment="1" applyProtection="1">
      <alignment horizontal="left" vertical="center" wrapText="1"/>
    </xf>
    <xf numFmtId="0" fontId="102" fillId="12" borderId="140" xfId="7" applyFont="1" applyFill="1" applyBorder="1" applyAlignment="1">
      <alignment horizontal="left" vertical="center" wrapText="1"/>
    </xf>
    <xf numFmtId="0" fontId="102" fillId="12" borderId="144" xfId="7" applyFont="1" applyFill="1" applyBorder="1" applyAlignment="1">
      <alignment horizontal="left" vertical="center" wrapText="1"/>
    </xf>
    <xf numFmtId="0" fontId="150" fillId="6" borderId="134" xfId="7" applyFont="1" applyFill="1" applyBorder="1" applyAlignment="1" applyProtection="1">
      <alignment horizontal="left" vertical="center" wrapText="1"/>
    </xf>
    <xf numFmtId="180" fontId="101" fillId="6" borderId="0" xfId="7" applyNumberFormat="1" applyFont="1" applyFill="1" applyAlignment="1">
      <alignment horizontal="left" vertical="center"/>
    </xf>
    <xf numFmtId="0" fontId="101" fillId="6" borderId="129" xfId="7" applyFont="1" applyFill="1" applyBorder="1" applyAlignment="1">
      <alignment horizontal="left" vertical="center"/>
    </xf>
    <xf numFmtId="178" fontId="101" fillId="6" borderId="0" xfId="7" applyNumberFormat="1" applyFont="1" applyFill="1" applyAlignment="1">
      <alignment horizontal="left" vertical="center"/>
    </xf>
    <xf numFmtId="0" fontId="102" fillId="12" borderId="152" xfId="7" applyFont="1" applyFill="1" applyBorder="1" applyAlignment="1">
      <alignment horizontal="left" vertical="center" wrapText="1"/>
    </xf>
    <xf numFmtId="0" fontId="102" fillId="12" borderId="153" xfId="7" applyFont="1" applyFill="1" applyBorder="1" applyAlignment="1">
      <alignment horizontal="left" vertical="center" wrapText="1"/>
    </xf>
    <xf numFmtId="0" fontId="102" fillId="12" borderId="154" xfId="7" applyFont="1" applyFill="1" applyBorder="1" applyAlignment="1">
      <alignment horizontal="left" vertical="center" wrapText="1"/>
    </xf>
    <xf numFmtId="0" fontId="143" fillId="0" borderId="0" xfId="7" applyFont="1" applyAlignment="1">
      <alignment horizontal="left" vertical="center"/>
    </xf>
    <xf numFmtId="0" fontId="117" fillId="0" borderId="0" xfId="7" applyFont="1" applyAlignment="1">
      <alignment horizontal="left" vertical="center"/>
    </xf>
    <xf numFmtId="0" fontId="117" fillId="0" borderId="129" xfId="7" applyFont="1" applyBorder="1" applyAlignment="1">
      <alignment horizontal="left" vertical="center"/>
    </xf>
    <xf numFmtId="180" fontId="117" fillId="0" borderId="0" xfId="7" applyNumberFormat="1" applyFont="1" applyAlignment="1">
      <alignment horizontal="left" vertical="center"/>
    </xf>
    <xf numFmtId="180" fontId="117" fillId="0" borderId="129" xfId="7" applyNumberFormat="1" applyFont="1" applyBorder="1" applyAlignment="1">
      <alignment horizontal="left" vertical="center"/>
    </xf>
    <xf numFmtId="0" fontId="150" fillId="13" borderId="155" xfId="7" applyFont="1" applyFill="1" applyBorder="1" applyAlignment="1">
      <alignment horizontal="left" vertical="center" wrapText="1"/>
    </xf>
    <xf numFmtId="0" fontId="150" fillId="13" borderId="131" xfId="7" applyFont="1" applyFill="1" applyBorder="1" applyAlignment="1">
      <alignment horizontal="left" vertical="center" wrapText="1"/>
    </xf>
    <xf numFmtId="0" fontId="150" fillId="12" borderId="156" xfId="7" applyFont="1" applyFill="1" applyBorder="1" applyAlignment="1">
      <alignment horizontal="left" vertical="center" wrapText="1"/>
    </xf>
    <xf numFmtId="0" fontId="150" fillId="12" borderId="134" xfId="7" applyFont="1" applyFill="1" applyBorder="1" applyAlignment="1">
      <alignment horizontal="left" vertical="center" wrapText="1"/>
    </xf>
    <xf numFmtId="0" fontId="150" fillId="13" borderId="156" xfId="7" applyFont="1" applyFill="1" applyBorder="1" applyAlignment="1">
      <alignment horizontal="left" vertical="center" wrapText="1"/>
    </xf>
    <xf numFmtId="0" fontId="150" fillId="13" borderId="134" xfId="7" applyFont="1" applyFill="1" applyBorder="1" applyAlignment="1">
      <alignment horizontal="left" vertical="center" wrapText="1"/>
    </xf>
    <xf numFmtId="0" fontId="150" fillId="12" borderId="157" xfId="7" applyFont="1" applyFill="1" applyBorder="1" applyAlignment="1">
      <alignment horizontal="left" vertical="center" wrapText="1"/>
    </xf>
    <xf numFmtId="0" fontId="150" fillId="12" borderId="140" xfId="7" applyFont="1" applyFill="1" applyBorder="1" applyAlignment="1">
      <alignment horizontal="left" vertical="center" wrapText="1"/>
    </xf>
    <xf numFmtId="0" fontId="59" fillId="5" borderId="90" xfId="0" applyFont="1" applyFill="1" applyBorder="1" applyAlignment="1" applyProtection="1">
      <alignment horizontal="left" vertical="center"/>
      <protection locked="0"/>
    </xf>
    <xf numFmtId="0" fontId="53" fillId="5" borderId="17" xfId="0" applyFont="1" applyFill="1" applyBorder="1" applyAlignment="1" applyProtection="1">
      <alignment horizontal="left" vertical="center"/>
    </xf>
    <xf numFmtId="0" fontId="57" fillId="5" borderId="39" xfId="0" applyFont="1" applyFill="1" applyBorder="1" applyAlignment="1" applyProtection="1">
      <alignment horizontal="left" vertical="center"/>
    </xf>
    <xf numFmtId="0" fontId="53" fillId="0" borderId="16" xfId="0" applyNumberFormat="1" applyFont="1" applyFill="1" applyBorder="1" applyAlignment="1" applyProtection="1">
      <alignment horizontal="left" vertical="center" wrapText="1"/>
      <protection locked="0"/>
    </xf>
    <xf numFmtId="0" fontId="53" fillId="5" borderId="23" xfId="0" applyNumberFormat="1" applyFont="1" applyFill="1" applyBorder="1" applyAlignment="1" applyProtection="1">
      <alignment horizontal="left" vertical="center" wrapText="1"/>
    </xf>
    <xf numFmtId="0" fontId="53" fillId="5" borderId="26" xfId="0" applyNumberFormat="1" applyFont="1" applyFill="1" applyBorder="1" applyAlignment="1" applyProtection="1">
      <alignment horizontal="left" vertical="center" wrapText="1"/>
    </xf>
    <xf numFmtId="49" fontId="46" fillId="5" borderId="16" xfId="0" applyNumberFormat="1" applyFont="1" applyFill="1" applyBorder="1" applyAlignment="1" applyProtection="1">
      <alignment horizontal="left" vertical="center" wrapText="1"/>
    </xf>
    <xf numFmtId="0" fontId="39" fillId="2" borderId="23" xfId="0" applyNumberFormat="1" applyFont="1" applyFill="1" applyBorder="1" applyAlignment="1" applyProtection="1">
      <alignment horizontal="left" vertical="center" wrapText="1"/>
      <protection locked="0"/>
    </xf>
    <xf numFmtId="17" fontId="44" fillId="0" borderId="19" xfId="0" applyNumberFormat="1" applyFont="1" applyFill="1" applyBorder="1" applyAlignment="1" applyProtection="1">
      <alignment horizontal="left" vertical="center" wrapText="1"/>
      <protection locked="0"/>
    </xf>
    <xf numFmtId="0" fontId="44" fillId="0" borderId="19" xfId="0" applyNumberFormat="1" applyFont="1" applyFill="1" applyBorder="1" applyAlignment="1" applyProtection="1">
      <alignment horizontal="left" vertical="center" wrapText="1"/>
      <protection locked="0"/>
    </xf>
    <xf numFmtId="0" fontId="46" fillId="5" borderId="39" xfId="0" applyFont="1" applyFill="1" applyBorder="1" applyAlignment="1" applyProtection="1">
      <alignment horizontal="left" vertical="center"/>
      <protection locked="0"/>
    </xf>
    <xf numFmtId="0" fontId="68" fillId="5" borderId="39" xfId="0" applyFont="1" applyFill="1" applyBorder="1" applyAlignment="1" applyProtection="1">
      <alignment horizontal="left" vertical="center"/>
      <protection locked="0"/>
    </xf>
    <xf numFmtId="0" fontId="46" fillId="5" borderId="39" xfId="0" applyFont="1" applyFill="1" applyBorder="1" applyAlignment="1" applyProtection="1">
      <alignment horizontal="left"/>
      <protection locked="0"/>
    </xf>
    <xf numFmtId="9" fontId="39" fillId="5" borderId="0" xfId="0" applyNumberFormat="1" applyFont="1" applyFill="1" applyBorder="1" applyAlignment="1" applyProtection="1">
      <alignment horizontal="left" vertical="center" wrapText="1"/>
      <protection locked="0"/>
    </xf>
    <xf numFmtId="0" fontId="46" fillId="0" borderId="49" xfId="0" applyNumberFormat="1" applyFont="1" applyFill="1" applyBorder="1" applyAlignment="1" applyProtection="1">
      <alignment horizontal="left" vertical="center" wrapText="1"/>
      <protection locked="0"/>
    </xf>
    <xf numFmtId="0" fontId="68" fillId="0" borderId="50" xfId="0" applyNumberFormat="1" applyFont="1" applyFill="1" applyBorder="1" applyAlignment="1" applyProtection="1">
      <alignment horizontal="left" vertical="center" wrapText="1"/>
      <protection locked="0"/>
    </xf>
    <xf numFmtId="0" fontId="98" fillId="0" borderId="32" xfId="0" applyNumberFormat="1" applyFont="1" applyFill="1" applyBorder="1" applyAlignment="1" applyProtection="1">
      <alignment horizontal="left" vertical="center" wrapText="1"/>
      <protection locked="0"/>
    </xf>
    <xf numFmtId="0" fontId="57" fillId="5" borderId="91" xfId="0" applyFont="1" applyFill="1" applyBorder="1" applyAlignment="1" applyProtection="1">
      <alignment horizontal="left" vertical="center"/>
    </xf>
    <xf numFmtId="0" fontId="53" fillId="5" borderId="166" xfId="0" applyFont="1" applyFill="1" applyBorder="1" applyAlignment="1" applyProtection="1">
      <alignment horizontal="left" vertical="center"/>
      <protection locked="0"/>
    </xf>
    <xf numFmtId="0" fontId="57" fillId="5" borderId="25" xfId="0" applyFont="1" applyFill="1" applyBorder="1" applyAlignment="1" applyProtection="1">
      <alignment horizontal="left" vertical="center"/>
    </xf>
    <xf numFmtId="0" fontId="57" fillId="5" borderId="27" xfId="0" applyFont="1" applyFill="1" applyBorder="1" applyAlignment="1" applyProtection="1">
      <alignment horizontal="left" vertical="center"/>
    </xf>
    <xf numFmtId="0" fontId="39" fillId="0" borderId="24" xfId="0" applyNumberFormat="1" applyFont="1" applyFill="1" applyBorder="1" applyAlignment="1" applyProtection="1">
      <alignment horizontal="left" vertical="center" wrapText="1"/>
      <protection locked="0"/>
    </xf>
    <xf numFmtId="0" fontId="39" fillId="0" borderId="42" xfId="0" applyNumberFormat="1" applyFont="1" applyFill="1" applyBorder="1" applyAlignment="1" applyProtection="1">
      <alignment horizontal="left" vertical="center" wrapText="1"/>
      <protection locked="0"/>
    </xf>
    <xf numFmtId="0" fontId="39" fillId="5" borderId="59" xfId="0" applyFont="1" applyFill="1" applyBorder="1" applyAlignment="1" applyProtection="1">
      <alignment horizontal="left" vertical="center" wrapText="1"/>
    </xf>
    <xf numFmtId="0" fontId="46" fillId="5" borderId="53" xfId="0" applyFont="1" applyFill="1" applyBorder="1" applyAlignment="1" applyProtection="1">
      <alignment horizontal="left" vertical="center"/>
    </xf>
    <xf numFmtId="0" fontId="39" fillId="5" borderId="58" xfId="0" applyFont="1" applyFill="1" applyBorder="1" applyAlignment="1" applyProtection="1">
      <alignment horizontal="left" vertical="center" wrapText="1"/>
    </xf>
    <xf numFmtId="0" fontId="39" fillId="5" borderId="34" xfId="0" applyFont="1" applyFill="1" applyBorder="1" applyAlignment="1" applyProtection="1">
      <alignment horizontal="left" vertical="center" wrapText="1"/>
    </xf>
    <xf numFmtId="0" fontId="39" fillId="5" borderId="50" xfId="0" applyFont="1" applyFill="1" applyBorder="1" applyAlignment="1" applyProtection="1">
      <alignment horizontal="left" vertical="center" wrapText="1"/>
    </xf>
    <xf numFmtId="0" fontId="46" fillId="0" borderId="51" xfId="0" applyNumberFormat="1" applyFont="1" applyFill="1" applyBorder="1" applyAlignment="1" applyProtection="1">
      <alignment horizontal="left" vertical="center" wrapText="1"/>
      <protection locked="0"/>
    </xf>
    <xf numFmtId="0" fontId="39" fillId="2" borderId="24" xfId="0" applyNumberFormat="1" applyFont="1" applyFill="1" applyBorder="1" applyAlignment="1" applyProtection="1">
      <alignment horizontal="left" vertical="center" wrapText="1"/>
      <protection locked="0"/>
    </xf>
    <xf numFmtId="0" fontId="39" fillId="0" borderId="6" xfId="0" applyFont="1" applyFill="1" applyBorder="1" applyAlignment="1" applyProtection="1">
      <alignment horizontal="left" vertical="center" wrapText="1"/>
      <protection locked="0"/>
    </xf>
    <xf numFmtId="0" fontId="39" fillId="0" borderId="43" xfId="0" applyFont="1" applyFill="1" applyBorder="1" applyAlignment="1" applyProtection="1">
      <alignment horizontal="left" vertical="center" wrapText="1"/>
      <protection locked="0"/>
    </xf>
    <xf numFmtId="0" fontId="46" fillId="0" borderId="48" xfId="0" applyNumberFormat="1" applyFont="1" applyFill="1" applyBorder="1" applyAlignment="1" applyProtection="1">
      <alignment horizontal="left" vertical="center" wrapText="1"/>
      <protection locked="0"/>
    </xf>
    <xf numFmtId="0" fontId="46" fillId="2" borderId="4" xfId="0" applyNumberFormat="1" applyFont="1" applyFill="1" applyBorder="1" applyAlignment="1" applyProtection="1">
      <alignment horizontal="left" vertical="center" wrapText="1"/>
      <protection locked="0"/>
    </xf>
    <xf numFmtId="49" fontId="39" fillId="0" borderId="0" xfId="0" applyNumberFormat="1" applyFont="1" applyFill="1" applyBorder="1" applyAlignment="1" applyProtection="1">
      <alignment horizontal="left" vertical="center"/>
      <protection locked="0"/>
    </xf>
    <xf numFmtId="0" fontId="39" fillId="0" borderId="73" xfId="0" applyNumberFormat="1" applyFont="1" applyFill="1" applyBorder="1" applyAlignment="1" applyProtection="1">
      <alignment horizontal="left" vertical="center" wrapText="1"/>
      <protection locked="0"/>
    </xf>
    <xf numFmtId="0" fontId="46" fillId="5" borderId="54" xfId="0" applyNumberFormat="1" applyFont="1" applyFill="1" applyBorder="1" applyAlignment="1" applyProtection="1">
      <alignment horizontal="left" vertical="center" wrapText="1"/>
    </xf>
    <xf numFmtId="0" fontId="46" fillId="0" borderId="33" xfId="0" applyNumberFormat="1"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9" fontId="46" fillId="0" borderId="0" xfId="0" applyNumberFormat="1" applyFont="1" applyFill="1" applyBorder="1" applyAlignment="1" applyProtection="1">
      <alignment horizontal="left" vertical="center" wrapText="1"/>
      <protection locked="0"/>
    </xf>
    <xf numFmtId="0" fontId="45" fillId="5" borderId="42" xfId="0" applyNumberFormat="1" applyFont="1" applyFill="1" applyBorder="1" applyAlignment="1" applyProtection="1">
      <alignment horizontal="left" vertical="center" wrapText="1"/>
      <protection locked="0"/>
    </xf>
    <xf numFmtId="176" fontId="46" fillId="5" borderId="41" xfId="0" applyNumberFormat="1" applyFont="1" applyFill="1" applyBorder="1" applyAlignment="1" applyProtection="1">
      <alignment horizontal="left" vertical="center" wrapText="1"/>
    </xf>
    <xf numFmtId="176" fontId="46" fillId="18" borderId="41" xfId="0" applyNumberFormat="1" applyFont="1" applyFill="1" applyBorder="1" applyAlignment="1" applyProtection="1">
      <alignment horizontal="left" vertical="center" wrapText="1"/>
    </xf>
    <xf numFmtId="0" fontId="101" fillId="8" borderId="1" xfId="0" applyFont="1" applyFill="1" applyBorder="1" applyAlignment="1" applyProtection="1">
      <alignment horizontal="left" vertical="center" wrapText="1"/>
    </xf>
    <xf numFmtId="0" fontId="102" fillId="8" borderId="1" xfId="0" applyFont="1" applyFill="1" applyBorder="1" applyAlignment="1" applyProtection="1">
      <alignment horizontal="left" vertical="center" wrapText="1"/>
    </xf>
    <xf numFmtId="0" fontId="106" fillId="8" borderId="1" xfId="0" applyFont="1" applyFill="1" applyBorder="1" applyAlignment="1" applyProtection="1">
      <alignment horizontal="left" vertical="center" wrapText="1"/>
    </xf>
    <xf numFmtId="10" fontId="106" fillId="8" borderId="1" xfId="0" applyNumberFormat="1" applyFont="1" applyFill="1" applyBorder="1" applyAlignment="1" applyProtection="1">
      <alignment horizontal="left" vertical="center"/>
    </xf>
    <xf numFmtId="9" fontId="106" fillId="8" borderId="1" xfId="0" applyNumberFormat="1" applyFont="1" applyFill="1" applyBorder="1" applyAlignment="1" applyProtection="1">
      <alignment horizontal="left" vertical="center"/>
    </xf>
    <xf numFmtId="0" fontId="106" fillId="8" borderId="18" xfId="0" applyFont="1" applyFill="1" applyBorder="1" applyAlignment="1" applyProtection="1">
      <alignment horizontal="left" vertical="center" wrapText="1"/>
    </xf>
    <xf numFmtId="0" fontId="101" fillId="8" borderId="18" xfId="0" applyFont="1" applyFill="1" applyBorder="1" applyAlignment="1" applyProtection="1">
      <alignment horizontal="left" vertical="center" wrapText="1"/>
    </xf>
    <xf numFmtId="9" fontId="106" fillId="8" borderId="18" xfId="0" applyNumberFormat="1" applyFont="1" applyFill="1" applyBorder="1" applyAlignment="1" applyProtection="1">
      <alignment horizontal="left" vertical="center"/>
    </xf>
    <xf numFmtId="0" fontId="101" fillId="8" borderId="2" xfId="0" applyFont="1" applyFill="1" applyBorder="1" applyAlignment="1" applyProtection="1">
      <alignment horizontal="left" vertical="center" wrapText="1"/>
    </xf>
    <xf numFmtId="0" fontId="106" fillId="8" borderId="35" xfId="0" applyFont="1" applyFill="1" applyBorder="1" applyAlignment="1" applyProtection="1">
      <alignment horizontal="left" vertical="center" wrapText="1"/>
    </xf>
    <xf numFmtId="0" fontId="106" fillId="8" borderId="36" xfId="0" applyFont="1" applyFill="1" applyBorder="1" applyAlignment="1" applyProtection="1">
      <alignment horizontal="left" vertical="center" wrapText="1"/>
    </xf>
    <xf numFmtId="0" fontId="106" fillId="8" borderId="27" xfId="0" applyFont="1" applyFill="1" applyBorder="1" applyAlignment="1" applyProtection="1">
      <alignment horizontal="left" vertical="center" wrapText="1"/>
    </xf>
    <xf numFmtId="0" fontId="106" fillId="8" borderId="2" xfId="0" applyFont="1" applyFill="1" applyBorder="1" applyAlignment="1" applyProtection="1">
      <alignment horizontal="left" vertical="center" wrapText="1"/>
    </xf>
    <xf numFmtId="0" fontId="106" fillId="8" borderId="51" xfId="0" applyFont="1" applyFill="1" applyBorder="1" applyAlignment="1" applyProtection="1">
      <alignment horizontal="left" vertical="center"/>
    </xf>
    <xf numFmtId="0" fontId="106" fillId="8" borderId="3" xfId="0" applyFont="1" applyFill="1" applyBorder="1" applyAlignment="1" applyProtection="1">
      <alignment horizontal="left" vertical="center" wrapText="1"/>
    </xf>
    <xf numFmtId="0" fontId="106" fillId="8" borderId="60" xfId="0" applyFont="1" applyFill="1" applyBorder="1" applyAlignment="1" applyProtection="1">
      <alignment horizontal="left" vertical="center" wrapText="1"/>
    </xf>
    <xf numFmtId="0" fontId="106" fillId="8" borderId="0" xfId="0" applyFont="1" applyFill="1" applyBorder="1" applyAlignment="1" applyProtection="1">
      <alignment horizontal="left" vertical="center" wrapText="1"/>
    </xf>
    <xf numFmtId="0" fontId="106" fillId="8" borderId="25" xfId="0" applyFont="1" applyFill="1" applyBorder="1" applyAlignment="1" applyProtection="1">
      <alignment horizontal="left" vertical="center" wrapText="1"/>
    </xf>
    <xf numFmtId="0" fontId="106" fillId="8" borderId="64" xfId="0" applyFont="1" applyFill="1" applyBorder="1" applyAlignment="1" applyProtection="1">
      <alignment horizontal="left" vertical="center" wrapText="1"/>
    </xf>
    <xf numFmtId="0" fontId="106" fillId="8" borderId="65" xfId="0" applyFont="1" applyFill="1" applyBorder="1" applyAlignment="1" applyProtection="1">
      <alignment horizontal="left" vertical="center" wrapText="1"/>
    </xf>
    <xf numFmtId="0" fontId="106" fillId="8" borderId="24" xfId="0" applyFont="1" applyFill="1" applyBorder="1" applyAlignment="1" applyProtection="1">
      <alignment horizontal="left" vertical="center" wrapText="1"/>
    </xf>
    <xf numFmtId="0" fontId="42" fillId="8" borderId="0" xfId="0" applyFont="1" applyFill="1" applyAlignment="1" applyProtection="1">
      <alignment horizontal="left" vertical="center"/>
    </xf>
    <xf numFmtId="181" fontId="42" fillId="5" borderId="0" xfId="0" applyNumberFormat="1" applyFont="1" applyFill="1" applyAlignment="1" applyProtection="1">
      <alignment horizontal="left" vertical="center"/>
    </xf>
    <xf numFmtId="0" fontId="108" fillId="8" borderId="1" xfId="0" applyFont="1" applyFill="1" applyBorder="1" applyAlignment="1" applyProtection="1">
      <alignment horizontal="left" vertical="center" wrapText="1"/>
    </xf>
    <xf numFmtId="0" fontId="116" fillId="8" borderId="1" xfId="0" applyFont="1" applyFill="1" applyBorder="1" applyAlignment="1" applyProtection="1">
      <alignment horizontal="left" vertical="center" wrapText="1"/>
    </xf>
    <xf numFmtId="0" fontId="246" fillId="8" borderId="1" xfId="0" applyFont="1" applyFill="1" applyBorder="1" applyAlignment="1" applyProtection="1">
      <alignment horizontal="left" vertical="center" wrapText="1"/>
    </xf>
    <xf numFmtId="10" fontId="246" fillId="8" borderId="1" xfId="0" applyNumberFormat="1" applyFont="1" applyFill="1" applyBorder="1" applyAlignment="1" applyProtection="1">
      <alignment horizontal="left" vertical="center"/>
    </xf>
    <xf numFmtId="9" fontId="246" fillId="8" borderId="1" xfId="0" applyNumberFormat="1" applyFont="1" applyFill="1" applyBorder="1" applyAlignment="1" applyProtection="1">
      <alignment horizontal="left" vertical="center"/>
    </xf>
    <xf numFmtId="0" fontId="246" fillId="8" borderId="18" xfId="0" applyFont="1" applyFill="1" applyBorder="1" applyAlignment="1" applyProtection="1">
      <alignment horizontal="left" vertical="center" wrapText="1"/>
    </xf>
    <xf numFmtId="0" fontId="108" fillId="8" borderId="18" xfId="0" applyFont="1" applyFill="1" applyBorder="1" applyAlignment="1" applyProtection="1">
      <alignment horizontal="left" vertical="center" wrapText="1"/>
    </xf>
    <xf numFmtId="9" fontId="246" fillId="8" borderId="18" xfId="0" applyNumberFormat="1" applyFont="1" applyFill="1" applyBorder="1" applyAlignment="1" applyProtection="1">
      <alignment horizontal="left" vertical="center"/>
    </xf>
    <xf numFmtId="0" fontId="108" fillId="8" borderId="2" xfId="0" applyFont="1" applyFill="1" applyBorder="1" applyAlignment="1" applyProtection="1">
      <alignment horizontal="left" vertical="center" wrapText="1"/>
    </xf>
    <xf numFmtId="0" fontId="246" fillId="8" borderId="35" xfId="0" applyFont="1" applyFill="1" applyBorder="1" applyAlignment="1" applyProtection="1">
      <alignment horizontal="left" vertical="center" wrapText="1"/>
    </xf>
    <xf numFmtId="0" fontId="246" fillId="8" borderId="36" xfId="0" applyFont="1" applyFill="1" applyBorder="1" applyAlignment="1" applyProtection="1">
      <alignment horizontal="left" vertical="center" wrapText="1"/>
    </xf>
    <xf numFmtId="0" fontId="246" fillId="8" borderId="27" xfId="0" applyFont="1" applyFill="1" applyBorder="1" applyAlignment="1" applyProtection="1">
      <alignment horizontal="left" vertical="center" wrapText="1"/>
    </xf>
    <xf numFmtId="0" fontId="246" fillId="8" borderId="2" xfId="0" applyFont="1" applyFill="1" applyBorder="1" applyAlignment="1" applyProtection="1">
      <alignment horizontal="left" vertical="center" wrapText="1"/>
    </xf>
    <xf numFmtId="0" fontId="246" fillId="8" borderId="51" xfId="0" applyFont="1" applyFill="1" applyBorder="1" applyAlignment="1" applyProtection="1">
      <alignment horizontal="left" vertical="center"/>
    </xf>
    <xf numFmtId="0" fontId="246" fillId="8" borderId="3" xfId="0" applyFont="1" applyFill="1" applyBorder="1" applyAlignment="1" applyProtection="1">
      <alignment horizontal="left" vertical="center" wrapText="1"/>
    </xf>
    <xf numFmtId="0" fontId="246" fillId="8" borderId="60" xfId="0" applyFont="1" applyFill="1" applyBorder="1" applyAlignment="1" applyProtection="1">
      <alignment horizontal="left" vertical="center" wrapText="1"/>
    </xf>
    <xf numFmtId="0" fontId="246" fillId="8" borderId="0" xfId="0" applyFont="1" applyFill="1" applyBorder="1" applyAlignment="1" applyProtection="1">
      <alignment horizontal="left" vertical="center" wrapText="1"/>
    </xf>
    <xf numFmtId="0" fontId="246" fillId="8" borderId="25" xfId="0" applyFont="1" applyFill="1" applyBorder="1" applyAlignment="1" applyProtection="1">
      <alignment horizontal="left" vertical="center" wrapText="1"/>
    </xf>
    <xf numFmtId="0" fontId="246" fillId="8" borderId="64" xfId="0" applyFont="1" applyFill="1" applyBorder="1" applyAlignment="1" applyProtection="1">
      <alignment horizontal="left" vertical="center" wrapText="1"/>
    </xf>
    <xf numFmtId="0" fontId="246" fillId="8" borderId="65" xfId="0" applyFont="1" applyFill="1" applyBorder="1" applyAlignment="1" applyProtection="1">
      <alignment horizontal="left" vertical="center" wrapText="1"/>
    </xf>
    <xf numFmtId="0" fontId="246" fillId="8" borderId="24" xfId="0" applyFont="1" applyFill="1" applyBorder="1" applyAlignment="1" applyProtection="1">
      <alignment horizontal="left" vertical="center" wrapText="1"/>
    </xf>
    <xf numFmtId="0" fontId="197" fillId="8" borderId="0" xfId="0" applyFont="1" applyFill="1" applyAlignment="1" applyProtection="1">
      <alignment horizontal="left" vertical="center"/>
    </xf>
    <xf numFmtId="0" fontId="247" fillId="5" borderId="1" xfId="0" applyFont="1" applyFill="1" applyBorder="1" applyAlignment="1" applyProtection="1">
      <alignment horizontal="left" vertical="center" wrapText="1"/>
    </xf>
    <xf numFmtId="0" fontId="197" fillId="5" borderId="1" xfId="0" applyFont="1" applyFill="1" applyBorder="1" applyAlignment="1" applyProtection="1">
      <alignment horizontal="left" vertical="center"/>
    </xf>
    <xf numFmtId="181" fontId="197" fillId="5" borderId="0" xfId="0" applyNumberFormat="1" applyFont="1" applyFill="1" applyAlignment="1" applyProtection="1">
      <alignment horizontal="left" vertical="center"/>
    </xf>
    <xf numFmtId="9" fontId="42" fillId="6" borderId="36" xfId="0" applyNumberFormat="1" applyFont="1" applyFill="1" applyBorder="1" applyAlignment="1" applyProtection="1">
      <alignment horizontal="left" vertical="center"/>
      <protection locked="0"/>
    </xf>
    <xf numFmtId="0" fontId="42" fillId="5" borderId="27" xfId="0" applyFont="1" applyFill="1" applyBorder="1" applyAlignment="1" applyProtection="1">
      <alignment horizontal="left" vertical="center"/>
    </xf>
    <xf numFmtId="0" fontId="42" fillId="5" borderId="0" xfId="0" applyFont="1" applyFill="1" applyAlignment="1" applyProtection="1">
      <alignment horizontal="left" vertical="center"/>
    </xf>
    <xf numFmtId="9" fontId="42" fillId="5" borderId="6" xfId="0" applyNumberFormat="1" applyFont="1" applyFill="1" applyBorder="1" applyAlignment="1" applyProtection="1">
      <alignment horizontal="left" vertical="center"/>
    </xf>
    <xf numFmtId="10" fontId="42" fillId="5" borderId="17" xfId="0" applyNumberFormat="1" applyFont="1" applyFill="1" applyBorder="1" applyAlignment="1" applyProtection="1">
      <alignment horizontal="left" vertical="center"/>
    </xf>
    <xf numFmtId="0" fontId="43" fillId="0" borderId="6" xfId="0" applyFont="1" applyFill="1" applyBorder="1" applyAlignment="1" applyProtection="1">
      <alignment horizontal="left" vertical="center" wrapText="1"/>
      <protection locked="0"/>
    </xf>
    <xf numFmtId="0" fontId="42" fillId="6" borderId="3" xfId="0" applyFont="1" applyFill="1" applyBorder="1" applyAlignment="1" applyProtection="1">
      <alignment horizontal="left" vertical="center"/>
      <protection locked="0"/>
    </xf>
    <xf numFmtId="0" fontId="42" fillId="5" borderId="35" xfId="0" applyFont="1" applyFill="1" applyBorder="1" applyAlignment="1" applyProtection="1">
      <alignment horizontal="left" vertical="center"/>
    </xf>
    <xf numFmtId="0" fontId="42" fillId="5" borderId="25" xfId="0" applyFont="1" applyFill="1" applyBorder="1" applyAlignment="1" applyProtection="1">
      <alignment horizontal="left" vertical="center"/>
    </xf>
    <xf numFmtId="0" fontId="75" fillId="18" borderId="0" xfId="0" applyFont="1" applyFill="1" applyAlignment="1" applyProtection="1">
      <alignment horizontal="left" vertical="center"/>
    </xf>
    <xf numFmtId="10" fontId="42" fillId="18" borderId="0" xfId="0" applyNumberFormat="1" applyFont="1" applyFill="1" applyAlignment="1" applyProtection="1">
      <alignment horizontal="left" vertical="center"/>
    </xf>
    <xf numFmtId="0" fontId="42" fillId="5" borderId="60" xfId="0" applyFont="1" applyFill="1" applyBorder="1" applyAlignment="1" applyProtection="1">
      <alignment horizontal="left" vertical="center"/>
    </xf>
    <xf numFmtId="0" fontId="42" fillId="18" borderId="0" xfId="0" applyFont="1" applyFill="1" applyAlignment="1" applyProtection="1">
      <alignment horizontal="left" vertical="center"/>
    </xf>
    <xf numFmtId="0" fontId="42" fillId="5" borderId="23" xfId="0" applyFont="1" applyFill="1" applyBorder="1" applyAlignment="1" applyProtection="1">
      <alignment horizontal="left" vertical="center" wrapText="1"/>
    </xf>
    <xf numFmtId="10" fontId="42" fillId="5" borderId="1" xfId="0" applyNumberFormat="1" applyFont="1" applyFill="1" applyBorder="1" applyAlignment="1" applyProtection="1">
      <alignment horizontal="left" vertical="center"/>
    </xf>
    <xf numFmtId="0" fontId="42" fillId="5" borderId="6" xfId="0" applyFont="1" applyFill="1" applyBorder="1" applyAlignment="1" applyProtection="1">
      <alignment horizontal="left" vertical="center"/>
    </xf>
    <xf numFmtId="0" fontId="117" fillId="0" borderId="6" xfId="0" applyFont="1" applyFill="1" applyBorder="1" applyAlignment="1" applyProtection="1">
      <alignment horizontal="left" vertical="center" wrapText="1"/>
      <protection locked="0"/>
    </xf>
    <xf numFmtId="0" fontId="42" fillId="2" borderId="3" xfId="0" applyFont="1" applyFill="1" applyBorder="1" applyAlignment="1" applyProtection="1">
      <alignment horizontal="left" vertical="center" wrapText="1"/>
      <protection locked="0"/>
    </xf>
    <xf numFmtId="0" fontId="42" fillId="18" borderId="44" xfId="0" applyFont="1" applyFill="1" applyBorder="1" applyAlignment="1" applyProtection="1">
      <alignment horizontal="left" vertical="center"/>
    </xf>
    <xf numFmtId="10" fontId="42" fillId="18" borderId="61" xfId="0" applyNumberFormat="1" applyFont="1" applyFill="1" applyBorder="1" applyAlignment="1" applyProtection="1">
      <alignment horizontal="left" vertical="center"/>
    </xf>
    <xf numFmtId="0" fontId="171" fillId="5" borderId="1" xfId="13" applyFont="1" applyFill="1" applyBorder="1" applyAlignment="1" applyProtection="1">
      <alignment horizontal="left" vertical="center" wrapText="1"/>
    </xf>
    <xf numFmtId="0" fontId="170" fillId="0" borderId="0" xfId="13" applyBorder="1" applyAlignment="1" applyProtection="1">
      <alignment horizontal="left"/>
      <protection locked="0"/>
    </xf>
    <xf numFmtId="0" fontId="0" fillId="0" borderId="0" xfId="0" applyAlignment="1" applyProtection="1">
      <alignment horizontal="left" vertical="center"/>
      <protection locked="0"/>
    </xf>
    <xf numFmtId="14" fontId="171" fillId="5" borderId="1" xfId="13" applyNumberFormat="1" applyFont="1" applyFill="1" applyBorder="1" applyAlignment="1" applyProtection="1">
      <alignment horizontal="left" vertical="center" wrapText="1"/>
    </xf>
    <xf numFmtId="0" fontId="171" fillId="13" borderId="1" xfId="13" applyFont="1" applyFill="1" applyBorder="1" applyAlignment="1" applyProtection="1">
      <alignment horizontal="left" vertical="center" wrapText="1"/>
      <protection locked="0"/>
    </xf>
    <xf numFmtId="0" fontId="170" fillId="5" borderId="1" xfId="13" applyFill="1" applyBorder="1" applyAlignment="1" applyProtection="1">
      <alignment horizontal="left" vertical="center"/>
    </xf>
    <xf numFmtId="0" fontId="171" fillId="5" borderId="18" xfId="13" applyFont="1" applyFill="1" applyBorder="1" applyAlignment="1" applyProtection="1">
      <alignment horizontal="left" vertical="center" wrapText="1"/>
    </xf>
    <xf numFmtId="0" fontId="93" fillId="0" borderId="1" xfId="13" applyFont="1" applyFill="1" applyBorder="1" applyAlignment="1" applyProtection="1">
      <alignment horizontal="left"/>
      <protection locked="0"/>
    </xf>
    <xf numFmtId="0" fontId="170" fillId="0" borderId="1" xfId="13" applyBorder="1" applyAlignment="1" applyProtection="1">
      <alignment horizontal="left"/>
      <protection locked="0"/>
    </xf>
    <xf numFmtId="0" fontId="47" fillId="5" borderId="87" xfId="0" applyFont="1" applyFill="1" applyBorder="1" applyAlignment="1" applyProtection="1">
      <alignment vertical="center"/>
    </xf>
    <xf numFmtId="0" fontId="47" fillId="5" borderId="88" xfId="0" applyFont="1" applyFill="1" applyBorder="1" applyAlignment="1" applyProtection="1">
      <alignment vertical="center"/>
    </xf>
    <xf numFmtId="14" fontId="42" fillId="0" borderId="54" xfId="0" applyNumberFormat="1" applyFont="1" applyFill="1" applyBorder="1" applyAlignment="1" applyProtection="1">
      <alignment vertical="center"/>
      <protection locked="0"/>
    </xf>
    <xf numFmtId="0" fontId="42" fillId="5" borderId="124" xfId="0" applyFont="1" applyFill="1" applyBorder="1" applyAlignment="1" applyProtection="1">
      <alignment vertical="center"/>
    </xf>
    <xf numFmtId="14" fontId="42" fillId="6" borderId="75" xfId="0" applyNumberFormat="1" applyFont="1" applyFill="1" applyBorder="1" applyAlignment="1" applyProtection="1">
      <alignment vertical="center"/>
      <protection locked="0"/>
    </xf>
    <xf numFmtId="0" fontId="42" fillId="5" borderId="75" xfId="0" applyFont="1" applyFill="1" applyBorder="1" applyAlignment="1" applyProtection="1">
      <alignment vertical="center" wrapText="1"/>
    </xf>
    <xf numFmtId="0" fontId="42" fillId="5" borderId="75" xfId="0" applyNumberFormat="1" applyFont="1" applyFill="1" applyBorder="1" applyAlignment="1" applyProtection="1">
      <alignment vertical="center"/>
    </xf>
    <xf numFmtId="0" fontId="42" fillId="2" borderId="1" xfId="0" applyFont="1" applyFill="1" applyBorder="1" applyAlignment="1" applyProtection="1">
      <alignment vertical="center" wrapText="1"/>
      <protection locked="0"/>
    </xf>
    <xf numFmtId="0" fontId="42" fillId="0" borderId="3" xfId="0" applyFont="1" applyFill="1" applyBorder="1" applyAlignment="1" applyProtection="1">
      <alignment vertical="center" wrapText="1"/>
      <protection locked="0"/>
    </xf>
    <xf numFmtId="0" fontId="117" fillId="5" borderId="0" xfId="0" applyFont="1" applyFill="1" applyBorder="1" applyAlignment="1" applyProtection="1">
      <alignment vertical="center"/>
    </xf>
    <xf numFmtId="0" fontId="42" fillId="5" borderId="22" xfId="0" applyFont="1" applyFill="1" applyBorder="1" applyAlignment="1" applyProtection="1">
      <alignment vertical="center" wrapText="1"/>
    </xf>
    <xf numFmtId="49" fontId="42" fillId="5" borderId="28" xfId="0" applyNumberFormat="1" applyFont="1" applyFill="1" applyBorder="1" applyAlignment="1" applyProtection="1">
      <alignment vertical="center" wrapText="1"/>
    </xf>
    <xf numFmtId="0" fontId="42" fillId="5" borderId="31" xfId="0" applyNumberFormat="1" applyFont="1" applyFill="1" applyBorder="1" applyAlignment="1" applyProtection="1">
      <alignment vertical="center" wrapText="1"/>
    </xf>
    <xf numFmtId="49" fontId="42" fillId="6" borderId="3" xfId="0" applyNumberFormat="1" applyFont="1" applyFill="1" applyBorder="1" applyAlignment="1" applyProtection="1">
      <alignment vertical="center" wrapText="1"/>
      <protection locked="0"/>
    </xf>
    <xf numFmtId="49" fontId="42" fillId="0" borderId="6" xfId="0" applyNumberFormat="1" applyFont="1" applyFill="1" applyBorder="1" applyAlignment="1" applyProtection="1">
      <alignment vertical="center" wrapText="1"/>
      <protection locked="0"/>
    </xf>
    <xf numFmtId="49" fontId="42" fillId="6" borderId="61" xfId="0" applyNumberFormat="1" applyFont="1" applyFill="1" applyBorder="1" applyAlignment="1" applyProtection="1">
      <alignment vertical="center" wrapText="1"/>
      <protection locked="0"/>
    </xf>
    <xf numFmtId="49" fontId="42" fillId="0" borderId="43" xfId="0" applyNumberFormat="1" applyFont="1" applyFill="1" applyBorder="1" applyAlignment="1" applyProtection="1">
      <alignment vertical="center" wrapText="1"/>
      <protection locked="0"/>
    </xf>
    <xf numFmtId="0" fontId="42" fillId="5" borderId="29" xfId="0" applyFont="1" applyFill="1" applyBorder="1" applyAlignment="1" applyProtection="1">
      <alignment vertical="center" wrapText="1"/>
    </xf>
    <xf numFmtId="0" fontId="42" fillId="0" borderId="73" xfId="0" applyFont="1" applyFill="1" applyBorder="1" applyAlignment="1" applyProtection="1">
      <alignment vertical="center" wrapText="1"/>
      <protection locked="0"/>
    </xf>
    <xf numFmtId="0" fontId="42" fillId="5" borderId="92" xfId="0" applyFont="1" applyFill="1" applyBorder="1" applyAlignment="1" applyProtection="1">
      <alignment vertical="center" wrapText="1"/>
    </xf>
    <xf numFmtId="0" fontId="42" fillId="6" borderId="40" xfId="0" applyFont="1" applyFill="1" applyBorder="1" applyAlignment="1" applyProtection="1">
      <alignment vertical="center" wrapText="1"/>
      <protection locked="0"/>
    </xf>
    <xf numFmtId="0" fontId="42" fillId="6" borderId="73" xfId="0" applyFont="1" applyFill="1" applyBorder="1" applyAlignment="1" applyProtection="1">
      <alignment vertical="center" wrapText="1"/>
      <protection locked="0"/>
    </xf>
    <xf numFmtId="0" fontId="50" fillId="6" borderId="1" xfId="0" applyFont="1" applyFill="1" applyBorder="1" applyAlignment="1" applyProtection="1">
      <alignment vertical="center" wrapText="1"/>
      <protection locked="0"/>
    </xf>
    <xf numFmtId="0" fontId="50" fillId="6" borderId="1" xfId="0" applyFont="1" applyFill="1" applyBorder="1" applyAlignment="1" applyProtection="1">
      <alignment vertical="center" wrapText="1" shrinkToFit="1"/>
      <protection locked="0"/>
    </xf>
    <xf numFmtId="0" fontId="42" fillId="5" borderId="21" xfId="0" applyFont="1" applyFill="1" applyBorder="1" applyAlignment="1" applyProtection="1">
      <alignment vertical="center" wrapText="1"/>
    </xf>
    <xf numFmtId="184" fontId="42" fillId="0" borderId="38" xfId="0" applyNumberFormat="1" applyFont="1" applyFill="1" applyBorder="1" applyAlignment="1" applyProtection="1">
      <alignment vertical="center" wrapText="1"/>
      <protection locked="0"/>
    </xf>
    <xf numFmtId="0" fontId="42" fillId="5" borderId="5" xfId="0" applyFont="1" applyFill="1" applyBorder="1" applyAlignment="1" applyProtection="1">
      <alignment vertical="center" wrapText="1"/>
    </xf>
    <xf numFmtId="0" fontId="42" fillId="5" borderId="25" xfId="0" applyFont="1" applyFill="1" applyBorder="1" applyAlignment="1" applyProtection="1">
      <alignment vertical="center" wrapText="1"/>
    </xf>
    <xf numFmtId="0" fontId="42" fillId="0" borderId="6" xfId="0" applyFont="1" applyFill="1" applyBorder="1" applyAlignment="1" applyProtection="1">
      <alignment vertical="center" wrapText="1"/>
      <protection locked="0"/>
    </xf>
    <xf numFmtId="0" fontId="42" fillId="0" borderId="1" xfId="0" applyFont="1" applyFill="1" applyBorder="1" applyAlignment="1" applyProtection="1">
      <alignment vertical="center" wrapText="1"/>
      <protection locked="0"/>
    </xf>
    <xf numFmtId="0" fontId="42" fillId="0" borderId="43" xfId="0" applyFont="1" applyFill="1" applyBorder="1" applyAlignment="1" applyProtection="1">
      <alignment vertical="center" wrapText="1"/>
      <protection locked="0"/>
    </xf>
    <xf numFmtId="0" fontId="47" fillId="5" borderId="5" xfId="0" applyFont="1" applyFill="1" applyBorder="1" applyAlignment="1" applyProtection="1">
      <alignment vertical="center" wrapText="1"/>
    </xf>
    <xf numFmtId="0" fontId="47" fillId="5" borderId="37" xfId="0" applyFont="1" applyFill="1" applyBorder="1" applyAlignment="1" applyProtection="1">
      <alignment vertical="center"/>
    </xf>
    <xf numFmtId="0" fontId="47" fillId="5" borderId="79" xfId="0" applyFont="1" applyFill="1" applyBorder="1" applyAlignment="1" applyProtection="1">
      <alignment vertical="center" wrapText="1"/>
    </xf>
    <xf numFmtId="0" fontId="47" fillId="6" borderId="37" xfId="0" applyFont="1" applyFill="1" applyBorder="1" applyAlignment="1" applyProtection="1">
      <alignment vertical="center" wrapText="1"/>
      <protection locked="0"/>
    </xf>
    <xf numFmtId="0" fontId="47" fillId="6" borderId="79" xfId="0" applyFont="1" applyFill="1" applyBorder="1" applyAlignment="1" applyProtection="1">
      <alignment vertical="center" wrapText="1"/>
      <protection locked="0"/>
    </xf>
    <xf numFmtId="0" fontId="42" fillId="5" borderId="6" xfId="0" applyFont="1" applyFill="1" applyBorder="1" applyAlignment="1" applyProtection="1">
      <alignment vertical="center" wrapText="1"/>
      <protection locked="0"/>
    </xf>
    <xf numFmtId="184" fontId="42" fillId="0" borderId="43" xfId="0" applyNumberFormat="1" applyFont="1" applyFill="1" applyBorder="1" applyAlignment="1" applyProtection="1">
      <alignment vertical="center"/>
      <protection locked="0"/>
    </xf>
    <xf numFmtId="0" fontId="42" fillId="5" borderId="28" xfId="0" applyFont="1" applyFill="1" applyBorder="1" applyAlignment="1" applyProtection="1">
      <alignment vertical="center" wrapText="1"/>
    </xf>
    <xf numFmtId="0" fontId="42" fillId="6" borderId="34" xfId="0" applyFont="1" applyFill="1" applyBorder="1" applyAlignment="1" applyProtection="1">
      <alignment vertical="center" wrapText="1"/>
      <protection locked="0"/>
    </xf>
    <xf numFmtId="0" fontId="42" fillId="6" borderId="50" xfId="0" applyFont="1" applyFill="1" applyBorder="1" applyAlignment="1" applyProtection="1">
      <alignment vertical="center" wrapText="1"/>
      <protection locked="0"/>
    </xf>
    <xf numFmtId="184" fontId="42" fillId="0" borderId="31" xfId="0" applyNumberFormat="1" applyFont="1" applyFill="1" applyBorder="1" applyAlignment="1" applyProtection="1">
      <alignment vertical="center"/>
      <protection locked="0"/>
    </xf>
    <xf numFmtId="179" fontId="42" fillId="5" borderId="0" xfId="0" applyNumberFormat="1" applyFont="1" applyFill="1" applyAlignment="1" applyProtection="1">
      <alignment horizontal="left" vertical="center"/>
      <protection locked="0"/>
    </xf>
    <xf numFmtId="0" fontId="42" fillId="0" borderId="0" xfId="0" applyFont="1" applyAlignment="1" applyProtection="1">
      <alignment horizontal="left" vertical="center"/>
      <protection locked="0"/>
    </xf>
    <xf numFmtId="0" fontId="39" fillId="6" borderId="79" xfId="0" applyFont="1" applyFill="1" applyBorder="1" applyAlignment="1" applyProtection="1">
      <alignment horizontal="left" vertical="center"/>
      <protection locked="0"/>
    </xf>
    <xf numFmtId="179" fontId="39" fillId="5" borderId="0" xfId="0" applyNumberFormat="1" applyFont="1" applyFill="1" applyAlignment="1" applyProtection="1">
      <alignment horizontal="left" vertical="center"/>
      <protection locked="0"/>
    </xf>
    <xf numFmtId="0" fontId="39" fillId="0" borderId="0" xfId="0" applyFont="1" applyAlignment="1" applyProtection="1">
      <alignment horizontal="left" vertical="center"/>
      <protection locked="0"/>
    </xf>
    <xf numFmtId="0" fontId="39" fillId="6" borderId="15" xfId="0" applyNumberFormat="1" applyFont="1" applyFill="1" applyBorder="1" applyAlignment="1" applyProtection="1">
      <alignment horizontal="left" vertical="center"/>
      <protection locked="0"/>
    </xf>
    <xf numFmtId="0" fontId="39" fillId="6" borderId="53" xfId="0" applyNumberFormat="1" applyFont="1" applyFill="1" applyBorder="1" applyAlignment="1" applyProtection="1">
      <alignment horizontal="left" vertical="center"/>
      <protection locked="0"/>
    </xf>
    <xf numFmtId="0" fontId="41" fillId="5" borderId="55" xfId="0" applyFont="1" applyFill="1" applyBorder="1" applyAlignment="1" applyProtection="1">
      <alignment horizontal="left" vertical="center" wrapText="1"/>
      <protection locked="0"/>
    </xf>
    <xf numFmtId="0" fontId="39" fillId="5" borderId="15" xfId="0" applyFont="1" applyFill="1" applyBorder="1" applyAlignment="1" applyProtection="1">
      <alignment horizontal="left" vertical="center"/>
      <protection locked="0"/>
    </xf>
    <xf numFmtId="0" fontId="39" fillId="0" borderId="1" xfId="0" applyNumberFormat="1" applyFont="1" applyFill="1" applyBorder="1" applyAlignment="1" applyProtection="1">
      <alignment horizontal="left" vertical="center"/>
      <protection locked="0"/>
    </xf>
    <xf numFmtId="0" fontId="41" fillId="5" borderId="29" xfId="0" applyFont="1" applyFill="1" applyBorder="1" applyAlignment="1" applyProtection="1">
      <alignment horizontal="left" vertical="center" wrapText="1"/>
      <protection locked="0"/>
    </xf>
    <xf numFmtId="0" fontId="39" fillId="5" borderId="73" xfId="0" applyFont="1" applyFill="1" applyBorder="1" applyAlignment="1" applyProtection="1">
      <alignment horizontal="left" vertical="center"/>
      <protection locked="0"/>
    </xf>
    <xf numFmtId="0" fontId="41" fillId="5" borderId="0" xfId="0" applyFont="1" applyFill="1" applyBorder="1" applyAlignment="1" applyProtection="1">
      <alignment horizontal="left" vertical="center" wrapText="1"/>
      <protection locked="0"/>
    </xf>
    <xf numFmtId="0" fontId="39" fillId="5" borderId="14" xfId="0" applyFont="1" applyFill="1" applyBorder="1" applyAlignment="1" applyProtection="1">
      <alignment horizontal="left" vertical="center"/>
    </xf>
    <xf numFmtId="177" fontId="42" fillId="6" borderId="6" xfId="1" applyNumberFormat="1" applyFont="1" applyFill="1" applyBorder="1" applyAlignment="1" applyProtection="1">
      <alignment horizontal="left" vertical="center"/>
      <protection locked="0"/>
    </xf>
    <xf numFmtId="0" fontId="48" fillId="0" borderId="31" xfId="1" applyNumberFormat="1" applyFont="1" applyFill="1" applyBorder="1" applyAlignment="1" applyProtection="1">
      <alignment horizontal="left" vertical="center"/>
      <protection locked="0"/>
    </xf>
    <xf numFmtId="0" fontId="39" fillId="0" borderId="0" xfId="0" applyFont="1" applyAlignment="1" applyProtection="1">
      <alignment horizontal="left" vertical="center" wrapText="1"/>
      <protection locked="0"/>
    </xf>
    <xf numFmtId="184" fontId="56" fillId="0" borderId="1" xfId="0" applyNumberFormat="1" applyFont="1" applyFill="1" applyBorder="1" applyAlignment="1" applyProtection="1">
      <alignment horizontal="left" vertical="center" shrinkToFit="1"/>
      <protection locked="0"/>
    </xf>
    <xf numFmtId="0" fontId="48" fillId="0" borderId="6" xfId="1" applyNumberFormat="1" applyFont="1" applyFill="1" applyBorder="1" applyAlignment="1" applyProtection="1">
      <alignment horizontal="left" vertical="center"/>
      <protection locked="0"/>
    </xf>
    <xf numFmtId="0" fontId="48" fillId="0" borderId="43" xfId="1" applyNumberFormat="1" applyFont="1" applyFill="1" applyBorder="1" applyAlignment="1" applyProtection="1">
      <alignment horizontal="left" vertical="center"/>
      <protection locked="0"/>
    </xf>
    <xf numFmtId="0" fontId="48" fillId="0" borderId="34" xfId="1" applyNumberFormat="1" applyFont="1" applyFill="1" applyBorder="1" applyAlignment="1" applyProtection="1">
      <alignment horizontal="left" vertical="center"/>
      <protection locked="0"/>
    </xf>
    <xf numFmtId="181" fontId="39" fillId="0" borderId="6" xfId="0" applyNumberFormat="1" applyFont="1" applyFill="1" applyBorder="1" applyAlignment="1" applyProtection="1">
      <alignment horizontal="left" vertical="center"/>
      <protection locked="0"/>
    </xf>
    <xf numFmtId="0" fontId="48" fillId="0" borderId="58" xfId="1" applyNumberFormat="1" applyFont="1" applyFill="1" applyBorder="1" applyAlignment="1" applyProtection="1">
      <alignment horizontal="left" vertical="center"/>
      <protection locked="0"/>
    </xf>
    <xf numFmtId="177" fontId="42" fillId="0" borderId="31" xfId="1" applyNumberFormat="1" applyFont="1" applyFill="1" applyBorder="1" applyAlignment="1" applyProtection="1">
      <alignment horizontal="left" vertical="center"/>
      <protection locked="0"/>
    </xf>
    <xf numFmtId="0" fontId="42" fillId="5" borderId="82" xfId="0" applyFont="1" applyFill="1" applyBorder="1" applyAlignment="1" applyProtection="1">
      <alignment horizontal="left" vertical="center"/>
      <protection locked="0"/>
    </xf>
    <xf numFmtId="176" fontId="46" fillId="0" borderId="31" xfId="1" applyNumberFormat="1" applyFont="1" applyFill="1" applyBorder="1" applyAlignment="1" applyProtection="1">
      <alignment horizontal="left" vertical="center"/>
      <protection locked="0"/>
    </xf>
    <xf numFmtId="10" fontId="42" fillId="0" borderId="6" xfId="1" applyNumberFormat="1" applyFont="1" applyFill="1" applyBorder="1" applyAlignment="1" applyProtection="1">
      <alignment horizontal="left" vertical="center"/>
      <protection locked="0"/>
    </xf>
    <xf numFmtId="176" fontId="39" fillId="0" borderId="6" xfId="1" applyNumberFormat="1" applyFont="1" applyFill="1" applyBorder="1" applyAlignment="1" applyProtection="1">
      <alignment horizontal="left" vertical="center"/>
      <protection locked="0"/>
    </xf>
    <xf numFmtId="181" fontId="42" fillId="0" borderId="31" xfId="0" applyNumberFormat="1" applyFont="1" applyFill="1" applyBorder="1" applyAlignment="1" applyProtection="1">
      <alignment horizontal="left" vertical="center"/>
      <protection locked="0"/>
    </xf>
    <xf numFmtId="0" fontId="117" fillId="5" borderId="0" xfId="0" applyFont="1" applyFill="1" applyAlignment="1" applyProtection="1">
      <alignment horizontal="left" vertical="center"/>
      <protection locked="0"/>
    </xf>
    <xf numFmtId="176" fontId="39" fillId="0" borderId="58" xfId="1" applyNumberFormat="1" applyFont="1" applyFill="1" applyBorder="1" applyAlignment="1" applyProtection="1">
      <alignment horizontal="left" vertical="center"/>
      <protection locked="0"/>
    </xf>
    <xf numFmtId="181" fontId="42" fillId="0" borderId="6" xfId="0" applyNumberFormat="1" applyFont="1" applyFill="1" applyBorder="1" applyAlignment="1" applyProtection="1">
      <alignment horizontal="left" vertical="center"/>
      <protection locked="0"/>
    </xf>
    <xf numFmtId="181" fontId="42" fillId="0" borderId="43" xfId="0" applyNumberFormat="1" applyFont="1" applyFill="1" applyBorder="1" applyAlignment="1" applyProtection="1">
      <alignment horizontal="left" vertical="center"/>
      <protection locked="0"/>
    </xf>
    <xf numFmtId="0" fontId="39" fillId="0" borderId="15" xfId="0" applyNumberFormat="1" applyFont="1" applyFill="1" applyBorder="1" applyAlignment="1" applyProtection="1">
      <alignment horizontal="left" vertical="center"/>
      <protection locked="0"/>
    </xf>
    <xf numFmtId="0" fontId="42" fillId="6" borderId="31" xfId="0" applyFont="1" applyFill="1" applyBorder="1" applyAlignment="1" applyProtection="1">
      <alignment horizontal="left" vertical="center"/>
      <protection locked="0"/>
    </xf>
    <xf numFmtId="9" fontId="42" fillId="0" borderId="43" xfId="0" applyNumberFormat="1" applyFont="1" applyFill="1" applyBorder="1" applyAlignment="1" applyProtection="1">
      <alignment horizontal="left" vertical="center"/>
      <protection locked="0"/>
    </xf>
    <xf numFmtId="0" fontId="39" fillId="0" borderId="6" xfId="0" applyFont="1" applyBorder="1" applyAlignment="1" applyProtection="1">
      <alignment horizontal="left" vertical="center"/>
      <protection locked="0"/>
    </xf>
    <xf numFmtId="10" fontId="39" fillId="0" borderId="58" xfId="0" applyNumberFormat="1" applyFont="1" applyFill="1" applyBorder="1" applyAlignment="1" applyProtection="1">
      <alignment horizontal="left" vertical="center"/>
      <protection locked="0"/>
    </xf>
    <xf numFmtId="10" fontId="39" fillId="2" borderId="58" xfId="0" applyNumberFormat="1" applyFont="1" applyFill="1" applyBorder="1" applyAlignment="1" applyProtection="1">
      <alignment horizontal="left" vertical="center"/>
      <protection locked="0"/>
    </xf>
    <xf numFmtId="0" fontId="101" fillId="5" borderId="0" xfId="0" applyFont="1" applyFill="1" applyAlignment="1" applyProtection="1">
      <alignment horizontal="left" vertical="center"/>
      <protection locked="0"/>
    </xf>
    <xf numFmtId="0" fontId="39" fillId="0" borderId="58" xfId="0" applyFont="1" applyFill="1" applyBorder="1" applyAlignment="1" applyProtection="1">
      <alignment horizontal="left" vertical="center"/>
      <protection locked="0"/>
    </xf>
    <xf numFmtId="0" fontId="42" fillId="0" borderId="0" xfId="0" applyFont="1" applyFill="1" applyAlignment="1" applyProtection="1">
      <alignment horizontal="left" vertical="center"/>
      <protection locked="0"/>
    </xf>
    <xf numFmtId="0" fontId="39" fillId="5" borderId="38" xfId="0" applyFont="1" applyFill="1" applyBorder="1" applyAlignment="1" applyProtection="1">
      <alignment horizontal="left" vertical="center"/>
    </xf>
    <xf numFmtId="10" fontId="39" fillId="0" borderId="43" xfId="0" applyNumberFormat="1" applyFont="1" applyFill="1" applyBorder="1" applyAlignment="1" applyProtection="1">
      <alignment horizontal="left" vertical="center"/>
      <protection locked="0"/>
    </xf>
    <xf numFmtId="0" fontId="39" fillId="0" borderId="34" xfId="0" applyFont="1" applyFill="1" applyBorder="1" applyAlignment="1" applyProtection="1">
      <alignment horizontal="left" vertical="center"/>
      <protection locked="0"/>
    </xf>
    <xf numFmtId="10" fontId="39" fillId="0" borderId="50" xfId="0" applyNumberFormat="1" applyFont="1" applyFill="1" applyBorder="1" applyAlignment="1" applyProtection="1">
      <alignment horizontal="left" vertical="center"/>
      <protection locked="0"/>
    </xf>
    <xf numFmtId="0" fontId="39" fillId="0" borderId="31" xfId="0" applyFont="1" applyBorder="1" applyAlignment="1" applyProtection="1">
      <alignment horizontal="left" vertical="center"/>
      <protection locked="0"/>
    </xf>
    <xf numFmtId="0" fontId="39" fillId="6" borderId="6" xfId="0" applyFont="1" applyFill="1" applyBorder="1" applyAlignment="1" applyProtection="1">
      <alignment horizontal="left" vertical="center"/>
      <protection locked="0"/>
    </xf>
    <xf numFmtId="0" fontId="39" fillId="0" borderId="7" xfId="0" applyFont="1" applyBorder="1" applyAlignment="1" applyProtection="1">
      <alignment horizontal="left" vertical="center" wrapText="1"/>
      <protection locked="0"/>
    </xf>
    <xf numFmtId="10" fontId="39" fillId="0" borderId="6" xfId="0" applyNumberFormat="1" applyFont="1" applyBorder="1" applyAlignment="1" applyProtection="1">
      <alignment horizontal="left" vertical="center"/>
      <protection locked="0"/>
    </xf>
    <xf numFmtId="183" fontId="39" fillId="0" borderId="6" xfId="0" applyNumberFormat="1" applyFont="1" applyBorder="1" applyAlignment="1" applyProtection="1">
      <alignment horizontal="left" vertical="center"/>
      <protection locked="0"/>
    </xf>
    <xf numFmtId="181" fontId="39" fillId="0" borderId="43" xfId="0" applyNumberFormat="1" applyFont="1" applyBorder="1" applyAlignment="1" applyProtection="1">
      <alignment horizontal="left" vertical="center"/>
      <protection locked="0"/>
    </xf>
    <xf numFmtId="0" fontId="39" fillId="0" borderId="8" xfId="0" applyFont="1" applyBorder="1" applyAlignment="1" applyProtection="1">
      <alignment horizontal="left" vertical="center" wrapText="1"/>
      <protection locked="0"/>
    </xf>
    <xf numFmtId="0" fontId="39" fillId="0" borderId="43" xfId="0" applyFont="1" applyBorder="1" applyAlignment="1" applyProtection="1">
      <alignment horizontal="left" vertical="center"/>
      <protection locked="0"/>
    </xf>
    <xf numFmtId="0" fontId="42" fillId="0" borderId="0" xfId="0" applyFont="1" applyAlignment="1" applyProtection="1">
      <alignment horizontal="left" vertical="center" wrapText="1"/>
      <protection locked="0"/>
    </xf>
    <xf numFmtId="179" fontId="42" fillId="0" borderId="0" xfId="0" applyNumberFormat="1" applyFont="1" applyAlignment="1" applyProtection="1">
      <alignment horizontal="left" vertical="center"/>
      <protection locked="0"/>
    </xf>
    <xf numFmtId="0" fontId="220" fillId="8" borderId="112" xfId="0" applyFont="1" applyFill="1" applyBorder="1" applyAlignment="1" applyProtection="1">
      <alignment horizontal="left" vertical="center" wrapText="1"/>
      <protection locked="0"/>
    </xf>
    <xf numFmtId="0" fontId="220" fillId="8" borderId="112" xfId="0" applyNumberFormat="1" applyFont="1" applyFill="1" applyBorder="1" applyAlignment="1" applyProtection="1">
      <alignment horizontal="left" vertical="center" wrapText="1"/>
      <protection locked="0"/>
    </xf>
    <xf numFmtId="0" fontId="220" fillId="8" borderId="113" xfId="0" applyFont="1" applyFill="1" applyBorder="1" applyAlignment="1" applyProtection="1">
      <alignment horizontal="left" vertical="center" wrapText="1"/>
      <protection locked="0"/>
    </xf>
    <xf numFmtId="0" fontId="221" fillId="8" borderId="0" xfId="0" applyNumberFormat="1" applyFont="1" applyFill="1" applyAlignment="1" applyProtection="1">
      <alignment horizontal="left" vertical="center"/>
      <protection locked="0"/>
    </xf>
    <xf numFmtId="0" fontId="221" fillId="8" borderId="0" xfId="0" applyFont="1" applyFill="1" applyAlignment="1" applyProtection="1">
      <alignment horizontal="left" vertical="center"/>
      <protection locked="0"/>
    </xf>
    <xf numFmtId="0" fontId="221" fillId="0" borderId="0" xfId="0" applyFont="1" applyAlignment="1" applyProtection="1">
      <alignment horizontal="left" vertical="center"/>
      <protection locked="0"/>
    </xf>
    <xf numFmtId="0" fontId="41" fillId="5" borderId="0" xfId="0" applyFont="1" applyFill="1" applyBorder="1" applyAlignment="1" applyProtection="1">
      <alignment horizontal="left" vertical="center" wrapText="1"/>
    </xf>
    <xf numFmtId="0" fontId="39" fillId="8" borderId="0" xfId="0" applyFont="1" applyFill="1" applyAlignment="1" applyProtection="1">
      <alignment horizontal="left" vertical="center"/>
      <protection locked="0"/>
    </xf>
    <xf numFmtId="49" fontId="39" fillId="5" borderId="0" xfId="0" applyNumberFormat="1" applyFont="1" applyFill="1" applyBorder="1" applyAlignment="1" applyProtection="1">
      <alignment horizontal="left" vertical="center" wrapText="1"/>
      <protection locked="0"/>
    </xf>
    <xf numFmtId="0" fontId="39" fillId="5" borderId="0" xfId="0" applyFont="1" applyFill="1" applyBorder="1" applyAlignment="1" applyProtection="1">
      <alignment horizontal="left" vertical="center" wrapText="1"/>
      <protection locked="0"/>
    </xf>
    <xf numFmtId="0" fontId="38" fillId="5" borderId="0" xfId="0" applyFont="1" applyFill="1" applyBorder="1" applyAlignment="1" applyProtection="1">
      <alignment horizontal="left" vertical="center"/>
    </xf>
    <xf numFmtId="0" fontId="220" fillId="8" borderId="0" xfId="0" applyFont="1" applyFill="1" applyBorder="1" applyAlignment="1" applyProtection="1">
      <alignment horizontal="left" vertical="center" wrapText="1"/>
      <protection locked="0"/>
    </xf>
    <xf numFmtId="0" fontId="220" fillId="8" borderId="0" xfId="0" applyNumberFormat="1" applyFont="1" applyFill="1" applyBorder="1" applyAlignment="1" applyProtection="1">
      <alignment horizontal="left" vertical="center" wrapText="1"/>
      <protection locked="0"/>
    </xf>
    <xf numFmtId="0" fontId="220" fillId="8" borderId="25" xfId="0" applyNumberFormat="1" applyFont="1" applyFill="1" applyBorder="1" applyAlignment="1" applyProtection="1">
      <alignment horizontal="left" vertical="center" wrapText="1"/>
      <protection locked="0"/>
    </xf>
    <xf numFmtId="0" fontId="221" fillId="8" borderId="0" xfId="0" applyFont="1" applyFill="1" applyAlignment="1" applyProtection="1">
      <alignment horizontal="left" vertical="center" wrapText="1"/>
      <protection locked="0"/>
    </xf>
    <xf numFmtId="0" fontId="221" fillId="8" borderId="0" xfId="0" applyNumberFormat="1" applyFont="1" applyFill="1" applyAlignment="1" applyProtection="1">
      <alignment horizontal="left" vertical="center" wrapText="1"/>
      <protection locked="0"/>
    </xf>
    <xf numFmtId="0" fontId="38" fillId="5" borderId="116" xfId="0" applyFont="1" applyFill="1" applyBorder="1" applyAlignment="1" applyProtection="1">
      <alignment horizontal="left" vertical="center"/>
    </xf>
    <xf numFmtId="0" fontId="39" fillId="8" borderId="0" xfId="0" applyFont="1" applyFill="1" applyAlignment="1" applyProtection="1">
      <alignment horizontal="left" vertical="center" wrapText="1"/>
      <protection locked="0"/>
    </xf>
    <xf numFmtId="0" fontId="39" fillId="8" borderId="0" xfId="0" applyNumberFormat="1" applyFont="1" applyFill="1" applyAlignment="1" applyProtection="1">
      <alignment horizontal="left" vertical="center" wrapText="1"/>
      <protection locked="0"/>
    </xf>
    <xf numFmtId="0" fontId="39" fillId="8" borderId="0" xfId="0" applyNumberFormat="1" applyFont="1" applyFill="1" applyAlignment="1" applyProtection="1">
      <alignment horizontal="left" vertical="center"/>
      <protection locked="0"/>
    </xf>
    <xf numFmtId="0" fontId="39" fillId="0" borderId="0" xfId="0" applyFont="1" applyFill="1" applyAlignment="1" applyProtection="1">
      <alignment horizontal="left" vertical="center" wrapText="1"/>
      <protection locked="0"/>
    </xf>
    <xf numFmtId="0" fontId="39" fillId="0" borderId="0" xfId="0" applyNumberFormat="1" applyFont="1" applyFill="1" applyAlignment="1" applyProtection="1">
      <alignment horizontal="left" vertical="center" wrapText="1"/>
      <protection locked="0"/>
    </xf>
    <xf numFmtId="0" fontId="39" fillId="5" borderId="18" xfId="0" applyFont="1" applyFill="1" applyBorder="1" applyAlignment="1" applyProtection="1">
      <alignment horizontal="left" vertical="center" wrapText="1"/>
    </xf>
    <xf numFmtId="0" fontId="98" fillId="2" borderId="18" xfId="0" applyFont="1" applyFill="1" applyBorder="1" applyAlignment="1" applyProtection="1">
      <alignment horizontal="left" vertical="center"/>
      <protection locked="0"/>
    </xf>
    <xf numFmtId="0" fontId="41" fillId="5" borderId="2" xfId="0" applyFont="1" applyFill="1" applyBorder="1" applyAlignment="1" applyProtection="1">
      <alignment horizontal="left" vertical="center"/>
    </xf>
    <xf numFmtId="0" fontId="39" fillId="5" borderId="17" xfId="0" applyFont="1" applyFill="1" applyBorder="1" applyAlignment="1" applyProtection="1">
      <alignment horizontal="left" vertical="center"/>
    </xf>
    <xf numFmtId="0" fontId="41" fillId="5" borderId="60" xfId="0" applyFont="1" applyFill="1" applyBorder="1" applyAlignment="1" applyProtection="1">
      <alignment horizontal="left" vertical="center"/>
    </xf>
    <xf numFmtId="0" fontId="39" fillId="5" borderId="0" xfId="0" applyFont="1" applyFill="1" applyAlignment="1" applyProtection="1">
      <alignment horizontal="left" vertical="center"/>
    </xf>
    <xf numFmtId="179" fontId="39" fillId="5" borderId="18" xfId="0" applyNumberFormat="1" applyFont="1" applyFill="1" applyBorder="1" applyAlignment="1" applyProtection="1">
      <alignment horizontal="left" vertical="center"/>
    </xf>
    <xf numFmtId="0" fontId="41" fillId="5" borderId="5" xfId="0" applyFont="1" applyFill="1" applyBorder="1" applyAlignment="1" applyProtection="1">
      <alignment horizontal="left" vertical="center"/>
    </xf>
    <xf numFmtId="0" fontId="39" fillId="5" borderId="11" xfId="0" applyFont="1" applyFill="1" applyBorder="1" applyAlignment="1" applyProtection="1">
      <alignment horizontal="left" vertical="center"/>
    </xf>
    <xf numFmtId="0" fontId="98" fillId="5" borderId="11" xfId="0" applyFont="1" applyFill="1" applyBorder="1" applyAlignment="1" applyProtection="1">
      <alignment horizontal="left" vertical="center"/>
    </xf>
    <xf numFmtId="0" fontId="98" fillId="5" borderId="31" xfId="0" applyFont="1" applyFill="1" applyBorder="1" applyAlignment="1" applyProtection="1">
      <alignment horizontal="left" vertical="center"/>
    </xf>
    <xf numFmtId="0" fontId="39" fillId="5" borderId="13" xfId="0" applyFont="1" applyFill="1" applyBorder="1" applyAlignment="1" applyProtection="1">
      <alignment horizontal="left" vertical="center"/>
    </xf>
    <xf numFmtId="0" fontId="49" fillId="5" borderId="38" xfId="1" applyFont="1" applyFill="1" applyBorder="1" applyAlignment="1" applyProtection="1">
      <alignment horizontal="left" vertical="center"/>
    </xf>
    <xf numFmtId="0" fontId="41" fillId="5" borderId="39" xfId="0" applyFont="1" applyFill="1" applyBorder="1" applyAlignment="1" applyProtection="1">
      <alignment horizontal="left" vertical="center"/>
    </xf>
    <xf numFmtId="0" fontId="42" fillId="5" borderId="41" xfId="0" applyFont="1" applyFill="1" applyBorder="1" applyAlignment="1" applyProtection="1">
      <alignment horizontal="left" vertical="center"/>
    </xf>
    <xf numFmtId="0" fontId="41" fillId="5" borderId="29" xfId="0" applyFont="1" applyFill="1" applyBorder="1" applyAlignment="1" applyProtection="1">
      <alignment horizontal="left" vertical="center"/>
    </xf>
    <xf numFmtId="0" fontId="39" fillId="5" borderId="61" xfId="0" applyFont="1" applyFill="1" applyBorder="1" applyAlignment="1" applyProtection="1">
      <alignment horizontal="left" vertical="center"/>
    </xf>
    <xf numFmtId="0" fontId="39" fillId="5" borderId="43" xfId="0" applyFont="1" applyFill="1" applyBorder="1" applyAlignment="1" applyProtection="1">
      <alignment horizontal="left" vertical="center"/>
    </xf>
    <xf numFmtId="0" fontId="39" fillId="5" borderId="44" xfId="0" applyFont="1" applyFill="1" applyBorder="1" applyAlignment="1" applyProtection="1">
      <alignment horizontal="left" vertical="center"/>
    </xf>
    <xf numFmtId="0" fontId="42" fillId="5" borderId="62" xfId="0" applyFont="1" applyFill="1" applyBorder="1" applyAlignment="1" applyProtection="1">
      <alignment horizontal="left" vertical="center"/>
    </xf>
    <xf numFmtId="0" fontId="39" fillId="5" borderId="55" xfId="0" applyFont="1" applyFill="1" applyBorder="1" applyAlignment="1" applyProtection="1">
      <alignment horizontal="left" vertical="center"/>
    </xf>
    <xf numFmtId="0" fontId="39" fillId="5" borderId="67" xfId="0" applyFont="1" applyFill="1" applyBorder="1" applyAlignment="1" applyProtection="1">
      <alignment horizontal="left" vertical="center"/>
    </xf>
    <xf numFmtId="181" fontId="105" fillId="5" borderId="81" xfId="0" applyNumberFormat="1" applyFont="1" applyFill="1" applyBorder="1" applyAlignment="1" applyProtection="1">
      <alignment horizontal="left" vertical="center"/>
    </xf>
    <xf numFmtId="0" fontId="39" fillId="5" borderId="64" xfId="0" applyFont="1" applyFill="1" applyBorder="1" applyAlignment="1" applyProtection="1">
      <alignment horizontal="left" vertical="center"/>
    </xf>
    <xf numFmtId="0" fontId="39" fillId="5" borderId="41" xfId="0" applyFont="1" applyFill="1" applyBorder="1" applyAlignment="1" applyProtection="1">
      <alignment horizontal="left" vertical="center"/>
    </xf>
    <xf numFmtId="0" fontId="99" fillId="0" borderId="7" xfId="0" applyFont="1" applyBorder="1" applyAlignment="1" applyProtection="1">
      <alignment horizontal="left" vertical="center"/>
      <protection locked="0"/>
    </xf>
    <xf numFmtId="0" fontId="99" fillId="0" borderId="1" xfId="0" applyFont="1" applyFill="1" applyBorder="1" applyAlignment="1" applyProtection="1">
      <alignment horizontal="left" vertical="center"/>
      <protection locked="0"/>
    </xf>
    <xf numFmtId="0" fontId="99" fillId="0" borderId="6" xfId="0" applyFont="1" applyFill="1" applyBorder="1" applyAlignment="1" applyProtection="1">
      <alignment horizontal="left" vertical="center"/>
      <protection locked="0"/>
    </xf>
    <xf numFmtId="0" fontId="39" fillId="6" borderId="41" xfId="0" applyFont="1" applyFill="1" applyBorder="1" applyAlignment="1" applyProtection="1">
      <alignment horizontal="left" vertical="center"/>
      <protection locked="0"/>
    </xf>
    <xf numFmtId="0" fontId="143" fillId="5" borderId="0" xfId="0" applyFont="1" applyFill="1" applyAlignment="1" applyProtection="1">
      <alignment horizontal="left" vertical="center"/>
    </xf>
    <xf numFmtId="0" fontId="41" fillId="5" borderId="23" xfId="0" applyFont="1" applyFill="1" applyBorder="1" applyAlignment="1" applyProtection="1">
      <alignment horizontal="left" vertical="center"/>
    </xf>
    <xf numFmtId="0" fontId="42" fillId="6" borderId="64" xfId="0" applyFont="1" applyFill="1" applyBorder="1" applyAlignment="1" applyProtection="1">
      <alignment horizontal="left" vertical="center"/>
    </xf>
    <xf numFmtId="0" fontId="41" fillId="6" borderId="1" xfId="0" applyFont="1" applyFill="1" applyBorder="1" applyAlignment="1" applyProtection="1">
      <alignment horizontal="left" vertical="center"/>
      <protection locked="0"/>
    </xf>
    <xf numFmtId="0" fontId="42" fillId="5" borderId="28" xfId="0" applyFont="1" applyFill="1" applyBorder="1" applyAlignment="1" applyProtection="1">
      <alignment horizontal="left" vertical="center"/>
    </xf>
    <xf numFmtId="0" fontId="42" fillId="5" borderId="31" xfId="0" applyFont="1" applyFill="1" applyBorder="1" applyAlignment="1" applyProtection="1">
      <alignment horizontal="left" vertical="center"/>
    </xf>
    <xf numFmtId="0" fontId="39" fillId="5" borderId="24" xfId="0" applyFont="1" applyFill="1" applyBorder="1" applyAlignment="1" applyProtection="1">
      <alignment horizontal="left" vertical="center"/>
    </xf>
    <xf numFmtId="0" fontId="41" fillId="5" borderId="64" xfId="0" applyFont="1" applyFill="1" applyBorder="1" applyAlignment="1" applyProtection="1">
      <alignment horizontal="left" vertical="center"/>
    </xf>
    <xf numFmtId="181" fontId="39" fillId="5" borderId="64" xfId="0" applyNumberFormat="1" applyFont="1" applyFill="1" applyBorder="1" applyAlignment="1" applyProtection="1">
      <alignment horizontal="left" vertical="center"/>
    </xf>
    <xf numFmtId="0" fontId="42" fillId="0" borderId="6" xfId="0" applyFont="1" applyBorder="1" applyAlignment="1" applyProtection="1">
      <alignment horizontal="left" vertical="center"/>
      <protection locked="0"/>
    </xf>
    <xf numFmtId="0" fontId="39" fillId="5" borderId="27" xfId="0" applyFont="1" applyFill="1" applyBorder="1" applyAlignment="1" applyProtection="1">
      <alignment horizontal="left" vertical="center"/>
    </xf>
    <xf numFmtId="0" fontId="41" fillId="5" borderId="35" xfId="0" applyFont="1" applyFill="1" applyBorder="1" applyAlignment="1" applyProtection="1">
      <alignment horizontal="left" vertical="center"/>
    </xf>
    <xf numFmtId="181" fontId="39" fillId="5" borderId="35" xfId="0" applyNumberFormat="1" applyFont="1" applyFill="1" applyBorder="1" applyAlignment="1" applyProtection="1">
      <alignment horizontal="left" vertical="center"/>
    </xf>
    <xf numFmtId="0" fontId="42" fillId="5" borderId="8" xfId="0" applyFont="1" applyFill="1" applyBorder="1" applyAlignment="1" applyProtection="1">
      <alignment horizontal="left" vertical="center"/>
    </xf>
    <xf numFmtId="0" fontId="42" fillId="0" borderId="43" xfId="0" applyFont="1" applyBorder="1" applyAlignment="1" applyProtection="1">
      <alignment horizontal="left" vertical="center"/>
      <protection locked="0"/>
    </xf>
    <xf numFmtId="0" fontId="41" fillId="0" borderId="31" xfId="0" applyFont="1" applyFill="1" applyBorder="1" applyAlignment="1" applyProtection="1">
      <alignment horizontal="left" vertical="center"/>
      <protection locked="0"/>
    </xf>
    <xf numFmtId="0" fontId="39" fillId="6" borderId="82" xfId="0" applyFont="1" applyFill="1" applyBorder="1" applyAlignment="1" applyProtection="1">
      <alignment horizontal="left" vertical="center"/>
      <protection locked="0"/>
    </xf>
    <xf numFmtId="0" fontId="41" fillId="0" borderId="6" xfId="0" applyFont="1" applyFill="1" applyBorder="1" applyAlignment="1" applyProtection="1">
      <alignment horizontal="left" vertical="center"/>
      <protection locked="0"/>
    </xf>
    <xf numFmtId="0" fontId="41" fillId="0" borderId="61" xfId="0" applyFont="1" applyFill="1" applyBorder="1" applyAlignment="1" applyProtection="1">
      <alignment horizontal="left" vertical="center"/>
      <protection locked="0"/>
    </xf>
    <xf numFmtId="0" fontId="39" fillId="0" borderId="81" xfId="0" applyFont="1" applyFill="1" applyBorder="1" applyAlignment="1" applyProtection="1">
      <alignment horizontal="left" vertical="center"/>
      <protection locked="0"/>
    </xf>
    <xf numFmtId="0" fontId="99" fillId="0" borderId="4" xfId="0" applyFont="1" applyFill="1" applyBorder="1" applyAlignment="1" applyProtection="1">
      <alignment horizontal="left" vertical="center"/>
      <protection locked="0"/>
    </xf>
    <xf numFmtId="0" fontId="99" fillId="0" borderId="11" xfId="0" applyFont="1" applyFill="1" applyBorder="1" applyAlignment="1" applyProtection="1">
      <alignment horizontal="left" vertical="center"/>
      <protection locked="0"/>
    </xf>
    <xf numFmtId="0" fontId="99" fillId="0" borderId="31" xfId="0" applyFont="1" applyFill="1" applyBorder="1" applyAlignment="1" applyProtection="1">
      <alignment horizontal="left" vertical="center"/>
      <protection locked="0"/>
    </xf>
    <xf numFmtId="0" fontId="42" fillId="5" borderId="39" xfId="0" applyFont="1" applyFill="1" applyBorder="1" applyAlignment="1" applyProtection="1">
      <alignment horizontal="left" vertical="center"/>
    </xf>
    <xf numFmtId="0" fontId="42" fillId="0" borderId="7" xfId="0" applyFont="1" applyBorder="1" applyAlignment="1" applyProtection="1">
      <alignment horizontal="left" vertical="center"/>
      <protection locked="0"/>
    </xf>
    <xf numFmtId="0" fontId="42" fillId="0" borderId="1" xfId="0" applyFont="1" applyBorder="1" applyAlignment="1" applyProtection="1">
      <alignment horizontal="left" vertical="center"/>
      <protection locked="0"/>
    </xf>
    <xf numFmtId="0" fontId="42" fillId="0" borderId="6" xfId="0" applyFont="1" applyFill="1" applyBorder="1" applyAlignment="1" applyProtection="1">
      <alignment horizontal="left" vertical="center"/>
      <protection locked="0"/>
    </xf>
    <xf numFmtId="0" fontId="42" fillId="5" borderId="29" xfId="0" applyFont="1" applyFill="1" applyBorder="1" applyAlignment="1" applyProtection="1">
      <alignment horizontal="left" vertical="center"/>
    </xf>
    <xf numFmtId="0" fontId="42" fillId="0" borderId="8" xfId="0" applyFont="1" applyBorder="1" applyAlignment="1" applyProtection="1">
      <alignment horizontal="left" vertical="center"/>
      <protection locked="0"/>
    </xf>
    <xf numFmtId="0" fontId="42" fillId="0" borderId="61" xfId="0" applyFont="1" applyBorder="1" applyAlignment="1" applyProtection="1">
      <alignment horizontal="left" vertical="center"/>
      <protection locked="0"/>
    </xf>
    <xf numFmtId="0" fontId="117" fillId="5" borderId="0" xfId="0" applyFont="1" applyFill="1" applyAlignment="1" applyProtection="1">
      <alignment horizontal="left" vertical="center"/>
    </xf>
    <xf numFmtId="0" fontId="75" fillId="5" borderId="0" xfId="0" applyFont="1" applyFill="1" applyAlignment="1" applyProtection="1">
      <alignment horizontal="left" vertical="center"/>
    </xf>
    <xf numFmtId="0" fontId="99" fillId="0" borderId="18" xfId="0" applyFont="1" applyFill="1" applyBorder="1" applyAlignment="1" applyProtection="1">
      <alignment horizontal="left" vertical="center"/>
    </xf>
    <xf numFmtId="0" fontId="99" fillId="0" borderId="18" xfId="0" applyFont="1" applyFill="1" applyBorder="1" applyAlignment="1" applyProtection="1">
      <alignment horizontal="left" vertical="center"/>
      <protection locked="0"/>
    </xf>
    <xf numFmtId="0" fontId="41" fillId="5" borderId="28" xfId="0" applyFont="1" applyFill="1" applyBorder="1" applyAlignment="1" applyProtection="1">
      <alignment horizontal="left" vertical="center"/>
    </xf>
    <xf numFmtId="0" fontId="39" fillId="5" borderId="31" xfId="0" applyFont="1" applyFill="1" applyBorder="1" applyAlignment="1" applyProtection="1">
      <alignment horizontal="left" vertical="center"/>
    </xf>
    <xf numFmtId="0" fontId="41" fillId="5" borderId="3" xfId="0" applyFont="1" applyFill="1" applyBorder="1" applyAlignment="1" applyProtection="1">
      <alignment horizontal="left" vertical="center"/>
    </xf>
    <xf numFmtId="0" fontId="39" fillId="5" borderId="6" xfId="0" applyFont="1" applyFill="1" applyBorder="1" applyAlignment="1" applyProtection="1">
      <alignment horizontal="left" vertical="center"/>
    </xf>
    <xf numFmtId="0" fontId="42" fillId="5" borderId="0" xfId="0" applyNumberFormat="1" applyFont="1" applyFill="1" applyAlignment="1" applyProtection="1">
      <alignment horizontal="left" vertical="center"/>
    </xf>
    <xf numFmtId="0" fontId="41" fillId="5" borderId="56" xfId="0" applyFont="1" applyFill="1" applyBorder="1" applyAlignment="1" applyProtection="1">
      <alignment horizontal="left" vertical="center"/>
    </xf>
    <xf numFmtId="0" fontId="41" fillId="5" borderId="31" xfId="0" applyFont="1" applyFill="1" applyBorder="1" applyAlignment="1" applyProtection="1">
      <alignment horizontal="left" vertical="center"/>
    </xf>
    <xf numFmtId="0" fontId="41" fillId="5" borderId="43" xfId="0" applyFont="1" applyFill="1" applyBorder="1" applyAlignment="1" applyProtection="1">
      <alignment horizontal="left" vertical="center"/>
    </xf>
    <xf numFmtId="0" fontId="221" fillId="5" borderId="0" xfId="0" applyFont="1" applyFill="1" applyBorder="1" applyAlignment="1" applyProtection="1">
      <alignment horizontal="left" vertical="center"/>
    </xf>
    <xf numFmtId="10" fontId="42" fillId="5" borderId="61" xfId="0" applyNumberFormat="1" applyFont="1" applyFill="1" applyBorder="1" applyAlignment="1" applyProtection="1">
      <alignment horizontal="left" vertical="center"/>
    </xf>
    <xf numFmtId="177" fontId="49" fillId="5" borderId="17" xfId="0" applyNumberFormat="1" applyFont="1" applyFill="1" applyBorder="1" applyAlignment="1" applyProtection="1">
      <alignment horizontal="left" vertical="center" wrapText="1"/>
    </xf>
    <xf numFmtId="177" fontId="48" fillId="5" borderId="1" xfId="0" applyNumberFormat="1" applyFont="1" applyFill="1" applyBorder="1" applyAlignment="1" applyProtection="1">
      <alignment horizontal="left" vertical="center" wrapText="1"/>
    </xf>
    <xf numFmtId="177" fontId="48" fillId="0" borderId="1" xfId="0" applyNumberFormat="1" applyFont="1" applyFill="1" applyBorder="1" applyAlignment="1" applyProtection="1">
      <alignment horizontal="left" vertical="center" wrapText="1"/>
      <protection locked="0"/>
    </xf>
    <xf numFmtId="0" fontId="49" fillId="0" borderId="1" xfId="0" applyFont="1" applyFill="1" applyBorder="1" applyAlignment="1" applyProtection="1">
      <alignment horizontal="left" vertical="center" wrapText="1"/>
      <protection locked="0"/>
    </xf>
    <xf numFmtId="177" fontId="49" fillId="5" borderId="1" xfId="0" applyNumberFormat="1" applyFont="1" applyFill="1" applyBorder="1" applyAlignment="1" applyProtection="1">
      <alignment horizontal="left" vertical="center" wrapText="1"/>
    </xf>
    <xf numFmtId="177" fontId="49" fillId="5" borderId="61" xfId="0" applyNumberFormat="1" applyFont="1" applyFill="1" applyBorder="1" applyAlignment="1" applyProtection="1">
      <alignment horizontal="left" vertical="center" wrapText="1"/>
    </xf>
    <xf numFmtId="177" fontId="49" fillId="5" borderId="0" xfId="0" applyNumberFormat="1" applyFont="1" applyFill="1" applyBorder="1" applyAlignment="1" applyProtection="1">
      <alignment horizontal="left" vertical="center" wrapText="1"/>
    </xf>
    <xf numFmtId="0" fontId="98" fillId="5" borderId="0" xfId="2" applyFont="1" applyFill="1" applyAlignment="1" applyProtection="1">
      <alignment horizontal="left" vertical="center" wrapText="1"/>
    </xf>
    <xf numFmtId="0" fontId="39" fillId="2" borderId="1" xfId="2" applyFont="1" applyFill="1" applyBorder="1" applyAlignment="1" applyProtection="1">
      <alignment horizontal="left" vertical="center" wrapText="1"/>
      <protection locked="0"/>
    </xf>
    <xf numFmtId="177" fontId="48" fillId="0" borderId="6" xfId="0" applyNumberFormat="1" applyFont="1" applyFill="1" applyBorder="1" applyAlignment="1" applyProtection="1">
      <alignment horizontal="left" vertical="center" wrapText="1"/>
      <protection locked="0"/>
    </xf>
    <xf numFmtId="9" fontId="39" fillId="5" borderId="0" xfId="0" applyNumberFormat="1" applyFont="1" applyFill="1" applyBorder="1" applyAlignment="1" applyProtection="1">
      <alignment horizontal="left" vertical="center"/>
    </xf>
    <xf numFmtId="10" fontId="48" fillId="5" borderId="1" xfId="0" applyNumberFormat="1" applyFont="1" applyFill="1" applyBorder="1" applyAlignment="1" applyProtection="1">
      <alignment horizontal="left" vertical="center" wrapText="1"/>
    </xf>
    <xf numFmtId="191" fontId="48" fillId="5" borderId="1" xfId="0" applyNumberFormat="1" applyFont="1" applyFill="1" applyBorder="1" applyAlignment="1" applyProtection="1">
      <alignment horizontal="left" vertical="center" wrapText="1"/>
    </xf>
    <xf numFmtId="10" fontId="47" fillId="5" borderId="2" xfId="0" applyNumberFormat="1" applyFont="1" applyFill="1" applyBorder="1" applyAlignment="1" applyProtection="1">
      <alignment horizontal="left" vertical="center" wrapText="1"/>
    </xf>
    <xf numFmtId="181" fontId="49" fillId="5" borderId="1" xfId="0" applyNumberFormat="1" applyFont="1" applyFill="1" applyBorder="1" applyAlignment="1" applyProtection="1">
      <alignment horizontal="left" vertical="center" wrapText="1"/>
    </xf>
    <xf numFmtId="0" fontId="47" fillId="5" borderId="61" xfId="0" applyFont="1" applyFill="1" applyBorder="1" applyAlignment="1" applyProtection="1">
      <alignment horizontal="left" vertical="center" wrapText="1"/>
    </xf>
    <xf numFmtId="0" fontId="48" fillId="5" borderId="2" xfId="0" applyFont="1" applyFill="1" applyBorder="1" applyAlignment="1" applyProtection="1">
      <alignment horizontal="left" vertical="center" wrapText="1"/>
    </xf>
    <xf numFmtId="191" fontId="48" fillId="0" borderId="1" xfId="0" applyNumberFormat="1" applyFont="1" applyFill="1" applyBorder="1" applyAlignment="1" applyProtection="1">
      <alignment horizontal="left" vertical="center" wrapText="1"/>
      <protection locked="0"/>
    </xf>
    <xf numFmtId="0" fontId="98" fillId="0" borderId="7" xfId="0" applyFont="1" applyFill="1" applyBorder="1" applyAlignment="1" applyProtection="1">
      <alignment horizontal="left" vertical="center"/>
      <protection locked="0"/>
    </xf>
    <xf numFmtId="0" fontId="104" fillId="5" borderId="1" xfId="0" applyFont="1" applyFill="1" applyBorder="1" applyAlignment="1" applyProtection="1">
      <alignment horizontal="left" vertical="center" wrapText="1"/>
    </xf>
    <xf numFmtId="0" fontId="104" fillId="5" borderId="6" xfId="0" applyFont="1" applyFill="1" applyBorder="1" applyAlignment="1" applyProtection="1">
      <alignment horizontal="left" vertical="center" wrapText="1"/>
    </xf>
    <xf numFmtId="0" fontId="42" fillId="0" borderId="0" xfId="0" applyFont="1" applyBorder="1" applyAlignment="1" applyProtection="1">
      <alignment horizontal="left" vertical="center"/>
    </xf>
    <xf numFmtId="0" fontId="42" fillId="5" borderId="43" xfId="0" applyFont="1" applyFill="1" applyBorder="1" applyAlignment="1" applyProtection="1">
      <alignment horizontal="left" vertical="center" wrapText="1"/>
    </xf>
    <xf numFmtId="0" fontId="172" fillId="5" borderId="6" xfId="0" applyFont="1" applyFill="1" applyBorder="1" applyAlignment="1" applyProtection="1">
      <alignment horizontal="left" vertical="center" wrapText="1"/>
    </xf>
    <xf numFmtId="0" fontId="172" fillId="5" borderId="18" xfId="0" applyFont="1" applyFill="1" applyBorder="1" applyAlignment="1" applyProtection="1">
      <alignment horizontal="left" vertical="center" wrapText="1"/>
    </xf>
    <xf numFmtId="0" fontId="172" fillId="5" borderId="58" xfId="0" applyFont="1" applyFill="1" applyBorder="1" applyAlignment="1" applyProtection="1">
      <alignment horizontal="left" vertical="center" wrapText="1"/>
    </xf>
    <xf numFmtId="0" fontId="172" fillId="5" borderId="41" xfId="0" applyFont="1" applyFill="1" applyBorder="1" applyAlignment="1" applyProtection="1">
      <alignment horizontal="left" vertical="center" wrapText="1"/>
    </xf>
    <xf numFmtId="0" fontId="101" fillId="5" borderId="64" xfId="0" applyFont="1" applyFill="1" applyBorder="1" applyAlignment="1" applyProtection="1">
      <alignment horizontal="left" vertical="center"/>
    </xf>
    <xf numFmtId="0" fontId="172" fillId="5" borderId="2" xfId="0" applyFont="1" applyFill="1" applyBorder="1" applyAlignment="1" applyProtection="1">
      <alignment horizontal="left" vertical="center" wrapText="1"/>
    </xf>
    <xf numFmtId="0" fontId="172" fillId="5" borderId="80" xfId="0" applyFont="1" applyFill="1" applyBorder="1" applyAlignment="1" applyProtection="1">
      <alignment horizontal="left" vertical="center" wrapText="1"/>
    </xf>
    <xf numFmtId="0" fontId="101" fillId="5" borderId="44" xfId="0" applyFont="1" applyFill="1" applyBorder="1" applyAlignment="1" applyProtection="1">
      <alignment horizontal="left" vertical="center"/>
    </xf>
    <xf numFmtId="0" fontId="172" fillId="5" borderId="44" xfId="0" applyFont="1" applyFill="1" applyBorder="1" applyAlignment="1" applyProtection="1">
      <alignment horizontal="left" vertical="center" wrapText="1"/>
    </xf>
    <xf numFmtId="0" fontId="172" fillId="5" borderId="62" xfId="0" applyFont="1" applyFill="1" applyBorder="1" applyAlignment="1" applyProtection="1">
      <alignment horizontal="left" vertical="center" wrapText="1"/>
    </xf>
    <xf numFmtId="0" fontId="101" fillId="5" borderId="1" xfId="0" applyFont="1" applyFill="1" applyBorder="1" applyAlignment="1" applyProtection="1">
      <alignment horizontal="left" vertical="center" shrinkToFit="1"/>
    </xf>
    <xf numFmtId="0" fontId="47" fillId="5" borderId="6" xfId="0" applyFont="1" applyFill="1" applyBorder="1" applyAlignment="1" applyProtection="1">
      <alignment horizontal="left" vertical="center" wrapText="1"/>
    </xf>
    <xf numFmtId="0" fontId="172" fillId="5" borderId="1" xfId="0" applyFont="1" applyFill="1" applyBorder="1" applyAlignment="1" applyProtection="1">
      <alignment horizontal="left" vertical="center" shrinkToFit="1"/>
    </xf>
    <xf numFmtId="0" fontId="42" fillId="18" borderId="6" xfId="0" applyFont="1" applyFill="1" applyBorder="1" applyAlignment="1" applyProtection="1">
      <alignment horizontal="left" vertical="center" wrapText="1"/>
    </xf>
    <xf numFmtId="0" fontId="42" fillId="5" borderId="6" xfId="0" applyFont="1" applyFill="1" applyBorder="1" applyAlignment="1" applyProtection="1">
      <alignment horizontal="left" vertical="center" shrinkToFit="1"/>
    </xf>
    <xf numFmtId="0" fontId="101" fillId="5" borderId="61" xfId="0" applyFont="1" applyFill="1" applyBorder="1" applyAlignment="1" applyProtection="1">
      <alignment horizontal="left" vertical="center" shrinkToFit="1"/>
    </xf>
    <xf numFmtId="0" fontId="143" fillId="0" borderId="43" xfId="0" applyFont="1" applyFill="1" applyBorder="1" applyAlignment="1" applyProtection="1">
      <alignment horizontal="left" vertical="center" wrapText="1"/>
      <protection locked="0"/>
    </xf>
    <xf numFmtId="181" fontId="42" fillId="18" borderId="41" xfId="0" applyNumberFormat="1" applyFont="1" applyFill="1" applyBorder="1" applyAlignment="1" applyProtection="1">
      <alignment horizontal="center" vertical="center" wrapText="1"/>
    </xf>
    <xf numFmtId="0" fontId="42" fillId="18" borderId="1" xfId="0" applyFont="1" applyFill="1" applyBorder="1" applyAlignment="1" applyProtection="1">
      <alignment horizontal="center" vertical="center"/>
    </xf>
    <xf numFmtId="0" fontId="41" fillId="5" borderId="168" xfId="0" applyFont="1" applyFill="1" applyBorder="1" applyAlignment="1" applyProtection="1">
      <alignment horizontal="left" vertical="center"/>
    </xf>
    <xf numFmtId="0" fontId="41" fillId="5" borderId="169" xfId="0" applyFont="1" applyFill="1" applyBorder="1" applyAlignment="1" applyProtection="1">
      <alignment horizontal="left" vertical="center"/>
    </xf>
    <xf numFmtId="0" fontId="39" fillId="5" borderId="169" xfId="0" applyFont="1" applyFill="1" applyBorder="1" applyAlignment="1" applyProtection="1">
      <alignment horizontal="left" vertical="center"/>
    </xf>
    <xf numFmtId="0" fontId="42" fillId="5" borderId="170" xfId="0" applyFont="1" applyFill="1" applyBorder="1" applyAlignment="1" applyProtection="1">
      <alignment horizontal="left" vertical="center"/>
    </xf>
    <xf numFmtId="0" fontId="42" fillId="8" borderId="170" xfId="0" applyFont="1" applyFill="1" applyBorder="1" applyProtection="1">
      <alignment vertical="center"/>
      <protection locked="0"/>
    </xf>
    <xf numFmtId="0" fontId="42" fillId="8" borderId="170" xfId="0" applyFont="1" applyFill="1" applyBorder="1" applyProtection="1">
      <alignment vertical="center"/>
    </xf>
    <xf numFmtId="0" fontId="42" fillId="0" borderId="170" xfId="0" applyFont="1" applyBorder="1" applyProtection="1">
      <alignment vertical="center"/>
    </xf>
    <xf numFmtId="0" fontId="176" fillId="5" borderId="171" xfId="0" applyFont="1" applyFill="1" applyBorder="1" applyAlignment="1" applyProtection="1">
      <alignment horizontal="left"/>
    </xf>
    <xf numFmtId="0" fontId="100" fillId="5" borderId="171" xfId="0" applyFont="1" applyFill="1" applyBorder="1" applyAlignment="1" applyProtection="1">
      <alignment horizontal="left"/>
    </xf>
    <xf numFmtId="0" fontId="176" fillId="5" borderId="171" xfId="0" applyFont="1" applyFill="1" applyBorder="1" applyAlignment="1" applyProtection="1">
      <alignment horizontal="right"/>
    </xf>
    <xf numFmtId="0" fontId="100" fillId="8" borderId="171" xfId="0" applyFont="1" applyFill="1" applyBorder="1" applyAlignment="1" applyProtection="1">
      <protection locked="0"/>
    </xf>
    <xf numFmtId="0" fontId="100" fillId="8" borderId="171" xfId="0" applyFont="1" applyFill="1" applyBorder="1" applyAlignment="1" applyProtection="1"/>
    <xf numFmtId="0" fontId="100" fillId="0" borderId="171" xfId="0" applyFont="1" applyFill="1" applyBorder="1" applyAlignment="1" applyProtection="1"/>
    <xf numFmtId="0" fontId="168" fillId="5" borderId="0" xfId="0" applyFont="1" applyFill="1" applyBorder="1" applyAlignment="1" applyProtection="1">
      <alignment horizontal="right" vertical="center"/>
    </xf>
    <xf numFmtId="181" fontId="47" fillId="6" borderId="2" xfId="0" applyNumberFormat="1" applyFont="1" applyFill="1" applyBorder="1" applyAlignment="1" applyProtection="1">
      <alignment horizontal="left" vertical="center" wrapText="1"/>
      <protection locked="0"/>
    </xf>
    <xf numFmtId="0" fontId="42" fillId="19" borderId="0" xfId="0" applyFont="1" applyFill="1" applyProtection="1">
      <alignment vertical="center"/>
    </xf>
    <xf numFmtId="0" fontId="223" fillId="19" borderId="0" xfId="0" applyFont="1" applyFill="1" applyAlignment="1" applyProtection="1">
      <alignment horizontal="center" vertical="center"/>
    </xf>
    <xf numFmtId="0" fontId="42" fillId="19" borderId="0" xfId="0" applyFont="1" applyFill="1" applyBorder="1" applyAlignment="1" applyProtection="1">
      <alignment horizontal="center" vertical="center"/>
    </xf>
    <xf numFmtId="0" fontId="42" fillId="19" borderId="0" xfId="0" applyFont="1" applyFill="1" applyBorder="1" applyAlignment="1" applyProtection="1">
      <alignment horizontal="left" vertical="center" wrapText="1"/>
    </xf>
    <xf numFmtId="0" fontId="42" fillId="19" borderId="0" xfId="0" applyFont="1" applyFill="1" applyAlignment="1" applyProtection="1">
      <alignment horizontal="left" vertical="center"/>
    </xf>
    <xf numFmtId="0" fontId="75" fillId="19" borderId="0" xfId="0" applyFont="1" applyFill="1" applyAlignment="1" applyProtection="1">
      <alignment horizontal="left" vertical="center"/>
    </xf>
    <xf numFmtId="0" fontId="176" fillId="19" borderId="171" xfId="0" applyFont="1" applyFill="1" applyBorder="1" applyAlignment="1" applyProtection="1">
      <alignment horizontal="right"/>
    </xf>
    <xf numFmtId="0" fontId="42" fillId="19" borderId="170" xfId="0" applyFont="1" applyFill="1" applyBorder="1" applyAlignment="1" applyProtection="1">
      <alignment horizontal="left" vertical="center"/>
    </xf>
    <xf numFmtId="0" fontId="39" fillId="19" borderId="0" xfId="0" applyFont="1" applyFill="1" applyAlignment="1" applyProtection="1">
      <alignment horizontal="left" vertical="center"/>
    </xf>
    <xf numFmtId="0" fontId="117" fillId="19" borderId="0" xfId="0" applyFont="1" applyFill="1" applyAlignment="1" applyProtection="1">
      <alignment horizontal="left" vertical="center"/>
    </xf>
    <xf numFmtId="0" fontId="168" fillId="19" borderId="0" xfId="0" applyFont="1" applyFill="1" applyBorder="1" applyAlignment="1" applyProtection="1">
      <alignment horizontal="right" vertical="center"/>
    </xf>
    <xf numFmtId="9" fontId="42" fillId="19" borderId="0" xfId="0" applyNumberFormat="1" applyFont="1" applyFill="1" applyAlignment="1" applyProtection="1">
      <alignment horizontal="left" vertical="center"/>
    </xf>
    <xf numFmtId="10" fontId="42" fillId="19" borderId="0" xfId="0" applyNumberFormat="1" applyFont="1" applyFill="1" applyAlignment="1" applyProtection="1">
      <alignment horizontal="left" vertical="center"/>
    </xf>
    <xf numFmtId="0" fontId="42" fillId="19" borderId="0" xfId="2" applyFont="1" applyFill="1" applyBorder="1" applyAlignment="1" applyProtection="1">
      <alignment horizontal="left" vertical="center" wrapText="1"/>
    </xf>
    <xf numFmtId="0" fontId="98" fillId="19" borderId="0" xfId="2" applyFont="1" applyFill="1" applyAlignment="1" applyProtection="1">
      <alignment vertical="center" wrapText="1"/>
    </xf>
    <xf numFmtId="0" fontId="98" fillId="19" borderId="0" xfId="0" applyFont="1" applyFill="1" applyProtection="1">
      <alignment vertical="center"/>
    </xf>
    <xf numFmtId="0" fontId="98" fillId="19" borderId="0" xfId="2" applyFont="1" applyFill="1" applyProtection="1"/>
    <xf numFmtId="0" fontId="98" fillId="19" borderId="0" xfId="0" applyFont="1" applyFill="1" applyBorder="1" applyProtection="1">
      <alignment vertical="center"/>
      <protection locked="0"/>
    </xf>
    <xf numFmtId="0" fontId="40" fillId="19" borderId="0" xfId="0" applyFont="1" applyFill="1" applyBorder="1" applyAlignment="1" applyProtection="1">
      <alignment horizontal="center" vertical="center" wrapText="1"/>
    </xf>
    <xf numFmtId="0" fontId="47" fillId="19" borderId="0" xfId="0" applyFont="1" applyFill="1" applyBorder="1" applyAlignment="1" applyProtection="1">
      <alignment horizontal="left" vertical="center" wrapText="1"/>
    </xf>
    <xf numFmtId="0" fontId="101" fillId="19" borderId="0" xfId="0" applyFont="1" applyFill="1" applyBorder="1" applyAlignment="1" applyProtection="1">
      <alignment horizontal="left" vertical="center" shrinkToFit="1"/>
    </xf>
    <xf numFmtId="0" fontId="101" fillId="19" borderId="0" xfId="0" applyFont="1" applyFill="1" applyBorder="1" applyAlignment="1" applyProtection="1">
      <alignment horizontal="left" vertical="center" wrapText="1"/>
    </xf>
    <xf numFmtId="0" fontId="42" fillId="19" borderId="0" xfId="0" applyFont="1" applyFill="1" applyBorder="1" applyAlignment="1" applyProtection="1">
      <alignment horizontal="left" vertical="center" shrinkToFit="1"/>
    </xf>
    <xf numFmtId="0" fontId="129" fillId="19" borderId="0" xfId="0" applyFont="1" applyFill="1" applyBorder="1" applyAlignment="1" applyProtection="1">
      <alignment horizontal="center" vertical="center" shrinkToFit="1"/>
    </xf>
    <xf numFmtId="0" fontId="101" fillId="19" borderId="0" xfId="0" applyFont="1" applyFill="1" applyBorder="1" applyAlignment="1" applyProtection="1">
      <alignment horizontal="left" vertical="center"/>
    </xf>
    <xf numFmtId="0" fontId="41" fillId="19" borderId="0" xfId="0" applyFont="1" applyFill="1" applyBorder="1" applyAlignment="1" applyProtection="1">
      <alignment horizontal="center" vertical="center"/>
    </xf>
    <xf numFmtId="182" fontId="42" fillId="19" borderId="0" xfId="0" applyNumberFormat="1" applyFont="1" applyFill="1" applyBorder="1" applyAlignment="1" applyProtection="1">
      <alignment horizontal="left" vertical="center" shrinkToFit="1"/>
    </xf>
    <xf numFmtId="182" fontId="42" fillId="19" borderId="0" xfId="0" applyNumberFormat="1" applyFont="1" applyFill="1" applyBorder="1" applyAlignment="1" applyProtection="1">
      <alignment horizontal="left" vertical="center" wrapText="1"/>
    </xf>
    <xf numFmtId="0" fontId="42" fillId="19" borderId="0" xfId="0" applyFont="1" applyFill="1" applyBorder="1" applyAlignment="1" applyProtection="1">
      <alignment horizontal="left" vertical="center"/>
    </xf>
    <xf numFmtId="0" fontId="42" fillId="19" borderId="0" xfId="0" applyFont="1" applyFill="1" applyBorder="1" applyProtection="1">
      <alignment vertical="center"/>
      <protection locked="0"/>
    </xf>
    <xf numFmtId="0" fontId="42" fillId="19" borderId="0" xfId="0" applyFont="1" applyFill="1" applyProtection="1">
      <alignment vertical="center"/>
      <protection locked="0"/>
    </xf>
    <xf numFmtId="0" fontId="42" fillId="19" borderId="0" xfId="0" applyFont="1" applyFill="1" applyBorder="1" applyAlignment="1" applyProtection="1">
      <alignment horizontal="right" vertical="center"/>
      <protection locked="0"/>
    </xf>
    <xf numFmtId="0" fontId="226" fillId="19" borderId="0" xfId="0" applyFont="1" applyFill="1" applyAlignment="1" applyProtection="1">
      <alignment horizontal="center" vertical="center"/>
    </xf>
    <xf numFmtId="0" fontId="226" fillId="19" borderId="0" xfId="0" applyFont="1" applyFill="1" applyBorder="1" applyAlignment="1" applyProtection="1">
      <alignment horizontal="left" vertical="center"/>
    </xf>
    <xf numFmtId="0" fontId="221" fillId="19" borderId="0" xfId="0" applyFont="1" applyFill="1" applyBorder="1" applyAlignment="1" applyProtection="1">
      <alignment horizontal="left" vertical="center"/>
    </xf>
    <xf numFmtId="0" fontId="98" fillId="19" borderId="0" xfId="2" applyFont="1" applyFill="1" applyAlignment="1" applyProtection="1">
      <alignment horizontal="left" vertical="center" wrapText="1"/>
    </xf>
    <xf numFmtId="0" fontId="98" fillId="19" borderId="0" xfId="0" applyFont="1" applyFill="1" applyAlignment="1" applyProtection="1">
      <alignment horizontal="left" vertical="center"/>
    </xf>
    <xf numFmtId="0" fontId="98" fillId="19" borderId="0" xfId="2" applyFont="1" applyFill="1" applyAlignment="1" applyProtection="1">
      <alignment horizontal="left"/>
    </xf>
    <xf numFmtId="0" fontId="98" fillId="19" borderId="0" xfId="0" applyFont="1" applyFill="1" applyBorder="1" applyAlignment="1" applyProtection="1">
      <alignment horizontal="left" vertical="center"/>
      <protection locked="0"/>
    </xf>
    <xf numFmtId="0" fontId="41" fillId="19" borderId="0" xfId="0" applyFont="1" applyFill="1" applyBorder="1" applyAlignment="1" applyProtection="1">
      <alignment horizontal="center" vertical="center" wrapText="1"/>
    </xf>
    <xf numFmtId="0" fontId="75" fillId="18" borderId="0" xfId="0" applyFont="1" applyFill="1" applyBorder="1" applyAlignment="1" applyProtection="1">
      <alignment horizontal="left" vertical="center" wrapText="1"/>
    </xf>
    <xf numFmtId="0" fontId="75" fillId="18" borderId="0" xfId="0" applyFont="1" applyFill="1" applyProtection="1">
      <alignment vertical="center"/>
    </xf>
    <xf numFmtId="0" fontId="42" fillId="0" borderId="0" xfId="0" applyFont="1" applyBorder="1" applyAlignment="1" applyProtection="1">
      <alignment vertical="center" wrapText="1"/>
    </xf>
    <xf numFmtId="0" fontId="42" fillId="0" borderId="41" xfId="0" applyFont="1" applyFill="1" applyBorder="1" applyAlignment="1" applyProtection="1">
      <alignment vertical="center" wrapText="1"/>
      <protection locked="0"/>
    </xf>
    <xf numFmtId="0" fontId="93" fillId="6" borderId="1" xfId="13" applyFont="1" applyFill="1" applyBorder="1" applyAlignment="1" applyProtection="1">
      <alignment horizontal="left"/>
      <protection locked="0"/>
    </xf>
    <xf numFmtId="10" fontId="49" fillId="18" borderId="2" xfId="1" applyNumberFormat="1" applyFont="1" applyFill="1" applyBorder="1" applyAlignment="1" applyProtection="1">
      <alignment horizontal="center" vertical="center"/>
    </xf>
    <xf numFmtId="9" fontId="49" fillId="18" borderId="2" xfId="1" applyNumberFormat="1" applyFont="1" applyFill="1" applyBorder="1" applyAlignment="1" applyProtection="1">
      <alignment horizontal="center" vertical="center"/>
    </xf>
    <xf numFmtId="0" fontId="49" fillId="18" borderId="1" xfId="0" applyFont="1" applyFill="1" applyBorder="1" applyAlignment="1" applyProtection="1">
      <alignment horizontal="left" vertical="center" wrapText="1"/>
    </xf>
    <xf numFmtId="0" fontId="42" fillId="20" borderId="54" xfId="0" applyFont="1" applyFill="1" applyBorder="1" applyAlignment="1" applyProtection="1">
      <alignment vertical="center" wrapText="1"/>
    </xf>
    <xf numFmtId="0" fontId="42" fillId="20" borderId="32" xfId="0" applyFont="1" applyFill="1" applyBorder="1" applyAlignment="1" applyProtection="1">
      <alignment vertical="center" wrapText="1"/>
    </xf>
    <xf numFmtId="0" fontId="42" fillId="20" borderId="1" xfId="0" applyFont="1" applyFill="1" applyBorder="1" applyAlignment="1" applyProtection="1">
      <alignment vertical="center"/>
    </xf>
    <xf numFmtId="0" fontId="42" fillId="20" borderId="1" xfId="0" applyFont="1" applyFill="1" applyBorder="1" applyAlignment="1" applyProtection="1">
      <alignment vertical="center" wrapText="1"/>
    </xf>
    <xf numFmtId="0" fontId="42" fillId="20" borderId="7" xfId="0" applyFont="1" applyFill="1" applyBorder="1" applyAlignment="1" applyProtection="1">
      <alignment vertical="center"/>
    </xf>
    <xf numFmtId="0" fontId="42" fillId="20" borderId="124" xfId="0" applyFont="1" applyFill="1" applyBorder="1" applyAlignment="1" applyProtection="1">
      <alignment vertical="center"/>
    </xf>
    <xf numFmtId="0" fontId="42" fillId="20" borderId="23" xfId="0" applyFont="1" applyFill="1" applyBorder="1" applyAlignment="1" applyProtection="1">
      <alignment vertical="center" wrapText="1"/>
    </xf>
    <xf numFmtId="0" fontId="42" fillId="20" borderId="42" xfId="0" applyFont="1" applyFill="1" applyBorder="1" applyAlignment="1" applyProtection="1">
      <alignment vertical="center" wrapText="1"/>
    </xf>
    <xf numFmtId="0" fontId="42" fillId="20" borderId="11" xfId="0" applyFont="1" applyFill="1" applyBorder="1" applyAlignment="1" applyProtection="1">
      <alignment vertical="center" wrapText="1"/>
    </xf>
    <xf numFmtId="0" fontId="42" fillId="20" borderId="61" xfId="0" applyFont="1" applyFill="1" applyBorder="1" applyAlignment="1" applyProtection="1">
      <alignment vertical="center" wrapText="1"/>
    </xf>
    <xf numFmtId="0" fontId="42" fillId="20" borderId="93" xfId="0" applyFont="1" applyFill="1" applyBorder="1" applyAlignment="1" applyProtection="1">
      <alignment vertical="center" wrapText="1"/>
    </xf>
    <xf numFmtId="0" fontId="40" fillId="0" borderId="172" xfId="0" applyFont="1" applyBorder="1" applyAlignment="1" applyProtection="1">
      <alignment vertical="center" wrapText="1"/>
    </xf>
    <xf numFmtId="0" fontId="42" fillId="0" borderId="0" xfId="0" applyFont="1" applyAlignment="1" applyProtection="1">
      <alignment vertical="center"/>
      <protection locked="0"/>
    </xf>
    <xf numFmtId="0" fontId="42" fillId="0" borderId="0" xfId="0" applyFont="1" applyAlignment="1" applyProtection="1">
      <alignment vertical="center" wrapText="1"/>
      <protection locked="0"/>
    </xf>
    <xf numFmtId="49" fontId="42" fillId="0" borderId="0" xfId="0" applyNumberFormat="1" applyFont="1" applyAlignment="1" applyProtection="1">
      <alignment vertical="center" wrapText="1"/>
      <protection locked="0"/>
    </xf>
    <xf numFmtId="0" fontId="42" fillId="0" borderId="0" xfId="0" applyFont="1" applyBorder="1" applyAlignment="1" applyProtection="1">
      <alignment vertical="center" wrapText="1"/>
      <protection locked="0"/>
    </xf>
    <xf numFmtId="0" fontId="139" fillId="0" borderId="0" xfId="0" applyFont="1" applyBorder="1" applyAlignment="1" applyProtection="1">
      <alignment vertical="center"/>
      <protection locked="0"/>
    </xf>
    <xf numFmtId="0" fontId="165" fillId="0" borderId="172" xfId="0" applyFont="1" applyBorder="1" applyAlignment="1" applyProtection="1">
      <alignment horizontal="center" vertical="center"/>
      <protection locked="0"/>
    </xf>
    <xf numFmtId="0" fontId="139" fillId="0" borderId="172" xfId="0" applyFont="1" applyBorder="1" applyAlignment="1" applyProtection="1">
      <alignment vertical="center"/>
      <protection locked="0"/>
    </xf>
    <xf numFmtId="0" fontId="40" fillId="0" borderId="172" xfId="0" applyFont="1" applyBorder="1" applyAlignment="1" applyProtection="1">
      <alignment vertical="center" wrapText="1"/>
      <protection locked="0"/>
    </xf>
    <xf numFmtId="0" fontId="47" fillId="0" borderId="0" xfId="0" applyFont="1" applyAlignment="1" applyProtection="1">
      <alignment vertical="center" wrapText="1"/>
      <protection locked="0"/>
    </xf>
    <xf numFmtId="49" fontId="47" fillId="0" borderId="0" xfId="0" applyNumberFormat="1" applyFont="1" applyAlignment="1" applyProtection="1">
      <alignment vertical="center" wrapText="1"/>
      <protection locked="0"/>
    </xf>
    <xf numFmtId="49" fontId="42" fillId="0" borderId="0" xfId="0" applyNumberFormat="1" applyFont="1" applyAlignment="1" applyProtection="1">
      <alignment vertical="center"/>
      <protection locked="0"/>
    </xf>
    <xf numFmtId="0" fontId="42" fillId="5" borderId="11" xfId="0" applyFont="1" applyFill="1" applyBorder="1" applyAlignment="1" applyProtection="1">
      <alignment vertical="center" wrapText="1"/>
    </xf>
    <xf numFmtId="0" fontId="39" fillId="5" borderId="1"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wrapText="1"/>
    </xf>
    <xf numFmtId="0" fontId="171" fillId="0" borderId="18" xfId="13" applyFont="1" applyFill="1" applyBorder="1" applyAlignment="1" applyProtection="1">
      <alignment horizontal="left" vertical="center" wrapText="1"/>
      <protection locked="0"/>
    </xf>
    <xf numFmtId="0" fontId="171" fillId="0" borderId="1" xfId="13" applyFont="1" applyFill="1" applyBorder="1" applyAlignment="1" applyProtection="1">
      <alignment horizontal="left" vertical="center" wrapText="1"/>
      <protection locked="0"/>
    </xf>
    <xf numFmtId="0" fontId="42" fillId="5" borderId="0" xfId="0" applyFont="1" applyFill="1" applyAlignment="1" applyProtection="1">
      <alignment vertical="center"/>
    </xf>
    <xf numFmtId="0" fontId="42" fillId="5" borderId="0" xfId="0" applyFont="1" applyFill="1" applyBorder="1" applyAlignment="1" applyProtection="1">
      <alignment vertical="center"/>
    </xf>
    <xf numFmtId="49" fontId="42" fillId="5" borderId="0" xfId="0" applyNumberFormat="1" applyFont="1" applyFill="1" applyAlignment="1" applyProtection="1">
      <alignment vertical="center" wrapText="1"/>
    </xf>
    <xf numFmtId="0" fontId="103" fillId="5" borderId="0" xfId="0" applyFont="1" applyFill="1" applyAlignment="1" applyProtection="1">
      <alignment horizontal="left" vertical="center" wrapText="1"/>
      <protection locked="0"/>
    </xf>
    <xf numFmtId="0" fontId="41" fillId="5" borderId="9" xfId="0" applyFont="1" applyFill="1" applyBorder="1" applyAlignment="1" applyProtection="1">
      <alignment horizontal="left" vertical="center" wrapText="1"/>
      <protection locked="0"/>
    </xf>
    <xf numFmtId="14" fontId="39" fillId="5" borderId="15" xfId="0" applyNumberFormat="1" applyFont="1" applyFill="1" applyBorder="1" applyAlignment="1" applyProtection="1">
      <alignment horizontal="left" vertical="center"/>
      <protection locked="0"/>
    </xf>
    <xf numFmtId="179" fontId="41" fillId="5" borderId="1" xfId="0" applyNumberFormat="1" applyFont="1" applyFill="1" applyBorder="1" applyAlignment="1" applyProtection="1">
      <alignment horizontal="left" vertical="center"/>
      <protection locked="0"/>
    </xf>
    <xf numFmtId="0" fontId="39" fillId="5" borderId="4" xfId="1" applyFont="1" applyFill="1" applyBorder="1" applyAlignment="1" applyProtection="1">
      <alignment horizontal="left" vertical="center" wrapText="1"/>
      <protection locked="0"/>
    </xf>
    <xf numFmtId="0" fontId="39" fillId="5" borderId="14" xfId="0" applyFont="1" applyFill="1" applyBorder="1" applyAlignment="1" applyProtection="1">
      <alignment horizontal="left" vertical="center"/>
      <protection locked="0"/>
    </xf>
    <xf numFmtId="180" fontId="46" fillId="5" borderId="7" xfId="1" applyNumberFormat="1" applyFont="1" applyFill="1" applyBorder="1" applyAlignment="1" applyProtection="1">
      <alignment horizontal="left" vertical="center" wrapText="1"/>
      <protection locked="0"/>
    </xf>
    <xf numFmtId="0" fontId="39" fillId="5" borderId="4" xfId="0" applyFont="1" applyFill="1" applyBorder="1" applyAlignment="1" applyProtection="1">
      <alignment horizontal="left" vertical="center" wrapText="1"/>
      <protection locked="0"/>
    </xf>
    <xf numFmtId="0" fontId="39" fillId="5" borderId="7" xfId="0" applyFont="1" applyFill="1" applyBorder="1" applyAlignment="1" applyProtection="1">
      <alignment horizontal="left" vertical="center" wrapText="1"/>
      <protection locked="0"/>
    </xf>
    <xf numFmtId="179" fontId="39" fillId="5" borderId="7" xfId="0" applyNumberFormat="1" applyFont="1" applyFill="1" applyBorder="1" applyAlignment="1" applyProtection="1">
      <alignment horizontal="left" vertical="center" wrapText="1"/>
      <protection locked="0"/>
    </xf>
    <xf numFmtId="179" fontId="46" fillId="5" borderId="6" xfId="1" applyNumberFormat="1" applyFont="1" applyFill="1" applyBorder="1" applyAlignment="1" applyProtection="1">
      <alignment horizontal="left" vertical="center"/>
      <protection locked="0"/>
    </xf>
    <xf numFmtId="0" fontId="39" fillId="5" borderId="8" xfId="0" applyFont="1" applyFill="1" applyBorder="1" applyAlignment="1" applyProtection="1">
      <alignment horizontal="left" vertical="center" wrapText="1"/>
      <protection locked="0"/>
    </xf>
    <xf numFmtId="180" fontId="46" fillId="5" borderId="6" xfId="1" applyNumberFormat="1" applyFont="1" applyFill="1" applyBorder="1" applyAlignment="1" applyProtection="1">
      <alignment horizontal="left" vertical="center"/>
      <protection locked="0"/>
    </xf>
    <xf numFmtId="0" fontId="39" fillId="5" borderId="23" xfId="0" applyFont="1" applyFill="1" applyBorder="1" applyAlignment="1" applyProtection="1">
      <alignment horizontal="left" vertical="center" wrapText="1"/>
      <protection locked="0"/>
    </xf>
    <xf numFmtId="0" fontId="46" fillId="5" borderId="6" xfId="1" applyNumberFormat="1" applyFont="1" applyFill="1" applyBorder="1" applyAlignment="1" applyProtection="1">
      <alignment horizontal="left" vertical="center"/>
      <protection locked="0"/>
    </xf>
    <xf numFmtId="0" fontId="39" fillId="5" borderId="16" xfId="0" applyFont="1" applyFill="1" applyBorder="1" applyAlignment="1" applyProtection="1">
      <alignment horizontal="left" vertical="center" wrapText="1"/>
      <protection locked="0"/>
    </xf>
    <xf numFmtId="0" fontId="98" fillId="5" borderId="8" xfId="0" applyFont="1" applyFill="1" applyBorder="1" applyAlignment="1" applyProtection="1">
      <alignment horizontal="left" vertical="center" wrapText="1"/>
      <protection locked="0"/>
    </xf>
    <xf numFmtId="179" fontId="39" fillId="5" borderId="7" xfId="1" applyNumberFormat="1" applyFont="1" applyFill="1" applyBorder="1" applyAlignment="1" applyProtection="1">
      <alignment horizontal="left" vertical="center" wrapText="1"/>
      <protection locked="0"/>
    </xf>
    <xf numFmtId="0" fontId="39" fillId="5" borderId="6" xfId="1" applyNumberFormat="1" applyFont="1" applyFill="1" applyBorder="1" applyAlignment="1" applyProtection="1">
      <alignment horizontal="left" vertical="center"/>
      <protection locked="0"/>
    </xf>
    <xf numFmtId="0" fontId="41" fillId="5" borderId="10" xfId="0" applyFont="1" applyFill="1" applyBorder="1" applyAlignment="1" applyProtection="1">
      <alignment horizontal="left" vertical="center" wrapText="1"/>
      <protection locked="0"/>
    </xf>
    <xf numFmtId="176" fontId="46" fillId="5" borderId="4" xfId="1" applyNumberFormat="1" applyFont="1" applyFill="1" applyBorder="1" applyAlignment="1" applyProtection="1">
      <alignment horizontal="left" vertical="center" wrapText="1"/>
      <protection locked="0"/>
    </xf>
    <xf numFmtId="0" fontId="39" fillId="5" borderId="7" xfId="0" applyFont="1" applyFill="1" applyBorder="1" applyAlignment="1" applyProtection="1">
      <alignment horizontal="left" vertical="center"/>
      <protection locked="0"/>
    </xf>
    <xf numFmtId="176" fontId="46" fillId="5" borderId="7" xfId="1" applyNumberFormat="1" applyFont="1" applyFill="1" applyBorder="1" applyAlignment="1" applyProtection="1">
      <alignment horizontal="left" vertical="center" wrapText="1"/>
      <protection locked="0"/>
    </xf>
    <xf numFmtId="176" fontId="46" fillId="5" borderId="16" xfId="1" applyNumberFormat="1" applyFont="1" applyFill="1" applyBorder="1" applyAlignment="1" applyProtection="1">
      <alignment horizontal="left" vertical="center" wrapText="1"/>
      <protection locked="0"/>
    </xf>
    <xf numFmtId="176" fontId="46" fillId="5" borderId="8" xfId="1" applyNumberFormat="1" applyFont="1" applyFill="1" applyBorder="1" applyAlignment="1" applyProtection="1">
      <alignment horizontal="left" vertical="center" wrapText="1"/>
      <protection locked="0"/>
    </xf>
    <xf numFmtId="176" fontId="46" fillId="5" borderId="43" xfId="1" applyNumberFormat="1" applyFont="1" applyFill="1" applyBorder="1" applyAlignment="1" applyProtection="1">
      <alignment horizontal="left" vertical="center"/>
      <protection locked="0"/>
    </xf>
    <xf numFmtId="176" fontId="39" fillId="5" borderId="7" xfId="1" applyNumberFormat="1" applyFont="1" applyFill="1" applyBorder="1" applyAlignment="1" applyProtection="1">
      <alignment horizontal="left" vertical="center" wrapText="1"/>
      <protection locked="0"/>
    </xf>
    <xf numFmtId="176" fontId="46" fillId="5" borderId="31" xfId="1" applyNumberFormat="1" applyFont="1" applyFill="1" applyBorder="1" applyAlignment="1" applyProtection="1">
      <alignment horizontal="left" vertical="center"/>
      <protection locked="0"/>
    </xf>
    <xf numFmtId="176" fontId="46" fillId="5" borderId="73" xfId="1" applyNumberFormat="1" applyFont="1" applyFill="1" applyBorder="1" applyAlignment="1" applyProtection="1">
      <alignment horizontal="left" vertical="center"/>
      <protection locked="0"/>
    </xf>
    <xf numFmtId="179" fontId="41" fillId="5" borderId="9" xfId="0" applyNumberFormat="1" applyFont="1" applyFill="1" applyBorder="1" applyAlignment="1" applyProtection="1">
      <alignment horizontal="left" vertical="center"/>
      <protection locked="0"/>
    </xf>
    <xf numFmtId="10" fontId="42" fillId="5" borderId="6" xfId="0" applyNumberFormat="1" applyFont="1" applyFill="1" applyBorder="1" applyAlignment="1" applyProtection="1">
      <alignment horizontal="left" vertical="center"/>
      <protection locked="0"/>
    </xf>
    <xf numFmtId="0" fontId="39" fillId="5" borderId="5" xfId="0" applyFont="1" applyFill="1" applyBorder="1" applyAlignment="1" applyProtection="1">
      <alignment horizontal="left" vertical="center"/>
      <protection locked="0"/>
    </xf>
    <xf numFmtId="10" fontId="39" fillId="5" borderId="34" xfId="0" applyNumberFormat="1" applyFont="1" applyFill="1" applyBorder="1" applyAlignment="1" applyProtection="1">
      <alignment horizontal="left" vertical="center"/>
      <protection locked="0"/>
    </xf>
    <xf numFmtId="10" fontId="39" fillId="5" borderId="6" xfId="0" applyNumberFormat="1" applyFont="1" applyFill="1" applyBorder="1" applyAlignment="1" applyProtection="1">
      <alignment horizontal="left" vertical="center"/>
      <protection locked="0"/>
    </xf>
    <xf numFmtId="181" fontId="99" fillId="5" borderId="0" xfId="0" applyNumberFormat="1" applyFont="1" applyFill="1" applyAlignment="1" applyProtection="1">
      <alignment horizontal="left" vertical="center"/>
      <protection locked="0"/>
    </xf>
    <xf numFmtId="183" fontId="39" fillId="5" borderId="58" xfId="0" applyNumberFormat="1" applyFont="1" applyFill="1" applyBorder="1" applyAlignment="1" applyProtection="1">
      <alignment horizontal="left" vertical="center"/>
      <protection locked="0"/>
    </xf>
    <xf numFmtId="179" fontId="39" fillId="5" borderId="6" xfId="0" applyNumberFormat="1" applyFont="1" applyFill="1" applyBorder="1" applyAlignment="1" applyProtection="1">
      <alignment horizontal="left" vertical="center"/>
      <protection locked="0"/>
    </xf>
    <xf numFmtId="0" fontId="110" fillId="5" borderId="46" xfId="0" applyFont="1" applyFill="1" applyBorder="1" applyAlignment="1" applyProtection="1">
      <alignment horizontal="left" vertical="center"/>
      <protection locked="0"/>
    </xf>
    <xf numFmtId="0" fontId="39" fillId="5" borderId="38" xfId="0" applyFont="1" applyFill="1" applyBorder="1" applyAlignment="1" applyProtection="1">
      <alignment horizontal="left" vertical="center"/>
      <protection locked="0"/>
    </xf>
    <xf numFmtId="0" fontId="39" fillId="5" borderId="26" xfId="0" applyFont="1" applyFill="1" applyBorder="1" applyAlignment="1" applyProtection="1">
      <alignment horizontal="left" vertical="center" wrapText="1"/>
      <protection locked="0"/>
    </xf>
    <xf numFmtId="0" fontId="39" fillId="5" borderId="22" xfId="0" applyFont="1" applyFill="1" applyBorder="1" applyAlignment="1" applyProtection="1">
      <alignment horizontal="left" vertical="center" wrapText="1"/>
      <protection locked="0"/>
    </xf>
    <xf numFmtId="10" fontId="39" fillId="5" borderId="59" xfId="0" applyNumberFormat="1" applyFont="1" applyFill="1" applyBorder="1" applyAlignment="1" applyProtection="1">
      <alignment horizontal="left" vertical="center"/>
      <protection locked="0"/>
    </xf>
    <xf numFmtId="10" fontId="39" fillId="5" borderId="43" xfId="0" applyNumberFormat="1" applyFont="1" applyFill="1" applyBorder="1" applyAlignment="1" applyProtection="1">
      <alignment horizontal="left" vertical="center"/>
      <protection locked="0"/>
    </xf>
    <xf numFmtId="179" fontId="39" fillId="5" borderId="58" xfId="0" applyNumberFormat="1" applyFont="1" applyFill="1" applyBorder="1" applyAlignment="1" applyProtection="1">
      <alignment horizontal="left" vertical="center"/>
      <protection locked="0"/>
    </xf>
    <xf numFmtId="178" fontId="39" fillId="5" borderId="59" xfId="0" applyNumberFormat="1" applyFont="1" applyFill="1" applyBorder="1" applyAlignment="1" applyProtection="1">
      <alignment horizontal="left" vertical="center"/>
      <protection locked="0"/>
    </xf>
    <xf numFmtId="14" fontId="39" fillId="0" borderId="0" xfId="0" applyNumberFormat="1" applyFont="1" applyFill="1" applyAlignment="1" applyProtection="1">
      <alignment horizontal="left" vertical="center"/>
      <protection locked="0"/>
    </xf>
    <xf numFmtId="179" fontId="42" fillId="0" borderId="0" xfId="0" applyNumberFormat="1" applyFont="1" applyFill="1" applyAlignment="1" applyProtection="1">
      <alignment horizontal="left" vertical="center"/>
      <protection locked="0"/>
    </xf>
    <xf numFmtId="179" fontId="39" fillId="0" borderId="0" xfId="0" applyNumberFormat="1" applyFont="1" applyFill="1" applyAlignment="1" applyProtection="1">
      <alignment horizontal="left" vertical="center"/>
      <protection locked="0"/>
    </xf>
    <xf numFmtId="0" fontId="39" fillId="0" borderId="0" xfId="0" applyFont="1" applyFill="1" applyBorder="1" applyAlignment="1" applyProtection="1">
      <alignment horizontal="left" vertical="center"/>
      <protection locked="0"/>
    </xf>
    <xf numFmtId="0" fontId="41" fillId="0" borderId="0" xfId="0" applyFont="1" applyFill="1" applyBorder="1" applyAlignment="1" applyProtection="1">
      <alignment horizontal="left" vertical="center" wrapText="1"/>
      <protection locked="0"/>
    </xf>
    <xf numFmtId="179" fontId="41" fillId="0" borderId="0" xfId="0" applyNumberFormat="1" applyFont="1" applyFill="1" applyBorder="1" applyAlignment="1" applyProtection="1">
      <alignment horizontal="left" vertical="center"/>
      <protection locked="0"/>
    </xf>
    <xf numFmtId="0" fontId="42" fillId="0" borderId="0" xfId="0" applyFont="1" applyFill="1" applyAlignment="1" applyProtection="1">
      <alignment horizontal="left" vertical="center" wrapText="1"/>
      <protection locked="0"/>
    </xf>
    <xf numFmtId="0" fontId="119" fillId="8" borderId="0" xfId="0" applyFont="1" applyFill="1" applyProtection="1">
      <alignment vertical="center"/>
    </xf>
    <xf numFmtId="0" fontId="99" fillId="8" borderId="0" xfId="0" applyFont="1" applyFill="1" applyProtection="1">
      <alignment vertical="center"/>
    </xf>
    <xf numFmtId="0" fontId="117" fillId="5" borderId="0" xfId="0" applyFont="1" applyFill="1" applyBorder="1" applyAlignment="1" applyProtection="1">
      <alignment horizontal="left" vertical="center"/>
      <protection locked="0"/>
    </xf>
    <xf numFmtId="0" fontId="42" fillId="5" borderId="0" xfId="0" applyFont="1" applyFill="1" applyBorder="1" applyAlignment="1" applyProtection="1">
      <alignment horizontal="left" vertical="center"/>
      <protection locked="0"/>
    </xf>
    <xf numFmtId="0" fontId="42" fillId="5" borderId="170" xfId="0" applyFont="1" applyFill="1" applyBorder="1" applyAlignment="1" applyProtection="1">
      <alignment horizontal="left" vertical="center"/>
      <protection locked="0"/>
    </xf>
    <xf numFmtId="9" fontId="42" fillId="5" borderId="0" xfId="0" applyNumberFormat="1" applyFont="1" applyFill="1" applyAlignment="1" applyProtection="1">
      <alignment horizontal="left" vertical="center"/>
      <protection locked="0"/>
    </xf>
    <xf numFmtId="10" fontId="42" fillId="5" borderId="0" xfId="0" applyNumberFormat="1" applyFont="1" applyFill="1" applyAlignment="1" applyProtection="1">
      <alignment horizontal="left" vertical="center"/>
      <protection locked="0"/>
    </xf>
    <xf numFmtId="0" fontId="43" fillId="5" borderId="0" xfId="0" applyFont="1" applyFill="1" applyAlignment="1" applyProtection="1">
      <alignment horizontal="left" vertical="center"/>
      <protection locked="0"/>
    </xf>
    <xf numFmtId="0" fontId="42" fillId="5" borderId="0"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center" vertical="center" wrapText="1"/>
      <protection locked="0"/>
    </xf>
    <xf numFmtId="0" fontId="75" fillId="5" borderId="0" xfId="0" applyFont="1" applyFill="1" applyBorder="1" applyAlignment="1" applyProtection="1">
      <alignment horizontal="left" vertical="center"/>
      <protection locked="0"/>
    </xf>
    <xf numFmtId="0" fontId="42" fillId="5" borderId="0" xfId="0" applyFont="1" applyFill="1" applyBorder="1" applyAlignment="1" applyProtection="1">
      <alignment horizontal="center" vertical="center"/>
      <protection locked="0"/>
    </xf>
    <xf numFmtId="0" fontId="52" fillId="0" borderId="0" xfId="0" applyFont="1" applyFill="1" applyAlignment="1" applyProtection="1">
      <alignment vertical="center"/>
      <protection locked="0"/>
    </xf>
    <xf numFmtId="0" fontId="59" fillId="5" borderId="0" xfId="0" applyFont="1" applyFill="1" applyAlignment="1" applyProtection="1">
      <alignment vertical="center"/>
      <protection locked="0"/>
    </xf>
    <xf numFmtId="0" fontId="101" fillId="5" borderId="3" xfId="0" applyFont="1" applyFill="1" applyBorder="1" applyProtection="1">
      <alignment vertical="center"/>
    </xf>
    <xf numFmtId="0" fontId="101" fillId="5" borderId="51" xfId="0" applyFont="1" applyFill="1" applyBorder="1" applyAlignment="1" applyProtection="1">
      <alignment horizontal="center" vertical="center"/>
    </xf>
    <xf numFmtId="0" fontId="101" fillId="5" borderId="3" xfId="0" applyFont="1" applyFill="1" applyBorder="1" applyAlignment="1" applyProtection="1">
      <alignment horizontal="center" vertical="center"/>
    </xf>
    <xf numFmtId="0" fontId="102" fillId="5" borderId="1" xfId="0" applyFont="1" applyFill="1" applyBorder="1" applyProtection="1">
      <alignment vertical="center"/>
    </xf>
    <xf numFmtId="0" fontId="42" fillId="0" borderId="1" xfId="0" applyFont="1" applyFill="1" applyBorder="1" applyAlignment="1" applyProtection="1">
      <alignment horizontal="center" vertical="center"/>
      <protection locked="0"/>
    </xf>
    <xf numFmtId="0" fontId="52" fillId="0" borderId="0" xfId="0" applyFont="1" applyFill="1" applyBorder="1" applyAlignment="1" applyProtection="1">
      <alignment horizontal="left" vertical="center"/>
      <protection locked="0"/>
    </xf>
    <xf numFmtId="189" fontId="52" fillId="0" borderId="0" xfId="0" applyNumberFormat="1" applyFont="1" applyFill="1" applyBorder="1" applyAlignment="1" applyProtection="1">
      <alignment horizontal="left" vertical="center"/>
      <protection locked="0"/>
    </xf>
    <xf numFmtId="181" fontId="52" fillId="0" borderId="0" xfId="0" applyNumberFormat="1" applyFont="1" applyFill="1" applyBorder="1" applyAlignment="1" applyProtection="1">
      <alignment horizontal="left" vertical="center"/>
      <protection locked="0"/>
    </xf>
    <xf numFmtId="0" fontId="216" fillId="0" borderId="0" xfId="0" applyFont="1" applyFill="1" applyBorder="1" applyAlignment="1" applyProtection="1">
      <alignment horizontal="left" vertical="center"/>
      <protection locked="0"/>
    </xf>
    <xf numFmtId="181" fontId="39" fillId="0" borderId="0" xfId="0" applyNumberFormat="1"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protection locked="0"/>
    </xf>
    <xf numFmtId="181" fontId="67" fillId="0" borderId="0" xfId="0" applyNumberFormat="1" applyFont="1" applyFill="1" applyBorder="1" applyAlignment="1" applyProtection="1">
      <alignment horizontal="left" vertical="center" wrapText="1"/>
      <protection locked="0"/>
    </xf>
    <xf numFmtId="0" fontId="67" fillId="0" borderId="0" xfId="0" applyFont="1" applyFill="1" applyBorder="1" applyAlignment="1" applyProtection="1">
      <alignment horizontal="left" vertical="center"/>
      <protection locked="0"/>
    </xf>
    <xf numFmtId="181" fontId="44" fillId="0" borderId="0" xfId="0" applyNumberFormat="1" applyFont="1" applyFill="1" applyBorder="1" applyAlignment="1" applyProtection="1">
      <alignment horizontal="left" vertical="center" wrapText="1"/>
      <protection locked="0"/>
    </xf>
    <xf numFmtId="181" fontId="68" fillId="0" borderId="0" xfId="0" applyNumberFormat="1" applyFont="1" applyFill="1" applyBorder="1" applyAlignment="1" applyProtection="1">
      <alignment horizontal="left" vertical="center" wrapText="1"/>
      <protection locked="0"/>
    </xf>
    <xf numFmtId="181" fontId="46" fillId="0" borderId="0" xfId="0" applyNumberFormat="1" applyFont="1" applyFill="1" applyBorder="1" applyAlignment="1" applyProtection="1">
      <alignment horizontal="left" vertical="center" wrapText="1"/>
      <protection locked="0"/>
    </xf>
    <xf numFmtId="181" fontId="68" fillId="0" borderId="0" xfId="0" applyNumberFormat="1" applyFont="1" applyFill="1" applyAlignment="1" applyProtection="1">
      <alignment horizontal="left" vertical="center"/>
      <protection locked="0"/>
    </xf>
    <xf numFmtId="181" fontId="46" fillId="0" borderId="0" xfId="0" applyNumberFormat="1" applyFont="1" applyFill="1" applyBorder="1" applyAlignment="1" applyProtection="1">
      <alignment horizontal="left"/>
      <protection locked="0"/>
    </xf>
    <xf numFmtId="0" fontId="46" fillId="0" borderId="0" xfId="0" applyFont="1" applyFill="1" applyBorder="1" applyAlignment="1" applyProtection="1">
      <alignment horizontal="left"/>
      <protection locked="0"/>
    </xf>
    <xf numFmtId="9" fontId="46" fillId="0" borderId="0" xfId="0" applyNumberFormat="1" applyFont="1" applyFill="1" applyAlignment="1" applyProtection="1">
      <alignment horizontal="left" vertical="center"/>
      <protection locked="0"/>
    </xf>
    <xf numFmtId="14" fontId="46" fillId="0" borderId="0" xfId="0" applyNumberFormat="1" applyFont="1" applyFill="1" applyAlignment="1" applyProtection="1">
      <alignment horizontal="left" vertical="center"/>
      <protection locked="0"/>
    </xf>
    <xf numFmtId="176" fontId="46" fillId="0" borderId="0" xfId="0" applyNumberFormat="1" applyFont="1" applyFill="1" applyAlignment="1" applyProtection="1">
      <alignment horizontal="left" vertical="center"/>
      <protection locked="0"/>
    </xf>
    <xf numFmtId="189" fontId="68" fillId="0" borderId="0" xfId="0" applyNumberFormat="1" applyFont="1" applyFill="1" applyAlignment="1" applyProtection="1">
      <alignment horizontal="left" vertical="center"/>
      <protection locked="0"/>
    </xf>
    <xf numFmtId="0" fontId="65" fillId="0" borderId="0" xfId="0" applyFont="1" applyFill="1" applyBorder="1" applyAlignment="1" applyProtection="1">
      <alignment horizontal="left" vertical="center"/>
      <protection locked="0"/>
    </xf>
    <xf numFmtId="0" fontId="57" fillId="0" borderId="0" xfId="0" applyFont="1" applyFill="1" applyBorder="1" applyAlignment="1" applyProtection="1">
      <alignment horizontal="left" vertical="center"/>
      <protection locked="0"/>
    </xf>
    <xf numFmtId="189" fontId="57" fillId="0" borderId="0" xfId="0" applyNumberFormat="1" applyFont="1" applyFill="1" applyBorder="1" applyAlignment="1" applyProtection="1">
      <alignment horizontal="left" vertical="center"/>
      <protection locked="0"/>
    </xf>
    <xf numFmtId="181" fontId="57" fillId="0" borderId="0" xfId="0" applyNumberFormat="1" applyFont="1" applyFill="1" applyBorder="1" applyAlignment="1" applyProtection="1">
      <alignment horizontal="left" vertical="center"/>
      <protection locked="0"/>
    </xf>
    <xf numFmtId="0" fontId="39" fillId="0" borderId="0" xfId="0" applyNumberFormat="1" applyFont="1" applyFill="1" applyBorder="1" applyAlignment="1" applyProtection="1">
      <alignment horizontal="left" vertical="center" wrapText="1"/>
      <protection locked="0"/>
    </xf>
    <xf numFmtId="0" fontId="68" fillId="0" borderId="0" xfId="0" applyNumberFormat="1" applyFont="1" applyFill="1" applyBorder="1" applyAlignment="1" applyProtection="1">
      <alignment horizontal="left" vertical="center" wrapText="1"/>
      <protection locked="0"/>
    </xf>
    <xf numFmtId="0" fontId="46" fillId="0" borderId="0" xfId="0" applyNumberFormat="1" applyFont="1" applyFill="1" applyBorder="1" applyAlignment="1" applyProtection="1">
      <alignment horizontal="left" vertical="center" wrapText="1"/>
      <protection locked="0"/>
    </xf>
    <xf numFmtId="0" fontId="44" fillId="0" borderId="0" xfId="0" applyNumberFormat="1" applyFont="1" applyFill="1" applyBorder="1" applyAlignment="1" applyProtection="1">
      <alignment horizontal="left" vertical="center" wrapText="1"/>
      <protection locked="0"/>
    </xf>
    <xf numFmtId="0" fontId="57" fillId="5" borderId="35" xfId="0" applyFont="1" applyFill="1" applyBorder="1" applyAlignment="1" applyProtection="1">
      <alignment horizontal="left" vertical="center"/>
    </xf>
    <xf numFmtId="0" fontId="57" fillId="0" borderId="0" xfId="0" applyFont="1" applyFill="1" applyBorder="1" applyAlignment="1" applyProtection="1">
      <alignment vertical="center"/>
      <protection locked="0"/>
    </xf>
    <xf numFmtId="181" fontId="57" fillId="0" borderId="0" xfId="0" applyNumberFormat="1" applyFont="1" applyFill="1" applyBorder="1" applyAlignment="1" applyProtection="1">
      <alignment vertical="center"/>
      <protection locked="0"/>
    </xf>
    <xf numFmtId="0" fontId="57" fillId="0" borderId="0" xfId="0" applyFont="1" applyFill="1" applyBorder="1" applyAlignment="1" applyProtection="1">
      <alignment horizontal="center" vertical="center"/>
      <protection locked="0"/>
    </xf>
    <xf numFmtId="0" fontId="65" fillId="0" borderId="0" xfId="0" applyFont="1" applyFill="1" applyBorder="1" applyAlignment="1" applyProtection="1">
      <alignment vertical="center"/>
      <protection locked="0"/>
    </xf>
    <xf numFmtId="189" fontId="57" fillId="0" borderId="0" xfId="0" applyNumberFormat="1" applyFont="1" applyFill="1" applyBorder="1" applyAlignment="1" applyProtection="1">
      <alignment horizontal="center" vertical="center"/>
      <protection locked="0"/>
    </xf>
    <xf numFmtId="181" fontId="39" fillId="0" borderId="0" xfId="0" applyNumberFormat="1" applyFont="1" applyFill="1" applyBorder="1" applyAlignment="1" applyProtection="1">
      <alignment vertical="center" wrapText="1"/>
      <protection locked="0"/>
    </xf>
    <xf numFmtId="0" fontId="46" fillId="0" borderId="0" xfId="0" applyFont="1" applyFill="1" applyBorder="1" applyAlignment="1" applyProtection="1">
      <alignment horizontal="center" vertical="center"/>
      <protection locked="0"/>
    </xf>
    <xf numFmtId="181" fontId="39" fillId="0" borderId="0" xfId="0" applyNumberFormat="1" applyFont="1" applyFill="1" applyBorder="1" applyAlignment="1" applyProtection="1">
      <alignment horizontal="center" vertical="center" wrapText="1"/>
      <protection locked="0"/>
    </xf>
    <xf numFmtId="0" fontId="39" fillId="0" borderId="0" xfId="0" applyFont="1" applyFill="1" applyBorder="1" applyAlignment="1" applyProtection="1">
      <alignment horizontal="center" vertical="center"/>
      <protection locked="0"/>
    </xf>
    <xf numFmtId="0" fontId="39" fillId="0" borderId="25" xfId="0" applyFont="1" applyFill="1" applyBorder="1" applyAlignment="1" applyProtection="1">
      <alignment horizontal="center" vertical="center"/>
      <protection locked="0"/>
    </xf>
    <xf numFmtId="181" fontId="67" fillId="0" borderId="0" xfId="0" applyNumberFormat="1" applyFont="1" applyFill="1" applyBorder="1" applyAlignment="1" applyProtection="1">
      <alignment horizontal="center" vertical="center" wrapText="1"/>
      <protection locked="0"/>
    </xf>
    <xf numFmtId="0" fontId="67" fillId="0" borderId="0" xfId="0" applyFont="1" applyFill="1" applyBorder="1" applyAlignment="1" applyProtection="1">
      <alignment horizontal="center" vertical="center"/>
      <protection locked="0"/>
    </xf>
    <xf numFmtId="0" fontId="67" fillId="0" borderId="25" xfId="0" applyFont="1" applyFill="1" applyBorder="1" applyAlignment="1" applyProtection="1">
      <alignment horizontal="center" vertical="center"/>
      <protection locked="0"/>
    </xf>
    <xf numFmtId="181" fontId="44" fillId="0" borderId="0" xfId="0" applyNumberFormat="1" applyFont="1" applyFill="1" applyBorder="1" applyAlignment="1" applyProtection="1">
      <alignment horizontal="center" vertical="center" wrapText="1"/>
      <protection locked="0"/>
    </xf>
    <xf numFmtId="0" fontId="46" fillId="0" borderId="25" xfId="0" applyFont="1" applyFill="1" applyBorder="1" applyAlignment="1" applyProtection="1">
      <alignment horizontal="center" vertical="center"/>
      <protection locked="0"/>
    </xf>
    <xf numFmtId="181" fontId="68" fillId="0" borderId="0" xfId="0" applyNumberFormat="1" applyFont="1" applyFill="1" applyBorder="1" applyAlignment="1" applyProtection="1">
      <alignment horizontal="center" vertical="center" wrapText="1"/>
      <protection locked="0"/>
    </xf>
    <xf numFmtId="0" fontId="44" fillId="0" borderId="25" xfId="0" applyFont="1" applyFill="1" applyBorder="1" applyAlignment="1" applyProtection="1">
      <alignment horizontal="center" vertical="center"/>
      <protection locked="0"/>
    </xf>
    <xf numFmtId="181" fontId="46" fillId="0" borderId="0" xfId="0" applyNumberFormat="1" applyFont="1" applyFill="1" applyBorder="1" applyAlignment="1" applyProtection="1">
      <alignment vertical="center" wrapText="1"/>
      <protection locked="0"/>
    </xf>
    <xf numFmtId="181" fontId="68" fillId="0" borderId="0" xfId="0" applyNumberFormat="1" applyFont="1" applyFill="1" applyAlignment="1" applyProtection="1">
      <alignment horizontal="center" vertical="center"/>
      <protection locked="0"/>
    </xf>
    <xf numFmtId="14" fontId="46" fillId="0" borderId="0" xfId="0" applyNumberFormat="1" applyFont="1" applyFill="1" applyAlignment="1" applyProtection="1">
      <alignment horizontal="center" vertical="center"/>
      <protection locked="0"/>
    </xf>
    <xf numFmtId="9" fontId="46" fillId="0" borderId="0" xfId="0" applyNumberFormat="1" applyFont="1" applyFill="1" applyAlignment="1" applyProtection="1">
      <alignment horizontal="center" vertical="center"/>
      <protection locked="0"/>
    </xf>
    <xf numFmtId="189" fontId="68" fillId="0" borderId="0" xfId="0" applyNumberFormat="1" applyFont="1" applyFill="1" applyAlignment="1" applyProtection="1">
      <alignment horizontal="center" vertical="center"/>
      <protection locked="0"/>
    </xf>
    <xf numFmtId="176" fontId="46" fillId="0" borderId="0" xfId="0" applyNumberFormat="1" applyFont="1" applyFill="1" applyAlignment="1" applyProtection="1">
      <alignment horizontal="center" vertical="center"/>
      <protection locked="0"/>
    </xf>
    <xf numFmtId="0" fontId="46" fillId="0" borderId="0" xfId="0" applyFont="1" applyFill="1" applyBorder="1" applyAlignment="1" applyProtection="1">
      <protection locked="0"/>
    </xf>
    <xf numFmtId="0" fontId="39" fillId="0" borderId="25" xfId="0" applyFont="1" applyFill="1" applyBorder="1" applyAlignment="1" applyProtection="1">
      <alignment horizontal="left" vertical="center"/>
      <protection locked="0"/>
    </xf>
    <xf numFmtId="0" fontId="67" fillId="0" borderId="25" xfId="0" applyFont="1" applyFill="1" applyBorder="1" applyAlignment="1" applyProtection="1">
      <alignment horizontal="left" vertical="center"/>
      <protection locked="0"/>
    </xf>
    <xf numFmtId="0" fontId="46" fillId="0" borderId="25" xfId="0" applyFont="1" applyFill="1" applyBorder="1" applyAlignment="1" applyProtection="1">
      <alignment horizontal="left" vertical="center"/>
      <protection locked="0"/>
    </xf>
    <xf numFmtId="0" fontId="44" fillId="0" borderId="25" xfId="0" applyFont="1" applyFill="1" applyBorder="1" applyAlignment="1" applyProtection="1">
      <alignment horizontal="left" vertical="center"/>
      <protection locked="0"/>
    </xf>
    <xf numFmtId="0" fontId="48" fillId="0" borderId="0" xfId="0" applyFont="1" applyFill="1" applyAlignment="1" applyProtection="1">
      <alignment horizontal="left"/>
      <protection locked="0"/>
    </xf>
    <xf numFmtId="0" fontId="48" fillId="0" borderId="0" xfId="0" applyFont="1" applyFill="1" applyAlignment="1" applyProtection="1">
      <protection locked="0"/>
    </xf>
    <xf numFmtId="0" fontId="48" fillId="0" borderId="0" xfId="0" applyFont="1" applyFill="1" applyAlignment="1" applyProtection="1">
      <alignment horizontal="left" vertical="center" wrapText="1"/>
      <protection locked="0"/>
    </xf>
    <xf numFmtId="0" fontId="48" fillId="0" borderId="0" xfId="0" applyFont="1" applyFill="1" applyAlignment="1" applyProtection="1">
      <alignment horizontal="left" vertical="center"/>
      <protection locked="0"/>
    </xf>
    <xf numFmtId="0" fontId="46" fillId="0" borderId="0" xfId="0" applyFont="1" applyFill="1" applyAlignment="1" applyProtection="1">
      <alignment horizontal="left" vertical="center" wrapText="1"/>
      <protection locked="0"/>
    </xf>
    <xf numFmtId="0" fontId="46" fillId="5" borderId="22" xfId="6" applyFont="1" applyFill="1" applyBorder="1" applyAlignment="1" applyProtection="1">
      <alignment horizontal="left" vertical="center" wrapText="1"/>
      <protection locked="0"/>
    </xf>
    <xf numFmtId="0" fontId="46" fillId="5" borderId="0" xfId="6" applyFont="1" applyFill="1" applyBorder="1" applyAlignment="1" applyProtection="1">
      <alignment horizontal="left" vertical="center" wrapText="1"/>
      <protection locked="0"/>
    </xf>
    <xf numFmtId="10" fontId="48" fillId="5" borderId="58" xfId="6" applyNumberFormat="1" applyFont="1" applyFill="1" applyBorder="1" applyAlignment="1" applyProtection="1">
      <alignment horizontal="left" vertical="center" wrapText="1"/>
    </xf>
    <xf numFmtId="0" fontId="48" fillId="5" borderId="4" xfId="0" applyFont="1" applyFill="1" applyBorder="1" applyAlignment="1" applyProtection="1">
      <alignment horizontal="left" vertical="center" wrapText="1"/>
    </xf>
    <xf numFmtId="0" fontId="48" fillId="5" borderId="31" xfId="0" applyFont="1" applyFill="1" applyBorder="1" applyAlignment="1" applyProtection="1">
      <alignment horizontal="left" vertical="center" wrapText="1"/>
    </xf>
    <xf numFmtId="0" fontId="48" fillId="0" borderId="0" xfId="0" applyFont="1" applyFill="1" applyAlignment="1" applyProtection="1">
      <alignment horizontal="left" vertical="center" wrapText="1"/>
    </xf>
    <xf numFmtId="0" fontId="121" fillId="0" borderId="0" xfId="5" applyFont="1" applyAlignment="1">
      <alignment horizontal="left" vertical="center"/>
    </xf>
    <xf numFmtId="0" fontId="155" fillId="0" borderId="0" xfId="5" applyFont="1" applyAlignment="1">
      <alignment horizontal="left" vertical="center"/>
    </xf>
    <xf numFmtId="0" fontId="155" fillId="0" borderId="0" xfId="5" applyFont="1" applyFill="1" applyAlignment="1">
      <alignment horizontal="left" vertical="center"/>
    </xf>
    <xf numFmtId="14" fontId="155" fillId="0" borderId="0" xfId="5" applyNumberFormat="1" applyFont="1" applyAlignment="1">
      <alignment horizontal="left" vertical="center"/>
    </xf>
    <xf numFmtId="0" fontId="124" fillId="0" borderId="0" xfId="5" applyFont="1" applyAlignment="1">
      <alignment horizontal="left" vertical="center"/>
    </xf>
    <xf numFmtId="0" fontId="125" fillId="0" borderId="0" xfId="5" applyFont="1" applyAlignment="1">
      <alignment horizontal="left" vertical="center"/>
    </xf>
    <xf numFmtId="14" fontId="125" fillId="0" borderId="0" xfId="5" applyNumberFormat="1" applyFont="1" applyAlignment="1">
      <alignment horizontal="left" vertical="center"/>
    </xf>
    <xf numFmtId="0" fontId="251" fillId="0" borderId="0" xfId="5" applyFont="1" applyAlignment="1">
      <alignment horizontal="left" vertical="center"/>
    </xf>
    <xf numFmtId="0" fontId="122" fillId="6" borderId="18" xfId="5" applyFont="1" applyFill="1" applyBorder="1" applyAlignment="1">
      <alignment horizontal="left" vertical="center"/>
    </xf>
    <xf numFmtId="0" fontId="123" fillId="0" borderId="1" xfId="5" applyFont="1" applyBorder="1" applyAlignment="1">
      <alignment horizontal="left" vertical="center"/>
    </xf>
    <xf numFmtId="0" fontId="123" fillId="0" borderId="2" xfId="5" applyFont="1" applyBorder="1" applyAlignment="1">
      <alignment horizontal="left" vertical="center"/>
    </xf>
    <xf numFmtId="192" fontId="123" fillId="0" borderId="1" xfId="5" applyNumberFormat="1" applyFont="1" applyFill="1" applyBorder="1" applyAlignment="1">
      <alignment horizontal="left" vertical="center"/>
    </xf>
    <xf numFmtId="184" fontId="123" fillId="0" borderId="1" xfId="5" applyNumberFormat="1" applyFont="1" applyFill="1" applyBorder="1" applyAlignment="1">
      <alignment horizontal="left" vertical="center"/>
    </xf>
    <xf numFmtId="0" fontId="252" fillId="0" borderId="1" xfId="5" applyFont="1" applyFill="1" applyBorder="1" applyAlignment="1">
      <alignment horizontal="left" vertical="center"/>
    </xf>
    <xf numFmtId="192" fontId="123" fillId="0" borderId="2" xfId="5" applyNumberFormat="1" applyFont="1" applyFill="1" applyBorder="1" applyAlignment="1">
      <alignment horizontal="left" vertical="center"/>
    </xf>
    <xf numFmtId="0" fontId="252" fillId="0" borderId="0" xfId="5" applyFont="1" applyFill="1" applyAlignment="1">
      <alignment horizontal="left" vertical="center"/>
    </xf>
    <xf numFmtId="0" fontId="122" fillId="0" borderId="1" xfId="5" applyFont="1" applyFill="1" applyBorder="1" applyAlignment="1">
      <alignment horizontal="left" vertical="center"/>
    </xf>
    <xf numFmtId="0" fontId="125" fillId="0" borderId="1" xfId="5" applyFont="1" applyBorder="1" applyAlignment="1">
      <alignment horizontal="left" vertical="center"/>
    </xf>
    <xf numFmtId="184" fontId="123" fillId="0" borderId="1" xfId="0" applyNumberFormat="1" applyFont="1" applyFill="1" applyBorder="1" applyAlignment="1">
      <alignment horizontal="left" vertical="center"/>
    </xf>
    <xf numFmtId="14" fontId="125" fillId="0" borderId="1" xfId="5" applyNumberFormat="1" applyFont="1" applyBorder="1" applyAlignment="1">
      <alignment horizontal="left" vertical="center"/>
    </xf>
    <xf numFmtId="0" fontId="82" fillId="0" borderId="1" xfId="5" applyFont="1" applyBorder="1" applyAlignment="1">
      <alignment horizontal="left" vertical="center"/>
    </xf>
    <xf numFmtId="184" fontId="82" fillId="0" borderId="1" xfId="0" applyNumberFormat="1" applyFont="1" applyFill="1" applyBorder="1" applyAlignment="1">
      <alignment horizontal="left" vertical="center"/>
    </xf>
    <xf numFmtId="192" fontId="252" fillId="0" borderId="2" xfId="5" applyNumberFormat="1" applyFont="1" applyFill="1" applyBorder="1" applyAlignment="1">
      <alignment horizontal="left" vertical="center"/>
    </xf>
    <xf numFmtId="0" fontId="122" fillId="6" borderId="174" xfId="5" applyFont="1" applyFill="1" applyBorder="1" applyAlignment="1">
      <alignment horizontal="left" vertical="center"/>
    </xf>
    <xf numFmtId="0" fontId="123" fillId="0" borderId="173" xfId="5" applyFont="1" applyFill="1" applyBorder="1" applyAlignment="1">
      <alignment horizontal="left" vertical="center"/>
    </xf>
    <xf numFmtId="184" fontId="123" fillId="0" borderId="2" xfId="5" applyNumberFormat="1" applyFont="1" applyFill="1" applyBorder="1" applyAlignment="1">
      <alignment horizontal="left" vertical="center"/>
    </xf>
    <xf numFmtId="14" fontId="125" fillId="0" borderId="2" xfId="5" applyNumberFormat="1" applyFont="1" applyBorder="1" applyAlignment="1">
      <alignment horizontal="left" vertical="center"/>
    </xf>
    <xf numFmtId="0" fontId="125" fillId="0" borderId="173" xfId="5" applyFont="1" applyBorder="1" applyAlignment="1">
      <alignment horizontal="left" vertical="center"/>
    </xf>
    <xf numFmtId="14" fontId="155" fillId="0" borderId="175" xfId="5" applyNumberFormat="1" applyFont="1" applyBorder="1" applyAlignment="1">
      <alignment horizontal="left" vertical="center"/>
    </xf>
    <xf numFmtId="0" fontId="155" fillId="0" borderId="0" xfId="5" applyFont="1" applyBorder="1" applyAlignment="1">
      <alignment horizontal="left" vertical="center"/>
    </xf>
    <xf numFmtId="0" fontId="253" fillId="0" borderId="0" xfId="5" applyFont="1" applyBorder="1" applyAlignment="1">
      <alignment horizontal="left" vertical="center"/>
    </xf>
    <xf numFmtId="181" fontId="39" fillId="0" borderId="58" xfId="0" applyNumberFormat="1" applyFont="1" applyFill="1" applyBorder="1" applyAlignment="1" applyProtection="1">
      <alignment horizontal="left" vertical="center"/>
      <protection locked="0"/>
    </xf>
    <xf numFmtId="0" fontId="135" fillId="0" borderId="0" xfId="0" applyFont="1" applyFill="1" applyAlignment="1" applyProtection="1">
      <alignment horizontal="left" vertical="center"/>
      <protection locked="0"/>
    </xf>
    <xf numFmtId="0" fontId="135" fillId="5" borderId="15" xfId="0" applyFont="1" applyFill="1" applyBorder="1" applyAlignment="1" applyProtection="1">
      <alignment horizontal="left" vertical="center"/>
      <protection locked="0"/>
    </xf>
    <xf numFmtId="0" fontId="42" fillId="5" borderId="1"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42" fillId="5" borderId="8"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183" fontId="39" fillId="0" borderId="43" xfId="0" applyNumberFormat="1" applyFont="1" applyFill="1" applyBorder="1" applyAlignment="1" applyProtection="1">
      <alignment horizontal="left" vertical="center"/>
      <protection locked="0"/>
    </xf>
    <xf numFmtId="0" fontId="47" fillId="5" borderId="55" xfId="0" applyFont="1" applyFill="1" applyBorder="1" applyAlignment="1" applyProtection="1">
      <alignment horizontal="left" vertical="center" wrapText="1"/>
    </xf>
    <xf numFmtId="0" fontId="47" fillId="5" borderId="14" xfId="0" applyFont="1" applyFill="1" applyBorder="1" applyAlignment="1" applyProtection="1">
      <alignment horizontal="left" vertical="center" wrapText="1"/>
    </xf>
    <xf numFmtId="0" fontId="47" fillId="5" borderId="81" xfId="0" applyFont="1" applyFill="1" applyBorder="1" applyAlignment="1" applyProtection="1">
      <alignment horizontal="left" vertical="center"/>
    </xf>
    <xf numFmtId="0" fontId="47" fillId="5" borderId="0" xfId="0" applyFont="1" applyFill="1" applyBorder="1" applyAlignment="1" applyProtection="1">
      <alignment horizontal="left" vertical="center" wrapText="1"/>
    </xf>
    <xf numFmtId="0" fontId="42" fillId="5" borderId="66" xfId="0" applyFont="1" applyFill="1" applyBorder="1" applyAlignment="1" applyProtection="1">
      <alignment horizontal="left" vertical="center"/>
    </xf>
    <xf numFmtId="0" fontId="42" fillId="8" borderId="0" xfId="0" applyFont="1" applyFill="1" applyAlignment="1" applyProtection="1">
      <alignment horizontal="left" vertical="center"/>
      <protection locked="0"/>
    </xf>
    <xf numFmtId="0" fontId="47" fillId="5" borderId="22" xfId="0" applyFont="1" applyFill="1" applyBorder="1" applyAlignment="1" applyProtection="1">
      <alignment horizontal="left" vertical="center" wrapText="1"/>
    </xf>
    <xf numFmtId="0" fontId="42" fillId="5" borderId="11" xfId="0" applyFont="1" applyFill="1" applyBorder="1" applyAlignment="1" applyProtection="1">
      <alignment horizontal="left" vertical="center" wrapText="1"/>
    </xf>
    <xf numFmtId="49" fontId="240" fillId="0" borderId="31" xfId="0" applyNumberFormat="1" applyFont="1" applyFill="1" applyBorder="1" applyAlignment="1" applyProtection="1">
      <alignment horizontal="left" vertical="center" wrapText="1"/>
      <protection locked="0"/>
    </xf>
    <xf numFmtId="49" fontId="42" fillId="5" borderId="0" xfId="0" applyNumberFormat="1" applyFont="1" applyFill="1" applyBorder="1" applyAlignment="1" applyProtection="1">
      <alignment horizontal="left" vertical="center" wrapText="1"/>
      <protection locked="0"/>
    </xf>
    <xf numFmtId="0" fontId="47" fillId="5" borderId="26" xfId="0" applyFont="1" applyFill="1" applyBorder="1" applyAlignment="1" applyProtection="1">
      <alignment horizontal="left" vertical="center" wrapText="1"/>
    </xf>
    <xf numFmtId="0" fontId="42" fillId="5" borderId="24" xfId="0" applyFont="1" applyFill="1" applyBorder="1" applyAlignment="1" applyProtection="1">
      <alignment horizontal="left" vertical="center" wrapText="1"/>
    </xf>
    <xf numFmtId="0" fontId="240" fillId="0" borderId="34" xfId="0" applyNumberFormat="1" applyFont="1" applyFill="1" applyBorder="1" applyAlignment="1" applyProtection="1">
      <alignment horizontal="left" vertical="center" wrapText="1"/>
      <protection locked="0"/>
    </xf>
    <xf numFmtId="49" fontId="240" fillId="0" borderId="6" xfId="0" applyNumberFormat="1" applyFont="1" applyFill="1" applyBorder="1" applyAlignment="1" applyProtection="1">
      <alignment horizontal="left" vertical="center" wrapText="1"/>
      <protection locked="0"/>
    </xf>
    <xf numFmtId="49" fontId="42" fillId="5" borderId="26" xfId="0" applyNumberFormat="1" applyFont="1" applyFill="1" applyBorder="1" applyAlignment="1" applyProtection="1">
      <alignment horizontal="left" vertical="center" wrapText="1"/>
    </xf>
    <xf numFmtId="0" fontId="240" fillId="0" borderId="6" xfId="0" applyFont="1" applyBorder="1" applyAlignment="1" applyProtection="1">
      <alignment horizontal="left" vertical="center" wrapText="1"/>
      <protection locked="0"/>
    </xf>
    <xf numFmtId="49" fontId="42" fillId="5" borderId="42" xfId="0" applyNumberFormat="1" applyFont="1" applyFill="1" applyBorder="1" applyAlignment="1" applyProtection="1">
      <alignment horizontal="left" vertical="center" wrapText="1"/>
    </xf>
    <xf numFmtId="0" fontId="42" fillId="5" borderId="56" xfId="0" applyFont="1" applyFill="1" applyBorder="1" applyAlignment="1" applyProtection="1">
      <alignment horizontal="left" vertical="center" wrapText="1"/>
    </xf>
    <xf numFmtId="0" fontId="240" fillId="0" borderId="43" xfId="0" applyNumberFormat="1" applyFont="1" applyFill="1" applyBorder="1" applyAlignment="1" applyProtection="1">
      <alignment horizontal="left" vertical="center" wrapText="1"/>
      <protection locked="0"/>
    </xf>
    <xf numFmtId="0" fontId="47" fillId="5" borderId="42" xfId="0" applyFont="1" applyFill="1" applyBorder="1" applyAlignment="1" applyProtection="1">
      <alignment horizontal="left" vertical="center" wrapText="1"/>
    </xf>
    <xf numFmtId="0" fontId="240" fillId="0" borderId="43" xfId="0" applyFont="1" applyBorder="1" applyAlignment="1" applyProtection="1">
      <alignment horizontal="left" vertical="center"/>
      <protection locked="0"/>
    </xf>
    <xf numFmtId="0" fontId="42" fillId="8" borderId="0" xfId="0" applyNumberFormat="1" applyFont="1" applyFill="1" applyBorder="1" applyAlignment="1" applyProtection="1">
      <alignment horizontal="left" vertical="center" wrapText="1"/>
      <protection locked="0"/>
    </xf>
    <xf numFmtId="49" fontId="42" fillId="8" borderId="0" xfId="0" applyNumberFormat="1" applyFont="1" applyFill="1" applyBorder="1" applyAlignment="1" applyProtection="1">
      <alignment horizontal="left" vertical="center" wrapText="1"/>
      <protection locked="0"/>
    </xf>
    <xf numFmtId="0" fontId="47" fillId="5" borderId="0" xfId="0" applyFont="1" applyFill="1" applyBorder="1" applyAlignment="1" applyProtection="1">
      <alignment horizontal="left" vertical="center" wrapText="1"/>
      <protection locked="0"/>
    </xf>
    <xf numFmtId="0" fontId="42" fillId="5" borderId="0" xfId="0" applyNumberFormat="1" applyFont="1" applyFill="1" applyBorder="1" applyAlignment="1" applyProtection="1">
      <alignment horizontal="left" vertical="center" wrapText="1"/>
      <protection locked="0"/>
    </xf>
    <xf numFmtId="0" fontId="47" fillId="5" borderId="5" xfId="0" applyFont="1" applyFill="1" applyBorder="1" applyAlignment="1" applyProtection="1">
      <alignment horizontal="left" vertical="center" wrapText="1"/>
    </xf>
    <xf numFmtId="0" fontId="47" fillId="5" borderId="79" xfId="0" applyFont="1" applyFill="1" applyBorder="1" applyAlignment="1" applyProtection="1">
      <alignment horizontal="left" vertical="center" wrapText="1"/>
    </xf>
    <xf numFmtId="0" fontId="47" fillId="5" borderId="82" xfId="0" applyFont="1" applyFill="1" applyBorder="1" applyAlignment="1" applyProtection="1">
      <alignment horizontal="left" vertical="center" wrapText="1"/>
    </xf>
    <xf numFmtId="0" fontId="42" fillId="8" borderId="0" xfId="0" applyFont="1" applyFill="1" applyAlignment="1" applyProtection="1">
      <alignment horizontal="left" vertical="center" wrapText="1"/>
      <protection locked="0"/>
    </xf>
    <xf numFmtId="0" fontId="42" fillId="8" borderId="0" xfId="0" applyNumberFormat="1" applyFont="1" applyFill="1" applyAlignment="1" applyProtection="1">
      <alignment horizontal="left" vertical="center" wrapText="1"/>
      <protection locked="0"/>
    </xf>
    <xf numFmtId="0" fontId="42" fillId="8" borderId="0" xfId="0" applyNumberFormat="1" applyFont="1" applyFill="1" applyAlignment="1" applyProtection="1">
      <alignment horizontal="left" vertical="center"/>
      <protection locked="0"/>
    </xf>
    <xf numFmtId="0" fontId="47" fillId="5" borderId="10" xfId="0" applyFont="1" applyFill="1" applyBorder="1" applyAlignment="1" applyProtection="1">
      <alignment horizontal="left" vertical="center" wrapText="1"/>
    </xf>
    <xf numFmtId="0" fontId="42" fillId="5" borderId="4" xfId="0" applyFont="1" applyFill="1" applyBorder="1" applyAlignment="1" applyProtection="1">
      <alignment horizontal="left" vertical="center" wrapText="1"/>
    </xf>
    <xf numFmtId="49" fontId="42" fillId="5" borderId="59" xfId="0" applyNumberFormat="1" applyFont="1" applyFill="1" applyBorder="1" applyAlignment="1" applyProtection="1">
      <alignment horizontal="left" vertical="center" wrapText="1"/>
    </xf>
    <xf numFmtId="49" fontId="47" fillId="5" borderId="10" xfId="0" applyNumberFormat="1" applyFont="1" applyFill="1" applyBorder="1" applyAlignment="1" applyProtection="1">
      <alignment horizontal="left" vertical="center" wrapText="1"/>
    </xf>
    <xf numFmtId="0" fontId="42" fillId="5" borderId="31" xfId="0" applyNumberFormat="1" applyFont="1" applyFill="1" applyBorder="1" applyAlignment="1" applyProtection="1">
      <alignment horizontal="left" vertical="center" wrapText="1"/>
    </xf>
    <xf numFmtId="0" fontId="47" fillId="5" borderId="77" xfId="0" applyFont="1" applyFill="1" applyBorder="1" applyAlignment="1" applyProtection="1">
      <alignment horizontal="left" vertical="center" wrapText="1"/>
    </xf>
    <xf numFmtId="49" fontId="42" fillId="5" borderId="6" xfId="0" applyNumberFormat="1" applyFont="1" applyFill="1" applyBorder="1" applyAlignment="1" applyProtection="1">
      <alignment horizontal="left" vertical="center" wrapText="1"/>
    </xf>
    <xf numFmtId="49" fontId="47" fillId="5" borderId="77" xfId="0" applyNumberFormat="1" applyFont="1" applyFill="1" applyBorder="1" applyAlignment="1" applyProtection="1">
      <alignment horizontal="left" vertical="center" wrapText="1"/>
    </xf>
    <xf numFmtId="0" fontId="42" fillId="5" borderId="6" xfId="0" applyNumberFormat="1" applyFont="1" applyFill="1" applyBorder="1" applyAlignment="1" applyProtection="1">
      <alignment horizontal="left" vertical="center" wrapText="1"/>
    </xf>
    <xf numFmtId="0" fontId="240" fillId="0" borderId="6" xfId="0" applyNumberFormat="1" applyFont="1" applyFill="1" applyBorder="1" applyAlignment="1" applyProtection="1">
      <alignment horizontal="left" vertical="center" wrapText="1"/>
      <protection locked="0"/>
    </xf>
    <xf numFmtId="0" fontId="42" fillId="6" borderId="6" xfId="0" applyNumberFormat="1" applyFont="1" applyFill="1" applyBorder="1" applyAlignment="1" applyProtection="1">
      <alignment horizontal="left" vertical="center" wrapText="1"/>
      <protection locked="0"/>
    </xf>
    <xf numFmtId="0" fontId="42" fillId="0" borderId="6" xfId="0" applyNumberFormat="1" applyFont="1" applyFill="1" applyBorder="1" applyAlignment="1" applyProtection="1">
      <alignment horizontal="left" vertical="center" wrapText="1"/>
      <protection locked="0"/>
    </xf>
    <xf numFmtId="49" fontId="47" fillId="5" borderId="78" xfId="0" applyNumberFormat="1" applyFont="1" applyFill="1" applyBorder="1" applyAlignment="1" applyProtection="1">
      <alignment horizontal="left" vertical="center" wrapText="1"/>
    </xf>
    <xf numFmtId="0" fontId="42" fillId="0" borderId="43" xfId="0" applyNumberFormat="1" applyFont="1" applyFill="1" applyBorder="1" applyAlignment="1" applyProtection="1">
      <alignment horizontal="left" vertical="center" wrapText="1"/>
      <protection locked="0"/>
    </xf>
    <xf numFmtId="0" fontId="47" fillId="5" borderId="78" xfId="0" applyFont="1" applyFill="1" applyBorder="1" applyAlignment="1" applyProtection="1">
      <alignment horizontal="left" vertical="center" wrapText="1"/>
    </xf>
    <xf numFmtId="0" fontId="42" fillId="5" borderId="43" xfId="0" applyNumberFormat="1" applyFont="1" applyFill="1" applyBorder="1" applyAlignment="1" applyProtection="1">
      <alignment horizontal="left" vertical="center" wrapText="1"/>
    </xf>
    <xf numFmtId="0" fontId="42" fillId="5" borderId="0" xfId="0" applyFont="1" applyFill="1" applyAlignment="1" applyProtection="1">
      <alignment horizontal="left" vertical="center" wrapText="1"/>
      <protection locked="0"/>
    </xf>
    <xf numFmtId="0" fontId="42" fillId="5" borderId="0" xfId="0" applyNumberFormat="1" applyFont="1" applyFill="1" applyAlignment="1" applyProtection="1">
      <alignment horizontal="left" vertical="center" wrapText="1"/>
      <protection locked="0"/>
    </xf>
    <xf numFmtId="0" fontId="98" fillId="5" borderId="43" xfId="0" applyNumberFormat="1" applyFont="1" applyFill="1" applyBorder="1" applyAlignment="1" applyProtection="1">
      <alignment horizontal="left" vertical="center" wrapText="1"/>
    </xf>
    <xf numFmtId="0" fontId="150" fillId="12" borderId="133" xfId="7" applyFont="1" applyFill="1" applyBorder="1" applyAlignment="1" applyProtection="1">
      <alignment horizontal="left" vertical="center" wrapText="1"/>
    </xf>
    <xf numFmtId="0" fontId="150" fillId="12" borderId="133" xfId="7" applyFont="1" applyFill="1" applyBorder="1" applyAlignment="1" applyProtection="1">
      <alignment horizontal="left" vertical="center" wrapText="1"/>
    </xf>
    <xf numFmtId="0" fontId="143" fillId="5" borderId="0" xfId="2" applyFont="1" applyFill="1"/>
    <xf numFmtId="0" fontId="143" fillId="5" borderId="1" xfId="2" applyFont="1" applyFill="1" applyBorder="1" applyAlignment="1">
      <alignment horizontal="center" wrapText="1"/>
    </xf>
    <xf numFmtId="0" fontId="143" fillId="0" borderId="0" xfId="2" applyFont="1"/>
    <xf numFmtId="0" fontId="95" fillId="0" borderId="0" xfId="0" applyFont="1" applyAlignment="1"/>
    <xf numFmtId="10" fontId="48" fillId="5" borderId="57" xfId="0" applyNumberFormat="1" applyFont="1" applyFill="1" applyBorder="1" applyAlignment="1" applyProtection="1">
      <alignment horizontal="left" vertical="center" wrapText="1"/>
    </xf>
    <xf numFmtId="10" fontId="101" fillId="5" borderId="57" xfId="0" applyNumberFormat="1" applyFont="1" applyFill="1" applyBorder="1" applyAlignment="1" applyProtection="1">
      <alignment horizontal="left" vertical="center" wrapText="1"/>
    </xf>
    <xf numFmtId="0" fontId="39" fillId="6" borderId="7" xfId="0" applyFont="1" applyFill="1" applyBorder="1" applyAlignment="1" applyProtection="1">
      <alignment horizontal="left" vertical="center" wrapText="1"/>
      <protection locked="0"/>
    </xf>
    <xf numFmtId="10" fontId="117" fillId="0" borderId="0" xfId="0" applyNumberFormat="1" applyFont="1" applyFill="1" applyAlignment="1" applyProtection="1">
      <alignment horizontal="left" vertical="center"/>
      <protection locked="0"/>
    </xf>
    <xf numFmtId="0" fontId="150" fillId="12" borderId="133" xfId="7" applyFont="1" applyFill="1" applyBorder="1" applyAlignment="1" applyProtection="1">
      <alignment horizontal="left" vertical="center" wrapText="1"/>
    </xf>
    <xf numFmtId="0" fontId="150" fillId="13" borderId="134" xfId="11" applyFont="1" applyFill="1" applyBorder="1" applyAlignment="1" applyProtection="1">
      <alignment horizontal="left" vertical="center" wrapText="1"/>
    </xf>
    <xf numFmtId="0" fontId="150" fillId="13" borderId="138" xfId="11" applyFont="1" applyFill="1" applyBorder="1" applyAlignment="1" applyProtection="1">
      <alignment horizontal="left" vertical="center" wrapText="1"/>
    </xf>
    <xf numFmtId="0" fontId="138" fillId="6" borderId="1" xfId="0" applyFont="1" applyFill="1" applyBorder="1" applyAlignment="1" applyProtection="1">
      <alignment horizontal="left" vertical="center" wrapText="1"/>
      <protection locked="0"/>
    </xf>
    <xf numFmtId="177" fontId="39" fillId="0" borderId="31" xfId="1" applyNumberFormat="1" applyFont="1" applyFill="1" applyBorder="1" applyAlignment="1" applyProtection="1">
      <alignment horizontal="left" vertical="center"/>
      <protection locked="0"/>
    </xf>
    <xf numFmtId="0" fontId="196" fillId="0" borderId="18" xfId="0" applyFont="1" applyFill="1" applyBorder="1" applyAlignment="1" applyProtection="1">
      <alignment horizontal="left" vertical="center" wrapText="1"/>
    </xf>
    <xf numFmtId="0" fontId="196" fillId="0" borderId="49" xfId="0" applyFont="1" applyFill="1" applyBorder="1" applyAlignment="1" applyProtection="1">
      <alignment horizontal="left" vertical="center" wrapText="1"/>
    </xf>
    <xf numFmtId="0" fontId="196" fillId="0" borderId="17" xfId="0" applyFont="1" applyFill="1" applyBorder="1" applyAlignment="1" applyProtection="1">
      <alignment horizontal="left" vertical="center" wrapText="1"/>
    </xf>
    <xf numFmtId="0" fontId="121" fillId="0" borderId="1" xfId="0" applyFont="1" applyBorder="1" applyProtection="1">
      <alignment vertical="center"/>
    </xf>
    <xf numFmtId="0" fontId="121" fillId="0" borderId="1" xfId="0" applyFont="1" applyBorder="1" applyAlignment="1" applyProtection="1">
      <alignment vertical="center" wrapText="1"/>
    </xf>
    <xf numFmtId="0" fontId="121" fillId="0" borderId="18" xfId="0" applyFont="1" applyBorder="1" applyProtection="1">
      <alignment vertical="center"/>
    </xf>
    <xf numFmtId="0" fontId="121" fillId="0" borderId="75" xfId="0" applyFont="1" applyBorder="1" applyProtection="1">
      <alignment vertical="center"/>
    </xf>
    <xf numFmtId="0" fontId="121" fillId="0" borderId="0" xfId="0" applyFont="1" applyBorder="1" applyAlignment="1" applyProtection="1">
      <alignment horizontal="center" vertical="center"/>
    </xf>
    <xf numFmtId="0" fontId="121" fillId="0" borderId="32" xfId="0" applyFont="1" applyBorder="1" applyAlignment="1" applyProtection="1">
      <alignment horizontal="center" vertical="center"/>
    </xf>
    <xf numFmtId="0" fontId="121" fillId="0" borderId="1" xfId="0" applyFont="1" applyBorder="1" applyAlignment="1" applyProtection="1">
      <alignment horizontal="center" vertical="center"/>
    </xf>
    <xf numFmtId="0" fontId="121" fillId="0" borderId="163" xfId="0" applyFont="1" applyBorder="1" applyAlignment="1" applyProtection="1">
      <alignment horizontal="left" vertical="center" wrapText="1"/>
    </xf>
    <xf numFmtId="0" fontId="121" fillId="0" borderId="164" xfId="0" applyFont="1" applyBorder="1" applyAlignment="1" applyProtection="1">
      <alignment horizontal="left" vertical="center" wrapText="1"/>
    </xf>
    <xf numFmtId="0" fontId="121" fillId="0" borderId="161" xfId="0" applyFont="1" applyBorder="1" applyAlignment="1" applyProtection="1">
      <alignment horizontal="left" vertical="center" wrapText="1"/>
    </xf>
    <xf numFmtId="0" fontId="121" fillId="0" borderId="162" xfId="0" applyFont="1" applyBorder="1" applyAlignment="1" applyProtection="1">
      <alignment horizontal="left" vertical="center" wrapText="1"/>
    </xf>
    <xf numFmtId="0" fontId="121" fillId="0" borderId="17" xfId="0" applyFont="1" applyBorder="1" applyProtection="1">
      <alignment vertical="center"/>
    </xf>
    <xf numFmtId="0" fontId="196" fillId="0" borderId="1" xfId="0" applyFont="1" applyFill="1" applyBorder="1" applyAlignment="1" applyProtection="1">
      <alignment horizontal="left" vertical="center" wrapText="1"/>
    </xf>
    <xf numFmtId="0" fontId="196" fillId="0" borderId="75" xfId="0" applyFont="1" applyFill="1" applyBorder="1" applyAlignment="1" applyProtection="1">
      <alignment horizontal="left" vertical="center" wrapText="1"/>
    </xf>
    <xf numFmtId="0" fontId="130" fillId="0" borderId="0" xfId="0" applyFont="1" applyAlignment="1" applyProtection="1">
      <alignment horizontal="left" vertical="center" wrapText="1"/>
    </xf>
    <xf numFmtId="0" fontId="185" fillId="0" borderId="0" xfId="0" applyFont="1" applyAlignment="1" applyProtection="1">
      <alignment horizontal="center" vertical="center"/>
    </xf>
    <xf numFmtId="0" fontId="196" fillId="0" borderId="114" xfId="0" applyFont="1" applyFill="1" applyBorder="1" applyAlignment="1" applyProtection="1">
      <alignment horizontal="center" vertical="center" wrapText="1"/>
    </xf>
    <xf numFmtId="0" fontId="196" fillId="0" borderId="115" xfId="0" applyFont="1" applyFill="1" applyBorder="1" applyAlignment="1" applyProtection="1">
      <alignment horizontal="center" vertical="center" wrapText="1"/>
    </xf>
    <xf numFmtId="0" fontId="196" fillId="0" borderId="1" xfId="0" applyFont="1" applyFill="1" applyBorder="1" applyAlignment="1" applyProtection="1">
      <alignment horizontal="center" vertical="center" wrapText="1"/>
    </xf>
    <xf numFmtId="0" fontId="196" fillId="0" borderId="1" xfId="0" applyFont="1" applyFill="1" applyBorder="1" applyAlignment="1" applyProtection="1">
      <alignment vertical="center" wrapText="1"/>
    </xf>
    <xf numFmtId="0" fontId="56" fillId="0" borderId="1" xfId="0" applyFont="1" applyFill="1" applyBorder="1" applyAlignment="1" applyProtection="1">
      <alignment horizontal="center" vertical="center" wrapText="1"/>
    </xf>
    <xf numFmtId="182" fontId="56"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0" fontId="56" fillId="0" borderId="75" xfId="0" applyFont="1" applyFill="1" applyBorder="1" applyAlignment="1" applyProtection="1">
      <alignment horizontal="center" vertical="center" wrapText="1"/>
    </xf>
    <xf numFmtId="182" fontId="56" fillId="0" borderId="75" xfId="0" applyNumberFormat="1" applyFont="1" applyFill="1" applyBorder="1" applyAlignment="1" applyProtection="1">
      <alignment horizontal="center" vertical="center" wrapText="1"/>
    </xf>
    <xf numFmtId="0" fontId="42" fillId="0" borderId="0" xfId="0" applyFont="1" applyFill="1" applyBorder="1" applyAlignment="1" applyProtection="1">
      <alignment horizontal="left" vertical="center"/>
    </xf>
    <xf numFmtId="0" fontId="40" fillId="0" borderId="0" xfId="0" applyFont="1" applyFill="1" applyBorder="1" applyAlignment="1" applyProtection="1">
      <alignment horizontal="center" vertical="center"/>
    </xf>
    <xf numFmtId="0" fontId="56" fillId="0" borderId="32" xfId="0" applyFont="1" applyFill="1" applyBorder="1" applyAlignment="1" applyProtection="1">
      <alignment horizontal="center" vertical="center" wrapText="1"/>
    </xf>
    <xf numFmtId="182" fontId="56" fillId="0" borderId="2" xfId="0" applyNumberFormat="1" applyFont="1" applyFill="1" applyBorder="1" applyAlignment="1" applyProtection="1">
      <alignment horizontal="center" vertical="center" wrapText="1"/>
    </xf>
    <xf numFmtId="182" fontId="56" fillId="0" borderId="51" xfId="0" applyNumberFormat="1" applyFont="1" applyFill="1" applyBorder="1" applyAlignment="1" applyProtection="1">
      <alignment horizontal="center" vertical="center" wrapText="1"/>
    </xf>
    <xf numFmtId="182" fontId="56" fillId="0" borderId="3" xfId="0" applyNumberFormat="1" applyFont="1" applyFill="1" applyBorder="1" applyAlignment="1" applyProtection="1">
      <alignment horizontal="center" vertical="center" wrapText="1"/>
    </xf>
    <xf numFmtId="0" fontId="188" fillId="0" borderId="0" xfId="0" applyFont="1" applyBorder="1" applyAlignment="1">
      <alignment horizontal="justify" vertical="center" wrapText="1"/>
    </xf>
    <xf numFmtId="0" fontId="188" fillId="0" borderId="0" xfId="0" applyFont="1" applyBorder="1" applyAlignment="1">
      <alignment horizontal="left" vertical="center"/>
    </xf>
    <xf numFmtId="0" fontId="129" fillId="0" borderId="0" xfId="0" applyFont="1" applyBorder="1" applyAlignment="1">
      <alignment horizontal="left" vertical="center" wrapText="1"/>
    </xf>
    <xf numFmtId="0" fontId="132" fillId="0" borderId="0" xfId="0" applyFont="1" applyBorder="1" applyAlignment="1">
      <alignment horizontal="left" vertical="center" wrapText="1"/>
    </xf>
    <xf numFmtId="0" fontId="133" fillId="0" borderId="0" xfId="0" applyFont="1" applyBorder="1" applyAlignment="1" applyProtection="1">
      <alignment horizontal="left" vertical="center" wrapText="1"/>
      <protection locked="0"/>
    </xf>
    <xf numFmtId="0" fontId="39" fillId="0" borderId="2" xfId="0" applyFont="1" applyBorder="1" applyAlignment="1" applyProtection="1">
      <alignment horizontal="left" vertical="center"/>
    </xf>
    <xf numFmtId="0" fontId="98" fillId="0" borderId="3" xfId="0" applyFont="1" applyBorder="1" applyAlignment="1" applyProtection="1">
      <alignment horizontal="left" vertical="center"/>
    </xf>
    <xf numFmtId="0" fontId="98" fillId="0" borderId="2" xfId="0" applyFont="1" applyBorder="1" applyAlignment="1" applyProtection="1">
      <alignment horizontal="left" vertical="center"/>
    </xf>
    <xf numFmtId="0" fontId="98" fillId="9" borderId="1" xfId="0" applyFont="1" applyFill="1" applyBorder="1" applyAlignment="1" applyProtection="1">
      <alignment horizontal="left" vertical="center"/>
    </xf>
    <xf numFmtId="0" fontId="98" fillId="0" borderId="1" xfId="0" applyFont="1" applyBorder="1" applyAlignment="1" applyProtection="1">
      <alignment horizontal="left" vertical="center"/>
    </xf>
    <xf numFmtId="0" fontId="98" fillId="6" borderId="18" xfId="0" applyFont="1" applyFill="1" applyBorder="1" applyAlignment="1" applyProtection="1">
      <alignment horizontal="left" vertical="center"/>
    </xf>
    <xf numFmtId="0" fontId="98" fillId="6" borderId="49" xfId="0" applyFont="1" applyFill="1" applyBorder="1" applyAlignment="1" applyProtection="1">
      <alignment horizontal="left" vertical="center"/>
    </xf>
    <xf numFmtId="0" fontId="98" fillId="6" borderId="17" xfId="0" applyFont="1" applyFill="1" applyBorder="1" applyAlignment="1" applyProtection="1">
      <alignment horizontal="left" vertical="center"/>
    </xf>
    <xf numFmtId="0" fontId="122" fillId="6" borderId="1" xfId="5" applyFont="1" applyFill="1" applyBorder="1" applyAlignment="1">
      <alignment horizontal="left" vertical="center"/>
    </xf>
    <xf numFmtId="0" fontId="123" fillId="0" borderId="1" xfId="5" applyFont="1" applyBorder="1" applyAlignment="1">
      <alignment horizontal="left" vertical="center"/>
    </xf>
    <xf numFmtId="0" fontId="123" fillId="0" borderId="173" xfId="5" applyFont="1" applyBorder="1" applyAlignment="1">
      <alignment horizontal="left" vertical="center"/>
    </xf>
    <xf numFmtId="0" fontId="98" fillId="5" borderId="0" xfId="0" applyFont="1" applyFill="1" applyBorder="1" applyAlignment="1" applyProtection="1">
      <alignment horizontal="center" vertical="center" wrapText="1"/>
    </xf>
    <xf numFmtId="0" fontId="42" fillId="5" borderId="0" xfId="0" applyFont="1" applyFill="1" applyBorder="1" applyAlignment="1" applyProtection="1">
      <alignment vertical="center" wrapText="1"/>
    </xf>
    <xf numFmtId="0" fontId="42" fillId="5" borderId="63" xfId="0" applyFont="1" applyFill="1" applyBorder="1" applyAlignment="1" applyProtection="1">
      <alignment vertical="center" wrapText="1"/>
    </xf>
    <xf numFmtId="0" fontId="42" fillId="5" borderId="24" xfId="0" applyFont="1" applyFill="1" applyBorder="1" applyAlignment="1" applyProtection="1">
      <alignment vertical="center" wrapText="1"/>
    </xf>
    <xf numFmtId="0" fontId="42" fillId="5" borderId="52" xfId="0" applyFont="1" applyFill="1" applyBorder="1" applyAlignment="1" applyProtection="1">
      <alignment vertical="center" wrapText="1"/>
    </xf>
    <xf numFmtId="0" fontId="42" fillId="5" borderId="27" xfId="0" applyFont="1" applyFill="1" applyBorder="1" applyAlignment="1" applyProtection="1">
      <alignment vertical="center" wrapText="1"/>
    </xf>
    <xf numFmtId="0" fontId="42" fillId="5" borderId="4" xfId="0" applyFont="1" applyFill="1" applyBorder="1" applyAlignment="1" applyProtection="1">
      <alignment vertical="center" wrapText="1"/>
    </xf>
    <xf numFmtId="0" fontId="42" fillId="5" borderId="11" xfId="0" applyFont="1" applyFill="1" applyBorder="1" applyAlignment="1" applyProtection="1">
      <alignment vertical="center" wrapText="1"/>
    </xf>
    <xf numFmtId="0" fontId="42" fillId="5" borderId="52" xfId="0" applyFont="1" applyFill="1" applyBorder="1" applyAlignment="1" applyProtection="1">
      <alignment vertical="top" wrapText="1"/>
    </xf>
    <xf numFmtId="0" fontId="42" fillId="5" borderId="39" xfId="0" applyFont="1" applyFill="1" applyBorder="1" applyAlignment="1" applyProtection="1">
      <alignment vertical="top" wrapText="1"/>
    </xf>
    <xf numFmtId="0" fontId="42" fillId="5" borderId="63" xfId="0" applyFont="1" applyFill="1" applyBorder="1" applyAlignment="1" applyProtection="1">
      <alignment vertical="top" wrapText="1"/>
    </xf>
    <xf numFmtId="0" fontId="139" fillId="5" borderId="172" xfId="0" applyFont="1" applyFill="1" applyBorder="1" applyAlignment="1" applyProtection="1">
      <alignment horizontal="center" vertical="center" wrapText="1"/>
    </xf>
    <xf numFmtId="0" fontId="42" fillId="5" borderId="26" xfId="0" applyFont="1" applyFill="1" applyBorder="1" applyAlignment="1" applyProtection="1">
      <alignment vertical="center" wrapText="1"/>
    </xf>
    <xf numFmtId="0" fontId="42" fillId="5" borderId="7" xfId="0" applyFont="1" applyFill="1" applyBorder="1" applyAlignment="1" applyProtection="1">
      <alignment vertical="center" wrapText="1"/>
    </xf>
    <xf numFmtId="0" fontId="42" fillId="5" borderId="8" xfId="0" applyFont="1" applyFill="1" applyBorder="1" applyAlignment="1" applyProtection="1">
      <alignment vertical="center" wrapText="1"/>
    </xf>
    <xf numFmtId="0" fontId="75" fillId="5" borderId="22" xfId="0" applyFont="1" applyFill="1" applyBorder="1" applyAlignment="1" applyProtection="1">
      <alignment vertical="center" wrapText="1"/>
    </xf>
    <xf numFmtId="0" fontId="42" fillId="5" borderId="42" xfId="0" applyFont="1" applyFill="1" applyBorder="1" applyAlignment="1" applyProtection="1">
      <alignment vertical="center" wrapText="1"/>
    </xf>
    <xf numFmtId="0" fontId="42" fillId="5" borderId="61" xfId="0" applyFont="1" applyFill="1" applyBorder="1" applyAlignment="1" applyProtection="1">
      <alignment vertical="center" wrapText="1"/>
    </xf>
    <xf numFmtId="0" fontId="42" fillId="5" borderId="46" xfId="0" applyFont="1" applyFill="1" applyBorder="1" applyAlignment="1" applyProtection="1">
      <alignment vertical="center" wrapText="1"/>
    </xf>
    <xf numFmtId="0" fontId="42" fillId="5" borderId="28" xfId="0" applyFont="1" applyFill="1" applyBorder="1" applyAlignment="1" applyProtection="1">
      <alignment vertical="center" wrapText="1"/>
    </xf>
    <xf numFmtId="0" fontId="42" fillId="5" borderId="19" xfId="0" applyFont="1" applyFill="1" applyBorder="1" applyAlignment="1" applyProtection="1">
      <alignment vertical="center" wrapText="1"/>
    </xf>
    <xf numFmtId="0" fontId="42" fillId="5" borderId="3" xfId="0" applyFont="1" applyFill="1" applyBorder="1" applyAlignment="1" applyProtection="1">
      <alignment vertical="center" wrapText="1"/>
    </xf>
    <xf numFmtId="0" fontId="42" fillId="5" borderId="20" xfId="0" applyFont="1" applyFill="1" applyBorder="1" applyAlignment="1" applyProtection="1">
      <alignment vertical="center" wrapText="1"/>
    </xf>
    <xf numFmtId="0" fontId="42" fillId="5" borderId="56" xfId="0" applyFont="1" applyFill="1" applyBorder="1" applyAlignment="1" applyProtection="1">
      <alignment vertical="center" wrapText="1"/>
    </xf>
    <xf numFmtId="0" fontId="42" fillId="0" borderId="64" xfId="0" applyFont="1" applyFill="1" applyBorder="1" applyAlignment="1" applyProtection="1">
      <alignment vertical="center" wrapText="1"/>
      <protection locked="0"/>
    </xf>
    <xf numFmtId="0" fontId="42" fillId="0" borderId="68" xfId="0" applyFont="1" applyFill="1" applyBorder="1" applyAlignment="1" applyProtection="1">
      <alignment vertical="center" wrapText="1"/>
      <protection locked="0"/>
    </xf>
    <xf numFmtId="0" fontId="42" fillId="0" borderId="2" xfId="0" applyFont="1" applyFill="1" applyBorder="1" applyAlignment="1" applyProtection="1">
      <alignment vertical="center" wrapText="1"/>
      <protection locked="0"/>
    </xf>
    <xf numFmtId="0" fontId="42" fillId="0" borderId="41" xfId="0" applyFont="1" applyFill="1" applyBorder="1" applyAlignment="1" applyProtection="1">
      <alignment vertical="center" wrapText="1"/>
      <protection locked="0"/>
    </xf>
    <xf numFmtId="0" fontId="42" fillId="0" borderId="35" xfId="0" applyFont="1" applyFill="1" applyBorder="1" applyAlignment="1" applyProtection="1">
      <alignment vertical="center" wrapText="1"/>
      <protection locked="0"/>
    </xf>
    <xf numFmtId="0" fontId="42" fillId="0" borderId="80" xfId="0" applyFont="1" applyFill="1" applyBorder="1" applyAlignment="1" applyProtection="1">
      <alignment vertical="center" wrapText="1"/>
      <protection locked="0"/>
    </xf>
    <xf numFmtId="0" fontId="42" fillId="5" borderId="13" xfId="0" applyFont="1" applyFill="1" applyBorder="1" applyAlignment="1" applyProtection="1">
      <alignment vertical="center"/>
    </xf>
    <xf numFmtId="0" fontId="42" fillId="5" borderId="38" xfId="0" applyFont="1" applyFill="1" applyBorder="1" applyAlignment="1" applyProtection="1">
      <alignment vertical="center"/>
    </xf>
    <xf numFmtId="0" fontId="42" fillId="5" borderId="46" xfId="0" applyFont="1" applyFill="1" applyBorder="1" applyAlignment="1" applyProtection="1">
      <alignment vertical="center"/>
    </xf>
    <xf numFmtId="0" fontId="42" fillId="5" borderId="47" xfId="0" applyFont="1" applyFill="1" applyBorder="1" applyAlignment="1" applyProtection="1">
      <alignment vertical="center"/>
    </xf>
    <xf numFmtId="0" fontId="19" fillId="0" borderId="1" xfId="0" applyFont="1" applyFill="1" applyBorder="1" applyAlignment="1" applyProtection="1">
      <alignment horizontal="center" vertical="center" wrapText="1"/>
    </xf>
    <xf numFmtId="0" fontId="96" fillId="0" borderId="1" xfId="0" applyFont="1" applyBorder="1" applyAlignment="1">
      <alignment horizontal="center" vertical="center" wrapText="1"/>
    </xf>
    <xf numFmtId="179" fontId="41" fillId="5" borderId="22" xfId="0" applyNumberFormat="1" applyFont="1" applyFill="1" applyBorder="1" applyAlignment="1" applyProtection="1">
      <alignment horizontal="left" vertical="center" wrapText="1"/>
      <protection locked="0"/>
    </xf>
    <xf numFmtId="179" fontId="41" fillId="5" borderId="26" xfId="0" applyNumberFormat="1" applyFont="1" applyFill="1" applyBorder="1" applyAlignment="1" applyProtection="1">
      <alignment horizontal="left" vertical="center" wrapText="1"/>
      <protection locked="0"/>
    </xf>
    <xf numFmtId="0" fontId="38" fillId="5" borderId="117" xfId="0" applyFont="1" applyFill="1" applyBorder="1" applyAlignment="1" applyProtection="1">
      <alignment horizontal="left" vertical="center"/>
    </xf>
    <xf numFmtId="0" fontId="38" fillId="5" borderId="112" xfId="0" applyFont="1" applyFill="1" applyBorder="1" applyAlignment="1" applyProtection="1">
      <alignment horizontal="left" vertical="center"/>
    </xf>
    <xf numFmtId="0" fontId="101" fillId="5" borderId="40" xfId="0" applyFont="1" applyFill="1" applyBorder="1" applyAlignment="1" applyProtection="1">
      <alignment horizontal="left" vertical="center" wrapText="1"/>
    </xf>
    <xf numFmtId="0" fontId="101" fillId="5" borderId="40" xfId="0" applyFont="1" applyFill="1" applyBorder="1" applyAlignment="1" applyProtection="1">
      <alignment horizontal="left" vertical="center"/>
    </xf>
    <xf numFmtId="0" fontId="42" fillId="5" borderId="7" xfId="0" applyFont="1" applyFill="1" applyBorder="1" applyAlignment="1" applyProtection="1">
      <alignment horizontal="left" vertical="center" wrapText="1"/>
    </xf>
    <xf numFmtId="0" fontId="42" fillId="5" borderId="1" xfId="0" applyFont="1" applyFill="1" applyBorder="1" applyAlignment="1" applyProtection="1">
      <alignment horizontal="left" vertical="center" wrapText="1"/>
    </xf>
    <xf numFmtId="0" fontId="42" fillId="5" borderId="2" xfId="0" applyFont="1" applyFill="1" applyBorder="1" applyAlignment="1" applyProtection="1">
      <alignment horizontal="left" vertical="center" wrapText="1"/>
    </xf>
    <xf numFmtId="0" fontId="47" fillId="5" borderId="2" xfId="0" applyFont="1" applyFill="1" applyBorder="1" applyAlignment="1" applyProtection="1">
      <alignment horizontal="left" vertical="center" wrapText="1"/>
    </xf>
    <xf numFmtId="0" fontId="47" fillId="5" borderId="41" xfId="0" applyFont="1" applyFill="1" applyBorder="1" applyAlignment="1" applyProtection="1">
      <alignment horizontal="left" vertical="center" wrapText="1"/>
    </xf>
    <xf numFmtId="0" fontId="47" fillId="5" borderId="19" xfId="0" applyFont="1" applyFill="1" applyBorder="1" applyAlignment="1" applyProtection="1">
      <alignment horizontal="left" vertical="center" wrapText="1"/>
    </xf>
    <xf numFmtId="0" fontId="47" fillId="5" borderId="3" xfId="0" applyFont="1" applyFill="1" applyBorder="1" applyAlignment="1" applyProtection="1">
      <alignment horizontal="left" vertical="center" wrapText="1"/>
    </xf>
    <xf numFmtId="0" fontId="47" fillId="5" borderId="52" xfId="0" applyFont="1" applyFill="1" applyBorder="1" applyAlignment="1" applyProtection="1">
      <alignment horizontal="left" vertical="center" wrapText="1"/>
    </xf>
    <xf numFmtId="0" fontId="47" fillId="5" borderId="27" xfId="0" applyFont="1" applyFill="1" applyBorder="1" applyAlignment="1" applyProtection="1">
      <alignment horizontal="left" vertical="center" wrapText="1"/>
    </xf>
    <xf numFmtId="0" fontId="47" fillId="5" borderId="29" xfId="0" applyFont="1" applyFill="1" applyBorder="1" applyAlignment="1" applyProtection="1">
      <alignment horizontal="left" vertical="center" wrapText="1"/>
    </xf>
    <xf numFmtId="0" fontId="47" fillId="5" borderId="70" xfId="0" applyFont="1" applyFill="1" applyBorder="1" applyAlignment="1" applyProtection="1">
      <alignment horizontal="left" vertical="center" wrapText="1"/>
    </xf>
    <xf numFmtId="0" fontId="47" fillId="5" borderId="51" xfId="0" applyFont="1" applyFill="1" applyBorder="1" applyAlignment="1" applyProtection="1">
      <alignment horizontal="left" vertical="center" wrapText="1"/>
    </xf>
    <xf numFmtId="182" fontId="42" fillId="5" borderId="2" xfId="0" applyNumberFormat="1" applyFont="1" applyFill="1" applyBorder="1" applyAlignment="1" applyProtection="1">
      <alignment horizontal="left" vertical="center" wrapText="1"/>
    </xf>
    <xf numFmtId="182" fontId="42" fillId="5" borderId="51" xfId="0" applyNumberFormat="1" applyFont="1" applyFill="1" applyBorder="1" applyAlignment="1" applyProtection="1">
      <alignment horizontal="left" vertical="center" wrapText="1"/>
    </xf>
    <xf numFmtId="182" fontId="42" fillId="5" borderId="41" xfId="0" applyNumberFormat="1" applyFont="1" applyFill="1" applyBorder="1" applyAlignment="1" applyProtection="1">
      <alignment horizontal="left" vertical="center" wrapText="1"/>
    </xf>
    <xf numFmtId="0" fontId="47" fillId="5" borderId="7" xfId="0" applyFont="1" applyFill="1" applyBorder="1" applyAlignment="1" applyProtection="1">
      <alignment horizontal="left" vertical="center" wrapText="1"/>
    </xf>
    <xf numFmtId="0" fontId="47" fillId="5" borderId="1" xfId="0" applyFont="1" applyFill="1" applyBorder="1" applyAlignment="1" applyProtection="1">
      <alignment horizontal="left" vertical="center" wrapText="1"/>
    </xf>
    <xf numFmtId="0" fontId="42" fillId="5" borderId="19" xfId="0" applyFont="1" applyFill="1" applyBorder="1" applyAlignment="1" applyProtection="1">
      <alignment horizontal="left" vertical="center" shrinkToFit="1"/>
    </xf>
    <xf numFmtId="0" fontId="42" fillId="5" borderId="3" xfId="0" applyFont="1" applyFill="1" applyBorder="1" applyAlignment="1" applyProtection="1">
      <alignment horizontal="left" vertical="center" shrinkToFit="1"/>
    </xf>
    <xf numFmtId="0" fontId="47" fillId="5" borderId="118" xfId="0" applyFont="1" applyFill="1" applyBorder="1" applyAlignment="1" applyProtection="1">
      <alignment horizontal="left" vertical="center" wrapText="1"/>
    </xf>
    <xf numFmtId="0" fontId="47" fillId="5" borderId="8" xfId="0" applyFont="1" applyFill="1" applyBorder="1" applyAlignment="1" applyProtection="1">
      <alignment horizontal="left" vertical="center" wrapText="1"/>
    </xf>
    <xf numFmtId="0" fontId="47" fillId="5" borderId="61" xfId="0" applyFont="1" applyFill="1" applyBorder="1" applyAlignment="1" applyProtection="1">
      <alignment horizontal="left" vertical="center" wrapText="1"/>
    </xf>
    <xf numFmtId="0" fontId="47" fillId="0" borderId="19" xfId="0" applyFont="1" applyFill="1" applyBorder="1" applyAlignment="1" applyProtection="1">
      <alignment horizontal="left" vertical="center" shrinkToFit="1"/>
      <protection locked="0"/>
    </xf>
    <xf numFmtId="0" fontId="47" fillId="0" borderId="3" xfId="0" applyFont="1" applyFill="1" applyBorder="1" applyAlignment="1" applyProtection="1">
      <alignment horizontal="left" vertical="center" shrinkToFit="1"/>
      <protection locked="0"/>
    </xf>
    <xf numFmtId="0" fontId="42" fillId="5" borderId="8"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2" fillId="5" borderId="18" xfId="0" applyFont="1" applyFill="1" applyBorder="1" applyAlignment="1" applyProtection="1">
      <alignment horizontal="left" vertical="center" wrapText="1"/>
    </xf>
    <xf numFmtId="0" fontId="42" fillId="5" borderId="17" xfId="0" applyFont="1" applyFill="1" applyBorder="1" applyAlignment="1" applyProtection="1">
      <alignment horizontal="left" vertical="center" wrapText="1"/>
    </xf>
    <xf numFmtId="182" fontId="42" fillId="5" borderId="2" xfId="0" applyNumberFormat="1" applyFont="1" applyFill="1" applyBorder="1" applyAlignment="1" applyProtection="1">
      <alignment horizontal="left" vertical="center" shrinkToFit="1"/>
    </xf>
    <xf numFmtId="182" fontId="42" fillId="5" borderId="41" xfId="0" applyNumberFormat="1" applyFont="1" applyFill="1" applyBorder="1" applyAlignment="1" applyProtection="1">
      <alignment horizontal="left" vertical="center" shrinkToFit="1"/>
    </xf>
    <xf numFmtId="182" fontId="42" fillId="5" borderId="72" xfId="0" applyNumberFormat="1" applyFont="1" applyFill="1" applyBorder="1" applyAlignment="1" applyProtection="1">
      <alignment horizontal="left" vertical="center" wrapText="1"/>
    </xf>
    <xf numFmtId="182" fontId="42" fillId="5" borderId="40" xfId="0" applyNumberFormat="1" applyFont="1" applyFill="1" applyBorder="1" applyAlignment="1" applyProtection="1">
      <alignment horizontal="left" vertical="center" wrapText="1"/>
    </xf>
    <xf numFmtId="182" fontId="42" fillId="5" borderId="30" xfId="0" applyNumberFormat="1" applyFont="1" applyFill="1" applyBorder="1" applyAlignment="1" applyProtection="1">
      <alignment horizontal="left" vertical="center" wrapText="1"/>
    </xf>
    <xf numFmtId="0" fontId="39" fillId="5" borderId="1" xfId="0" applyFont="1" applyFill="1" applyBorder="1" applyAlignment="1" applyProtection="1">
      <alignment horizontal="left" vertical="center" wrapText="1"/>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10" fontId="42" fillId="5" borderId="41" xfId="0" applyNumberFormat="1" applyFont="1" applyFill="1" applyBorder="1" applyAlignment="1" applyProtection="1">
      <alignment horizontal="left" vertical="center" wrapText="1"/>
    </xf>
    <xf numFmtId="0" fontId="47" fillId="5" borderId="46" xfId="0" applyFont="1" applyFill="1" applyBorder="1" applyAlignment="1" applyProtection="1">
      <alignment horizontal="left" vertical="center" wrapText="1"/>
    </xf>
    <xf numFmtId="0" fontId="47" fillId="5" borderId="47" xfId="0" applyFont="1" applyFill="1" applyBorder="1" applyAlignment="1" applyProtection="1">
      <alignment horizontal="left" vertical="center" wrapText="1"/>
    </xf>
    <xf numFmtId="0" fontId="47" fillId="5" borderId="38"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39" fillId="0" borderId="18" xfId="0" applyFont="1" applyBorder="1" applyAlignment="1" applyProtection="1">
      <alignment horizontal="left" vertical="center"/>
      <protection locked="0"/>
    </xf>
    <xf numFmtId="0" fontId="39" fillId="0" borderId="17" xfId="0" applyFont="1" applyBorder="1" applyAlignment="1" applyProtection="1">
      <alignment horizontal="left" vertical="center"/>
      <protection locked="0"/>
    </xf>
    <xf numFmtId="0" fontId="41" fillId="5" borderId="22" xfId="0" applyFont="1" applyFill="1" applyBorder="1" applyAlignment="1" applyProtection="1">
      <alignment horizontal="left" vertical="center" wrapText="1"/>
    </xf>
    <xf numFmtId="0" fontId="41" fillId="5" borderId="26" xfId="0" applyFont="1" applyFill="1" applyBorder="1" applyAlignment="1" applyProtection="1">
      <alignment horizontal="left" vertical="center" wrapText="1"/>
    </xf>
    <xf numFmtId="0" fontId="41" fillId="5" borderId="42" xfId="0" applyFont="1" applyFill="1" applyBorder="1" applyAlignment="1" applyProtection="1">
      <alignment horizontal="left" vertical="center" wrapText="1"/>
    </xf>
    <xf numFmtId="0" fontId="42" fillId="5" borderId="16" xfId="0" applyFont="1" applyFill="1" applyBorder="1" applyAlignment="1" applyProtection="1">
      <alignment horizontal="left" vertical="center" wrapText="1"/>
    </xf>
    <xf numFmtId="0" fontId="47" fillId="5" borderId="35" xfId="0" applyFont="1" applyFill="1" applyBorder="1" applyAlignment="1" applyProtection="1">
      <alignment horizontal="left" vertical="center" wrapText="1"/>
    </xf>
    <xf numFmtId="0" fontId="47" fillId="5" borderId="36" xfId="0" applyFont="1" applyFill="1" applyBorder="1" applyAlignment="1" applyProtection="1">
      <alignment horizontal="left" vertical="center" wrapText="1"/>
    </xf>
    <xf numFmtId="0" fontId="47" fillId="5" borderId="40" xfId="0" applyFont="1" applyFill="1" applyBorder="1" applyAlignment="1" applyProtection="1">
      <alignment horizontal="center" vertical="center"/>
    </xf>
    <xf numFmtId="0" fontId="143" fillId="5" borderId="60" xfId="0" applyFont="1" applyFill="1" applyBorder="1" applyAlignment="1" applyProtection="1">
      <alignment horizontal="left" vertical="center" wrapText="1"/>
    </xf>
    <xf numFmtId="0" fontId="143" fillId="5" borderId="0" xfId="0" applyFont="1" applyFill="1" applyAlignment="1" applyProtection="1">
      <alignment horizontal="left" vertical="center" wrapText="1"/>
    </xf>
    <xf numFmtId="0" fontId="223" fillId="5" borderId="0" xfId="0" applyFont="1" applyFill="1" applyAlignment="1" applyProtection="1">
      <alignment horizontal="center" vertical="center"/>
    </xf>
    <xf numFmtId="0" fontId="42" fillId="5" borderId="41" xfId="0" applyFont="1" applyFill="1" applyBorder="1" applyAlignment="1" applyProtection="1">
      <alignment horizontal="left" vertical="center" wrapText="1"/>
    </xf>
    <xf numFmtId="0" fontId="39" fillId="0" borderId="1" xfId="0" applyFont="1" applyBorder="1" applyAlignment="1" applyProtection="1">
      <alignment horizontal="left" vertical="center"/>
      <protection locked="0"/>
    </xf>
    <xf numFmtId="0" fontId="42" fillId="5" borderId="63" xfId="0" applyFont="1" applyFill="1" applyBorder="1" applyAlignment="1" applyProtection="1">
      <alignment horizontal="center" vertical="center"/>
    </xf>
    <xf numFmtId="0" fontId="42" fillId="5" borderId="65" xfId="0" applyFont="1" applyFill="1" applyBorder="1" applyAlignment="1" applyProtection="1">
      <alignment horizontal="center" vertical="center"/>
    </xf>
    <xf numFmtId="0" fontId="39" fillId="0" borderId="49" xfId="0" applyFont="1" applyBorder="1" applyAlignment="1" applyProtection="1">
      <alignment horizontal="left" vertical="center"/>
      <protection locked="0"/>
    </xf>
    <xf numFmtId="0" fontId="49" fillId="5" borderId="4" xfId="0" applyFont="1" applyFill="1" applyBorder="1" applyAlignment="1" applyProtection="1">
      <alignment horizontal="left" vertical="center" wrapText="1"/>
    </xf>
    <xf numFmtId="0" fontId="49" fillId="5" borderId="11" xfId="0" applyFont="1" applyFill="1" applyBorder="1" applyAlignment="1" applyProtection="1">
      <alignment horizontal="left" vertical="center" wrapText="1"/>
    </xf>
    <xf numFmtId="0" fontId="41" fillId="5" borderId="23" xfId="0" applyFont="1" applyFill="1" applyBorder="1" applyAlignment="1" applyProtection="1">
      <alignment horizontal="left" vertical="center" wrapText="1"/>
    </xf>
    <xf numFmtId="0" fontId="49" fillId="5" borderId="39" xfId="0" applyFont="1" applyFill="1" applyBorder="1" applyAlignment="1" applyProtection="1">
      <alignment horizontal="center" vertical="center" wrapText="1"/>
    </xf>
    <xf numFmtId="0" fontId="49" fillId="5" borderId="0" xfId="0" applyFont="1" applyFill="1" applyBorder="1" applyAlignment="1" applyProtection="1">
      <alignment horizontal="center" vertical="center" wrapText="1"/>
    </xf>
    <xf numFmtId="182" fontId="42" fillId="5" borderId="118" xfId="0" applyNumberFormat="1" applyFont="1" applyFill="1" applyBorder="1" applyAlignment="1" applyProtection="1">
      <alignment horizontal="left" vertical="center" wrapText="1"/>
    </xf>
    <xf numFmtId="0" fontId="129" fillId="5" borderId="0" xfId="0" applyFont="1" applyFill="1" applyBorder="1" applyAlignment="1" applyProtection="1">
      <alignment horizontal="center" vertical="center" shrinkToFit="1"/>
    </xf>
    <xf numFmtId="0" fontId="41" fillId="5" borderId="46" xfId="0" applyFont="1" applyFill="1" applyBorder="1" applyAlignment="1" applyProtection="1">
      <alignment horizontal="center" vertical="center"/>
    </xf>
    <xf numFmtId="0" fontId="41" fillId="5" borderId="47" xfId="0" applyFont="1" applyFill="1" applyBorder="1" applyAlignment="1" applyProtection="1">
      <alignment horizontal="center" vertical="center"/>
    </xf>
    <xf numFmtId="0" fontId="108" fillId="8" borderId="18" xfId="0" applyFont="1" applyFill="1" applyBorder="1" applyAlignment="1" applyProtection="1">
      <alignment horizontal="left" vertical="center" wrapText="1"/>
    </xf>
    <xf numFmtId="0" fontId="108" fillId="8" borderId="17" xfId="0" applyFont="1" applyFill="1" applyBorder="1" applyAlignment="1" applyProtection="1">
      <alignment horizontal="left" vertical="center" wrapText="1"/>
    </xf>
    <xf numFmtId="0" fontId="108" fillId="8" borderId="1" xfId="0" applyFont="1" applyFill="1" applyBorder="1" applyAlignment="1" applyProtection="1">
      <alignment horizontal="left" vertical="center" wrapText="1"/>
    </xf>
    <xf numFmtId="182" fontId="42" fillId="5" borderId="3" xfId="0" applyNumberFormat="1" applyFont="1" applyFill="1" applyBorder="1" applyAlignment="1" applyProtection="1">
      <alignment horizontal="left" vertical="center" shrinkToFit="1"/>
    </xf>
    <xf numFmtId="0" fontId="42" fillId="5" borderId="19" xfId="0" applyFont="1" applyFill="1" applyBorder="1" applyAlignment="1" applyProtection="1">
      <alignment horizontal="left" vertical="center" wrapText="1"/>
    </xf>
    <xf numFmtId="0" fontId="101" fillId="5" borderId="7" xfId="0" applyFont="1" applyFill="1" applyBorder="1" applyAlignment="1" applyProtection="1">
      <alignment horizontal="left" vertical="center" wrapText="1"/>
    </xf>
    <xf numFmtId="0" fontId="101" fillId="5" borderId="8" xfId="0" applyFont="1" applyFill="1" applyBorder="1" applyAlignment="1" applyProtection="1">
      <alignment horizontal="left" vertical="center" wrapText="1"/>
    </xf>
    <xf numFmtId="0" fontId="101" fillId="5" borderId="1" xfId="0" applyFont="1" applyFill="1" applyBorder="1" applyAlignment="1" applyProtection="1">
      <alignment horizontal="left" vertical="center" shrinkToFit="1"/>
    </xf>
    <xf numFmtId="0" fontId="101" fillId="5" borderId="6" xfId="0" applyFont="1" applyFill="1" applyBorder="1" applyAlignment="1" applyProtection="1">
      <alignment horizontal="left" vertical="center" shrinkToFit="1"/>
    </xf>
    <xf numFmtId="0" fontId="101" fillId="5" borderId="1" xfId="0" applyFont="1" applyFill="1" applyBorder="1" applyAlignment="1" applyProtection="1">
      <alignment horizontal="left" vertical="center" wrapText="1"/>
    </xf>
    <xf numFmtId="0" fontId="101" fillId="5" borderId="6" xfId="0" applyFont="1" applyFill="1" applyBorder="1" applyAlignment="1" applyProtection="1">
      <alignment horizontal="left" vertical="center" wrapText="1"/>
    </xf>
    <xf numFmtId="0" fontId="47" fillId="0" borderId="7" xfId="0" applyFont="1" applyFill="1" applyBorder="1" applyAlignment="1" applyProtection="1">
      <alignment horizontal="left" vertical="center" shrinkToFit="1"/>
      <protection locked="0"/>
    </xf>
    <xf numFmtId="0" fontId="47" fillId="0" borderId="1" xfId="0" applyFont="1" applyFill="1" applyBorder="1" applyAlignment="1" applyProtection="1">
      <alignment horizontal="left" vertical="center" shrinkToFit="1"/>
      <protection locked="0"/>
    </xf>
    <xf numFmtId="0" fontId="41" fillId="5" borderId="46" xfId="0" applyFont="1" applyFill="1" applyBorder="1" applyAlignment="1" applyProtection="1">
      <alignment horizontal="center" vertical="center" wrapText="1"/>
    </xf>
    <xf numFmtId="0" fontId="41" fillId="5" borderId="47" xfId="0" applyFont="1" applyFill="1" applyBorder="1" applyAlignment="1" applyProtection="1">
      <alignment horizontal="center" vertical="center" wrapText="1"/>
    </xf>
    <xf numFmtId="0" fontId="41" fillId="5" borderId="38" xfId="0" applyFont="1" applyFill="1" applyBorder="1" applyAlignment="1" applyProtection="1">
      <alignment horizontal="center" vertical="center" wrapText="1"/>
    </xf>
    <xf numFmtId="0" fontId="197" fillId="8" borderId="2" xfId="0" applyFont="1" applyFill="1" applyBorder="1" applyAlignment="1" applyProtection="1">
      <alignment horizontal="left" vertical="center"/>
    </xf>
    <xf numFmtId="0" fontId="197" fillId="8" borderId="51" xfId="0" applyFont="1" applyFill="1" applyBorder="1" applyAlignment="1" applyProtection="1">
      <alignment horizontal="left" vertical="center"/>
    </xf>
    <xf numFmtId="0" fontId="247" fillId="5" borderId="1" xfId="0" applyFont="1" applyFill="1" applyBorder="1" applyAlignment="1" applyProtection="1">
      <alignment horizontal="left" vertical="center" wrapText="1"/>
    </xf>
    <xf numFmtId="0" fontId="42" fillId="5" borderId="6" xfId="0" applyFont="1" applyFill="1" applyBorder="1" applyAlignment="1" applyProtection="1">
      <alignment horizontal="left" vertical="center" wrapText="1"/>
    </xf>
    <xf numFmtId="0" fontId="42" fillId="6" borderId="2" xfId="0" applyFont="1" applyFill="1" applyBorder="1" applyAlignment="1" applyProtection="1">
      <alignment horizontal="left" vertical="center" wrapText="1"/>
      <protection locked="0"/>
    </xf>
    <xf numFmtId="0" fontId="42" fillId="6" borderId="3" xfId="0" applyFont="1" applyFill="1" applyBorder="1" applyAlignment="1" applyProtection="1">
      <alignment horizontal="left" vertical="center" wrapText="1"/>
      <protection locked="0"/>
    </xf>
    <xf numFmtId="0" fontId="40" fillId="5" borderId="4" xfId="0" applyFont="1" applyFill="1" applyBorder="1" applyAlignment="1" applyProtection="1">
      <alignment horizontal="center" vertical="center" wrapText="1"/>
    </xf>
    <xf numFmtId="0" fontId="40" fillId="5" borderId="11" xfId="0" applyFont="1" applyFill="1" applyBorder="1" applyAlignment="1" applyProtection="1">
      <alignment horizontal="center" vertical="center" wrapText="1"/>
    </xf>
    <xf numFmtId="0" fontId="40" fillId="5" borderId="31" xfId="0" applyFont="1" applyFill="1" applyBorder="1" applyAlignment="1" applyProtection="1">
      <alignment horizontal="center" vertical="center" wrapText="1"/>
    </xf>
    <xf numFmtId="0" fontId="104" fillId="5" borderId="119" xfId="0" applyFont="1" applyFill="1" applyBorder="1" applyAlignment="1" applyProtection="1">
      <alignment vertical="center" wrapText="1"/>
    </xf>
    <xf numFmtId="0" fontId="104" fillId="5" borderId="120" xfId="0" applyFont="1" applyFill="1" applyBorder="1" applyAlignment="1" applyProtection="1">
      <alignment vertical="center" wrapText="1"/>
    </xf>
    <xf numFmtId="10" fontId="75" fillId="5" borderId="1" xfId="0" applyNumberFormat="1" applyFont="1" applyFill="1" applyBorder="1" applyAlignment="1" applyProtection="1">
      <alignment horizontal="left" vertical="center" wrapText="1"/>
    </xf>
    <xf numFmtId="0" fontId="197" fillId="8" borderId="3" xfId="0" applyFont="1" applyFill="1" applyBorder="1" applyAlignment="1" applyProtection="1">
      <alignment horizontal="left" vertical="center"/>
    </xf>
    <xf numFmtId="0" fontId="42" fillId="5" borderId="58" xfId="0" applyFont="1" applyFill="1" applyBorder="1" applyAlignment="1" applyProtection="1">
      <alignment horizontal="left" vertical="center"/>
    </xf>
    <xf numFmtId="0" fontId="42" fillId="5" borderId="50" xfId="0" applyFont="1" applyFill="1" applyBorder="1" applyAlignment="1" applyProtection="1">
      <alignment horizontal="left" vertical="center"/>
    </xf>
    <xf numFmtId="0" fontId="42" fillId="5" borderId="34" xfId="0" applyFont="1" applyFill="1" applyBorder="1" applyAlignment="1" applyProtection="1">
      <alignment horizontal="left" vertical="center"/>
    </xf>
    <xf numFmtId="0" fontId="47" fillId="5" borderId="80" xfId="0" applyFont="1" applyFill="1" applyBorder="1" applyAlignment="1" applyProtection="1">
      <alignment horizontal="left" vertical="center" wrapText="1"/>
    </xf>
    <xf numFmtId="0" fontId="40" fillId="5" borderId="0" xfId="0" applyFont="1" applyFill="1" applyBorder="1" applyAlignment="1" applyProtection="1">
      <alignment horizontal="center" vertical="center" wrapText="1"/>
    </xf>
    <xf numFmtId="0" fontId="116" fillId="8" borderId="1" xfId="0" applyFont="1" applyFill="1" applyBorder="1" applyAlignment="1" applyProtection="1">
      <alignment horizontal="center" vertical="center" wrapText="1"/>
    </xf>
    <xf numFmtId="0" fontId="116" fillId="8" borderId="1" xfId="0" applyFont="1" applyFill="1" applyBorder="1" applyAlignment="1" applyProtection="1">
      <alignment horizontal="left" vertical="center" wrapText="1"/>
    </xf>
    <xf numFmtId="0" fontId="245" fillId="8" borderId="1" xfId="0" applyFont="1" applyFill="1" applyBorder="1" applyAlignment="1" applyProtection="1">
      <alignment horizontal="left" vertical="center" wrapText="1"/>
    </xf>
    <xf numFmtId="192" fontId="245" fillId="8" borderId="1" xfId="0" applyNumberFormat="1" applyFont="1" applyFill="1" applyBorder="1" applyAlignment="1" applyProtection="1">
      <alignment horizontal="left" vertical="center" wrapText="1"/>
    </xf>
    <xf numFmtId="0" fontId="47" fillId="5" borderId="63" xfId="0" applyFont="1" applyFill="1" applyBorder="1" applyAlignment="1" applyProtection="1">
      <alignment horizontal="left" vertical="center" wrapText="1"/>
    </xf>
    <xf numFmtId="0" fontId="47" fillId="5" borderId="24" xfId="0" applyFont="1" applyFill="1" applyBorder="1" applyAlignment="1" applyProtection="1">
      <alignment horizontal="left" vertical="center" wrapText="1"/>
    </xf>
    <xf numFmtId="0" fontId="101" fillId="5" borderId="23" xfId="0" applyFont="1" applyFill="1" applyBorder="1" applyAlignment="1" applyProtection="1">
      <alignment horizontal="left" vertical="center" wrapText="1"/>
    </xf>
    <xf numFmtId="0" fontId="226" fillId="5" borderId="121" xfId="0" applyFont="1" applyFill="1" applyBorder="1" applyAlignment="1" applyProtection="1">
      <alignment horizontal="left" vertical="center"/>
    </xf>
    <xf numFmtId="0" fontId="101" fillId="5" borderId="0" xfId="0" applyFont="1" applyFill="1" applyBorder="1" applyAlignment="1" applyProtection="1">
      <alignment horizontal="left" vertical="center"/>
    </xf>
    <xf numFmtId="0" fontId="41" fillId="5" borderId="63" xfId="0" applyFont="1" applyFill="1" applyBorder="1" applyAlignment="1" applyProtection="1">
      <alignment horizontal="center" vertical="center" wrapText="1"/>
    </xf>
    <xf numFmtId="0" fontId="41" fillId="5" borderId="65" xfId="0" applyFont="1" applyFill="1" applyBorder="1" applyAlignment="1" applyProtection="1">
      <alignment horizontal="center" vertical="center" wrapText="1"/>
    </xf>
    <xf numFmtId="0" fontId="41" fillId="5" borderId="68" xfId="0" applyFont="1" applyFill="1" applyBorder="1" applyAlignment="1" applyProtection="1">
      <alignment horizontal="center" vertical="center" wrapText="1"/>
    </xf>
    <xf numFmtId="0" fontId="101" fillId="0" borderId="7" xfId="0" applyFont="1" applyFill="1" applyBorder="1" applyAlignment="1" applyProtection="1">
      <alignment horizontal="left" vertical="center" wrapText="1"/>
      <protection locked="0"/>
    </xf>
    <xf numFmtId="0" fontId="47" fillId="0" borderId="19" xfId="0" applyFont="1" applyFill="1" applyBorder="1" applyAlignment="1" applyProtection="1">
      <alignment horizontal="left" vertical="center" wrapText="1"/>
      <protection locked="0"/>
    </xf>
    <xf numFmtId="0" fontId="47" fillId="0" borderId="3" xfId="0" applyFont="1" applyFill="1" applyBorder="1" applyAlignment="1" applyProtection="1">
      <alignment horizontal="left" vertical="center" wrapText="1"/>
      <protection locked="0"/>
    </xf>
    <xf numFmtId="0" fontId="41" fillId="5" borderId="4" xfId="0" applyFont="1" applyFill="1" applyBorder="1" applyAlignment="1" applyProtection="1">
      <alignment horizontal="center" vertical="center" wrapText="1"/>
    </xf>
    <xf numFmtId="0" fontId="41" fillId="5" borderId="11" xfId="0" applyFont="1" applyFill="1" applyBorder="1" applyAlignment="1" applyProtection="1">
      <alignment horizontal="center" vertical="center" wrapText="1"/>
    </xf>
    <xf numFmtId="0" fontId="41" fillId="5" borderId="31" xfId="0" applyFont="1" applyFill="1" applyBorder="1" applyAlignment="1" applyProtection="1">
      <alignment horizontal="center" vertical="center" wrapText="1"/>
    </xf>
    <xf numFmtId="0" fontId="49" fillId="5" borderId="39" xfId="0" applyFont="1" applyFill="1" applyBorder="1" applyAlignment="1" applyProtection="1">
      <alignment horizontal="left" vertical="center" wrapText="1"/>
    </xf>
    <xf numFmtId="0" fontId="49" fillId="5" borderId="0" xfId="0" applyFont="1" applyFill="1" applyBorder="1" applyAlignment="1" applyProtection="1">
      <alignment horizontal="left" vertical="center" wrapText="1"/>
    </xf>
    <xf numFmtId="10" fontId="42" fillId="5" borderId="1" xfId="0" applyNumberFormat="1" applyFont="1" applyFill="1" applyBorder="1" applyAlignment="1" applyProtection="1">
      <alignment horizontal="left" vertical="center" wrapText="1"/>
    </xf>
    <xf numFmtId="0" fontId="101" fillId="8" borderId="18" xfId="0" applyFont="1" applyFill="1" applyBorder="1" applyAlignment="1" applyProtection="1">
      <alignment horizontal="left" vertical="center" wrapText="1"/>
    </xf>
    <xf numFmtId="0" fontId="101" fillId="8" borderId="17" xfId="0" applyFont="1" applyFill="1" applyBorder="1" applyAlignment="1" applyProtection="1">
      <alignment horizontal="left" vertical="center" wrapText="1"/>
    </xf>
    <xf numFmtId="0" fontId="101" fillId="8" borderId="1" xfId="0" applyFont="1" applyFill="1" applyBorder="1" applyAlignment="1" applyProtection="1">
      <alignment horizontal="left" vertical="center" wrapText="1"/>
    </xf>
    <xf numFmtId="0" fontId="47" fillId="5" borderId="40" xfId="0" applyFont="1" applyFill="1" applyBorder="1" applyAlignment="1" applyProtection="1">
      <alignment horizontal="left" vertical="center"/>
    </xf>
    <xf numFmtId="0" fontId="42" fillId="8" borderId="2" xfId="0" applyFont="1" applyFill="1" applyBorder="1" applyAlignment="1" applyProtection="1">
      <alignment horizontal="left" vertical="center"/>
    </xf>
    <xf numFmtId="0" fontId="42" fillId="8" borderId="51" xfId="0" applyFont="1" applyFill="1" applyBorder="1" applyAlignment="1" applyProtection="1">
      <alignment horizontal="left" vertical="center"/>
    </xf>
    <xf numFmtId="0" fontId="102" fillId="8" borderId="1" xfId="0" applyFont="1" applyFill="1" applyBorder="1" applyAlignment="1" applyProtection="1">
      <alignment horizontal="left" vertical="center" wrapText="1"/>
    </xf>
    <xf numFmtId="0" fontId="134" fillId="8" borderId="1" xfId="0" applyFont="1" applyFill="1" applyBorder="1" applyAlignment="1" applyProtection="1">
      <alignment horizontal="left" vertical="center" wrapText="1"/>
    </xf>
    <xf numFmtId="0" fontId="42" fillId="8" borderId="3" xfId="0" applyFont="1" applyFill="1" applyBorder="1" applyAlignment="1" applyProtection="1">
      <alignment horizontal="left" vertical="center"/>
    </xf>
    <xf numFmtId="0" fontId="226" fillId="5" borderId="0" xfId="0" applyFont="1" applyFill="1" applyAlignment="1" applyProtection="1">
      <alignment horizontal="center" vertical="center"/>
    </xf>
    <xf numFmtId="0" fontId="172" fillId="5" borderId="1" xfId="0" applyFont="1" applyFill="1" applyBorder="1" applyAlignment="1" applyProtection="1">
      <alignment horizontal="left" vertical="center" wrapText="1"/>
    </xf>
    <xf numFmtId="0" fontId="102" fillId="8" borderId="1" xfId="0" applyFont="1" applyFill="1" applyBorder="1" applyAlignment="1" applyProtection="1">
      <alignment horizontal="center" vertical="center" wrapText="1"/>
    </xf>
    <xf numFmtId="0" fontId="134" fillId="0" borderId="1" xfId="0" applyFont="1" applyFill="1" applyBorder="1" applyAlignment="1" applyProtection="1">
      <alignment horizontal="left" vertical="center" wrapText="1"/>
    </xf>
    <xf numFmtId="192" fontId="134" fillId="8" borderId="1" xfId="0" applyNumberFormat="1" applyFont="1" applyFill="1" applyBorder="1" applyAlignment="1" applyProtection="1">
      <alignment horizontal="left" vertical="center" wrapText="1"/>
    </xf>
    <xf numFmtId="0" fontId="48" fillId="5" borderId="58" xfId="0" applyFont="1" applyFill="1" applyBorder="1" applyAlignment="1" applyProtection="1">
      <alignment horizontal="left" vertical="center"/>
    </xf>
    <xf numFmtId="0" fontId="48" fillId="5" borderId="50" xfId="0" applyFont="1" applyFill="1" applyBorder="1" applyAlignment="1" applyProtection="1">
      <alignment horizontal="left" vertical="center"/>
    </xf>
    <xf numFmtId="0" fontId="48" fillId="5" borderId="34" xfId="0" applyFont="1" applyFill="1" applyBorder="1" applyAlignment="1" applyProtection="1">
      <alignment horizontal="left" vertical="center"/>
    </xf>
    <xf numFmtId="0" fontId="48" fillId="5" borderId="51" xfId="6" applyFont="1" applyFill="1" applyBorder="1" applyAlignment="1" applyProtection="1">
      <alignment horizontal="left" vertical="center" wrapText="1"/>
      <protection locked="0"/>
    </xf>
    <xf numFmtId="0" fontId="48" fillId="5" borderId="3" xfId="6" applyFont="1" applyFill="1" applyBorder="1" applyAlignment="1" applyProtection="1">
      <alignment horizontal="left" vertical="center" wrapText="1"/>
      <protection locked="0"/>
    </xf>
    <xf numFmtId="0" fontId="52" fillId="5" borderId="2" xfId="0" applyFont="1" applyFill="1" applyBorder="1" applyAlignment="1" applyProtection="1">
      <alignment horizontal="left" vertical="center" wrapText="1"/>
    </xf>
    <xf numFmtId="0" fontId="52" fillId="5" borderId="51" xfId="0" applyFont="1" applyFill="1" applyBorder="1" applyAlignment="1" applyProtection="1">
      <alignment horizontal="left" vertical="center" wrapText="1"/>
    </xf>
    <xf numFmtId="0" fontId="52" fillId="5" borderId="0" xfId="0" applyFont="1" applyFill="1" applyBorder="1" applyAlignment="1" applyProtection="1">
      <alignment horizontal="left" vertical="center" wrapText="1"/>
    </xf>
    <xf numFmtId="0" fontId="52" fillId="5" borderId="27" xfId="0" applyFont="1" applyFill="1" applyBorder="1" applyAlignment="1" applyProtection="1">
      <alignment horizontal="left" vertical="center" wrapText="1"/>
    </xf>
    <xf numFmtId="0" fontId="48" fillId="5" borderId="22" xfId="0" applyFont="1" applyFill="1" applyBorder="1" applyAlignment="1" applyProtection="1">
      <alignment horizontal="left" vertical="center" wrapText="1"/>
    </xf>
    <xf numFmtId="0" fontId="48" fillId="5" borderId="26" xfId="0" applyFont="1" applyFill="1" applyBorder="1" applyAlignment="1" applyProtection="1">
      <alignment horizontal="left" vertical="center" wrapText="1"/>
    </xf>
    <xf numFmtId="0" fontId="98" fillId="5" borderId="39" xfId="0" applyFont="1" applyFill="1" applyBorder="1" applyAlignment="1" applyProtection="1">
      <alignment horizontal="left" vertical="center" wrapText="1"/>
    </xf>
    <xf numFmtId="0" fontId="98" fillId="5" borderId="42" xfId="0" applyFont="1" applyFill="1" applyBorder="1" applyAlignment="1" applyProtection="1">
      <alignment horizontal="left" vertical="center" wrapText="1"/>
    </xf>
    <xf numFmtId="0" fontId="48" fillId="5" borderId="5" xfId="0" applyFont="1" applyFill="1" applyBorder="1" applyAlignment="1" applyProtection="1">
      <alignment horizontal="left" vertical="center" wrapText="1"/>
    </xf>
    <xf numFmtId="0" fontId="48" fillId="5" borderId="39" xfId="0" applyFont="1" applyFill="1" applyBorder="1" applyAlignment="1" applyProtection="1">
      <alignment horizontal="left" vertical="center" wrapText="1"/>
    </xf>
    <xf numFmtId="0" fontId="102" fillId="5" borderId="0" xfId="0" applyFont="1" applyFill="1" applyAlignment="1" applyProtection="1">
      <alignment horizontal="left" vertical="center"/>
    </xf>
    <xf numFmtId="0" fontId="101" fillId="0" borderId="0" xfId="0" applyFont="1" applyAlignment="1" applyProtection="1">
      <alignment horizontal="left" vertical="center"/>
    </xf>
    <xf numFmtId="0" fontId="101" fillId="5" borderId="1" xfId="0" applyFont="1" applyFill="1" applyBorder="1" applyAlignment="1" applyProtection="1">
      <alignment horizontal="left" vertical="center"/>
    </xf>
    <xf numFmtId="0" fontId="101" fillId="5" borderId="18" xfId="0" applyFont="1" applyFill="1" applyBorder="1" applyAlignment="1" applyProtection="1">
      <alignment horizontal="left" vertical="center"/>
    </xf>
    <xf numFmtId="0" fontId="101" fillId="5" borderId="49" xfId="0" applyFont="1" applyFill="1" applyBorder="1" applyAlignment="1" applyProtection="1">
      <alignment horizontal="left" vertical="center"/>
    </xf>
    <xf numFmtId="0" fontId="101" fillId="5" borderId="17" xfId="0" applyFont="1" applyFill="1" applyBorder="1" applyAlignment="1" applyProtection="1">
      <alignment horizontal="left" vertical="center"/>
    </xf>
    <xf numFmtId="0" fontId="101" fillId="5" borderId="18" xfId="0" applyFont="1" applyFill="1" applyBorder="1" applyAlignment="1" applyProtection="1">
      <alignment horizontal="left" vertical="center" wrapText="1"/>
    </xf>
    <xf numFmtId="0" fontId="101" fillId="5" borderId="17" xfId="0" applyFont="1" applyFill="1" applyBorder="1" applyAlignment="1" applyProtection="1">
      <alignment horizontal="left" vertical="center" wrapText="1"/>
    </xf>
    <xf numFmtId="0" fontId="239" fillId="5" borderId="18" xfId="0" applyFont="1" applyFill="1" applyBorder="1" applyAlignment="1" applyProtection="1">
      <alignment horizontal="left" vertical="center" wrapText="1"/>
    </xf>
    <xf numFmtId="0" fontId="239" fillId="5" borderId="49" xfId="0" applyFont="1" applyFill="1" applyBorder="1" applyAlignment="1" applyProtection="1">
      <alignment horizontal="left" vertical="center" wrapText="1"/>
    </xf>
    <xf numFmtId="0" fontId="239" fillId="5" borderId="17" xfId="0" applyFont="1" applyFill="1" applyBorder="1" applyAlignment="1" applyProtection="1">
      <alignment horizontal="left" vertical="center" wrapText="1"/>
    </xf>
    <xf numFmtId="0" fontId="48" fillId="5" borderId="12" xfId="0" applyFont="1" applyFill="1" applyBorder="1" applyAlignment="1" applyProtection="1">
      <alignment horizontal="left" vertical="center" wrapText="1"/>
    </xf>
    <xf numFmtId="0" fontId="48" fillId="5" borderId="21" xfId="0" applyFont="1" applyFill="1" applyBorder="1" applyAlignment="1" applyProtection="1">
      <alignment horizontal="left" vertical="center" wrapText="1"/>
    </xf>
    <xf numFmtId="0" fontId="117" fillId="5" borderId="14" xfId="0" applyFont="1" applyFill="1" applyBorder="1" applyAlignment="1" applyProtection="1">
      <alignment horizontal="left" vertical="center" wrapText="1"/>
    </xf>
    <xf numFmtId="0" fontId="117" fillId="5" borderId="81" xfId="0" applyFont="1" applyFill="1" applyBorder="1" applyAlignment="1" applyProtection="1">
      <alignment horizontal="left" vertical="center" wrapText="1"/>
    </xf>
    <xf numFmtId="0" fontId="147" fillId="11" borderId="2" xfId="0" applyFont="1" applyFill="1" applyBorder="1" applyAlignment="1">
      <alignment horizontal="left" vertical="center"/>
    </xf>
    <xf numFmtId="0" fontId="147" fillId="11" borderId="51" xfId="0" applyFont="1" applyFill="1" applyBorder="1" applyAlignment="1">
      <alignment horizontal="left" vertical="center"/>
    </xf>
    <xf numFmtId="0" fontId="147" fillId="11" borderId="3" xfId="0" applyFont="1" applyFill="1" applyBorder="1" applyAlignment="1">
      <alignment horizontal="left" vertical="center"/>
    </xf>
    <xf numFmtId="0" fontId="136" fillId="11" borderId="1" xfId="0" applyFont="1" applyFill="1" applyBorder="1" applyAlignment="1">
      <alignment horizontal="center" vertical="center"/>
    </xf>
    <xf numFmtId="0" fontId="16" fillId="0" borderId="1" xfId="0" applyFont="1" applyBorder="1" applyAlignment="1">
      <alignment horizontal="center"/>
    </xf>
    <xf numFmtId="0" fontId="16" fillId="0" borderId="1" xfId="0" applyFont="1" applyBorder="1" applyAlignment="1"/>
    <xf numFmtId="0" fontId="136" fillId="5" borderId="7" xfId="0" applyFont="1" applyFill="1" applyBorder="1" applyAlignment="1">
      <alignment horizontal="left" vertical="center" wrapText="1"/>
    </xf>
    <xf numFmtId="0" fontId="16" fillId="0" borderId="1" xfId="0" applyFont="1" applyFill="1" applyBorder="1" applyAlignment="1">
      <alignment horizontal="center" vertical="center"/>
    </xf>
    <xf numFmtId="0" fontId="136" fillId="0" borderId="1" xfId="0" applyFont="1" applyFill="1" applyBorder="1" applyAlignment="1">
      <alignment horizontal="center" vertical="center"/>
    </xf>
    <xf numFmtId="0" fontId="136" fillId="5" borderId="1" xfId="0" applyFont="1" applyFill="1" applyBorder="1" applyAlignment="1">
      <alignment horizontal="left" vertical="center" wrapText="1"/>
    </xf>
    <xf numFmtId="0" fontId="147" fillId="5" borderId="52" xfId="0" applyFont="1" applyFill="1" applyBorder="1" applyAlignment="1">
      <alignment vertical="center"/>
    </xf>
    <xf numFmtId="0" fontId="147" fillId="5" borderId="36" xfId="0" applyFont="1" applyFill="1" applyBorder="1" applyAlignment="1">
      <alignment vertical="center"/>
    </xf>
    <xf numFmtId="0" fontId="147" fillId="5" borderId="27" xfId="0" applyFont="1" applyFill="1" applyBorder="1" applyAlignment="1">
      <alignment vertical="center"/>
    </xf>
    <xf numFmtId="0" fontId="147" fillId="5" borderId="29" xfId="0" applyFont="1" applyFill="1" applyBorder="1" applyAlignment="1">
      <alignment vertical="center"/>
    </xf>
    <xf numFmtId="0" fontId="147" fillId="5" borderId="40" xfId="0" applyFont="1" applyFill="1" applyBorder="1" applyAlignment="1">
      <alignment vertical="center"/>
    </xf>
    <xf numFmtId="0" fontId="147" fillId="5" borderId="70" xfId="0" applyFont="1" applyFill="1" applyBorder="1" applyAlignment="1">
      <alignment vertical="center"/>
    </xf>
    <xf numFmtId="0" fontId="145" fillId="5" borderId="19" xfId="0" applyFont="1" applyFill="1" applyBorder="1" applyAlignment="1">
      <alignment horizontal="left" vertical="center"/>
    </xf>
    <xf numFmtId="0" fontId="145" fillId="5" borderId="51" xfId="0" applyFont="1" applyFill="1" applyBorder="1" applyAlignment="1">
      <alignment horizontal="left" vertical="center"/>
    </xf>
    <xf numFmtId="0" fontId="145" fillId="5" borderId="3" xfId="0" applyFont="1" applyFill="1" applyBorder="1" applyAlignment="1">
      <alignment horizontal="left" vertical="center"/>
    </xf>
    <xf numFmtId="0" fontId="89" fillId="5" borderId="1" xfId="0" applyFont="1" applyFill="1" applyBorder="1" applyAlignment="1">
      <alignment horizontal="center" vertical="center"/>
    </xf>
    <xf numFmtId="0" fontId="89" fillId="5" borderId="6" xfId="0" applyFont="1" applyFill="1" applyBorder="1" applyAlignment="1">
      <alignment horizontal="center" vertical="center"/>
    </xf>
    <xf numFmtId="0" fontId="46" fillId="5" borderId="2" xfId="0" applyNumberFormat="1" applyFont="1" applyFill="1" applyBorder="1" applyAlignment="1" applyProtection="1">
      <alignment horizontal="left" vertical="center"/>
    </xf>
    <xf numFmtId="0" fontId="46" fillId="5" borderId="3" xfId="0" applyNumberFormat="1" applyFont="1" applyFill="1" applyBorder="1" applyAlignment="1" applyProtection="1">
      <alignment horizontal="left" vertical="center"/>
    </xf>
    <xf numFmtId="0" fontId="46" fillId="5" borderId="1" xfId="0" applyNumberFormat="1" applyFont="1" applyFill="1" applyBorder="1" applyAlignment="1" applyProtection="1">
      <alignment horizontal="left" vertical="center"/>
    </xf>
    <xf numFmtId="0" fontId="46" fillId="5" borderId="2" xfId="0" applyFont="1" applyFill="1" applyBorder="1" applyAlignment="1" applyProtection="1">
      <alignment horizontal="left" vertical="center" wrapText="1"/>
    </xf>
    <xf numFmtId="0" fontId="46" fillId="5" borderId="3" xfId="0" applyFont="1" applyFill="1" applyBorder="1" applyAlignment="1" applyProtection="1">
      <alignment horizontal="left" vertical="center" wrapText="1"/>
    </xf>
    <xf numFmtId="0" fontId="45" fillId="18" borderId="1" xfId="0" applyNumberFormat="1" applyFont="1" applyFill="1" applyBorder="1" applyAlignment="1" applyProtection="1">
      <alignment horizontal="left" vertical="center"/>
    </xf>
    <xf numFmtId="0" fontId="46" fillId="5" borderId="1" xfId="0" applyFont="1" applyFill="1" applyBorder="1" applyAlignment="1" applyProtection="1">
      <alignment horizontal="left" vertical="center" wrapText="1"/>
    </xf>
    <xf numFmtId="0" fontId="46" fillId="5" borderId="16" xfId="0" applyFont="1" applyFill="1" applyBorder="1" applyAlignment="1" applyProtection="1">
      <alignment horizontal="left" vertical="center" wrapText="1"/>
    </xf>
    <xf numFmtId="0" fontId="46" fillId="5" borderId="26" xfId="0" applyFont="1" applyFill="1" applyBorder="1" applyAlignment="1" applyProtection="1">
      <alignment horizontal="left" vertical="center" wrapText="1"/>
    </xf>
    <xf numFmtId="0" fontId="46" fillId="5" borderId="18" xfId="0" applyFont="1" applyFill="1" applyBorder="1" applyAlignment="1" applyProtection="1">
      <alignment horizontal="left" vertical="center" wrapText="1"/>
    </xf>
    <xf numFmtId="0" fontId="46" fillId="5" borderId="49" xfId="0" applyFont="1" applyFill="1" applyBorder="1" applyAlignment="1" applyProtection="1">
      <alignment horizontal="left" vertical="center" wrapText="1"/>
    </xf>
    <xf numFmtId="0" fontId="46" fillId="5" borderId="16" xfId="0" applyFont="1" applyFill="1" applyBorder="1" applyAlignment="1" applyProtection="1">
      <alignment horizontal="left" vertical="center" textRotation="255" wrapText="1"/>
    </xf>
    <xf numFmtId="0" fontId="46" fillId="5" borderId="26" xfId="0" applyFont="1" applyFill="1" applyBorder="1" applyAlignment="1" applyProtection="1">
      <alignment horizontal="left" vertical="center" textRotation="255" wrapText="1"/>
    </xf>
    <xf numFmtId="0" fontId="46" fillId="5" borderId="23" xfId="0" applyFont="1" applyFill="1" applyBorder="1" applyAlignment="1" applyProtection="1">
      <alignment horizontal="left" vertical="center" textRotation="255" wrapText="1"/>
    </xf>
    <xf numFmtId="0" fontId="46" fillId="5" borderId="49" xfId="0" applyFont="1" applyFill="1" applyBorder="1" applyAlignment="1" applyProtection="1">
      <alignment horizontal="left" vertical="center" textRotation="255" wrapText="1"/>
    </xf>
    <xf numFmtId="0" fontId="46" fillId="5" borderId="17" xfId="0" applyFont="1" applyFill="1" applyBorder="1" applyAlignment="1" applyProtection="1">
      <alignment horizontal="left" vertical="center" textRotation="255" wrapText="1"/>
    </xf>
    <xf numFmtId="0" fontId="177" fillId="0" borderId="16" xfId="0" applyFont="1" applyFill="1" applyBorder="1" applyAlignment="1" applyProtection="1">
      <alignment horizontal="left" vertical="center" wrapText="1"/>
      <protection locked="0"/>
    </xf>
    <xf numFmtId="0" fontId="177" fillId="0" borderId="58" xfId="0" applyFont="1" applyFill="1" applyBorder="1" applyAlignment="1" applyProtection="1">
      <alignment horizontal="left" vertical="center" wrapText="1"/>
      <protection locked="0"/>
    </xf>
    <xf numFmtId="0" fontId="177" fillId="0" borderId="7" xfId="0" applyFont="1" applyFill="1" applyBorder="1" applyAlignment="1" applyProtection="1">
      <alignment horizontal="left" vertical="center" wrapText="1"/>
      <protection locked="0"/>
    </xf>
    <xf numFmtId="0" fontId="177" fillId="0" borderId="6" xfId="0" applyFont="1" applyFill="1" applyBorder="1" applyAlignment="1" applyProtection="1">
      <alignment horizontal="left" vertical="center" wrapText="1"/>
      <protection locked="0"/>
    </xf>
    <xf numFmtId="0" fontId="39" fillId="5" borderId="2" xfId="0" applyFont="1" applyFill="1" applyBorder="1" applyAlignment="1" applyProtection="1">
      <alignment horizontal="left" vertical="center"/>
    </xf>
    <xf numFmtId="0" fontId="39" fillId="5" borderId="3" xfId="0" applyFont="1" applyFill="1" applyBorder="1" applyAlignment="1" applyProtection="1">
      <alignment horizontal="left" vertical="center"/>
    </xf>
    <xf numFmtId="0" fontId="46" fillId="5" borderId="35" xfId="0" applyFont="1" applyFill="1" applyBorder="1" applyAlignment="1" applyProtection="1">
      <alignment horizontal="left" vertical="center"/>
    </xf>
    <xf numFmtId="0" fontId="46" fillId="5" borderId="27" xfId="0" applyFont="1" applyFill="1" applyBorder="1" applyAlignment="1" applyProtection="1">
      <alignment horizontal="left" vertical="center"/>
    </xf>
    <xf numFmtId="0" fontId="46" fillId="5" borderId="60" xfId="0" applyFont="1" applyFill="1" applyBorder="1" applyAlignment="1" applyProtection="1">
      <alignment horizontal="left" vertical="center"/>
    </xf>
    <xf numFmtId="0" fontId="46" fillId="5" borderId="25" xfId="0" applyFont="1" applyFill="1" applyBorder="1" applyAlignment="1" applyProtection="1">
      <alignment horizontal="left" vertical="center"/>
    </xf>
    <xf numFmtId="0" fontId="46" fillId="5" borderId="64" xfId="0" applyFont="1" applyFill="1" applyBorder="1" applyAlignment="1" applyProtection="1">
      <alignment horizontal="left" vertical="center"/>
    </xf>
    <xf numFmtId="0" fontId="46" fillId="5" borderId="24" xfId="0" applyFont="1" applyFill="1" applyBorder="1" applyAlignment="1" applyProtection="1">
      <alignment horizontal="left" vertical="center"/>
    </xf>
    <xf numFmtId="0" fontId="39" fillId="5" borderId="51" xfId="0" applyFont="1" applyFill="1" applyBorder="1" applyAlignment="1" applyProtection="1">
      <alignment horizontal="left" vertical="center"/>
    </xf>
    <xf numFmtId="0" fontId="46" fillId="5" borderId="7" xfId="0" applyFont="1" applyFill="1" applyBorder="1" applyAlignment="1" applyProtection="1">
      <alignment horizontal="left" vertical="center" wrapText="1"/>
    </xf>
    <xf numFmtId="0" fontId="46" fillId="5" borderId="18" xfId="0" applyFont="1" applyFill="1" applyBorder="1" applyAlignment="1" applyProtection="1">
      <alignment horizontal="left" vertical="center"/>
    </xf>
    <xf numFmtId="0" fontId="46" fillId="5" borderId="49" xfId="0" applyFont="1" applyFill="1" applyBorder="1" applyAlignment="1" applyProtection="1">
      <alignment horizontal="left" vertical="center"/>
    </xf>
    <xf numFmtId="0" fontId="46" fillId="5" borderId="17" xfId="0" applyFont="1" applyFill="1" applyBorder="1" applyAlignment="1" applyProtection="1">
      <alignment horizontal="left" vertical="center"/>
    </xf>
    <xf numFmtId="0" fontId="46" fillId="5" borderId="4" xfId="0" applyFont="1" applyFill="1" applyBorder="1" applyAlignment="1" applyProtection="1">
      <alignment horizontal="left" vertical="center" wrapText="1"/>
    </xf>
    <xf numFmtId="0" fontId="46" fillId="5" borderId="31" xfId="0" applyFont="1" applyFill="1" applyBorder="1" applyAlignment="1" applyProtection="1">
      <alignment horizontal="left" vertical="center" wrapText="1"/>
    </xf>
    <xf numFmtId="0" fontId="46" fillId="5" borderId="28" xfId="0" applyFont="1" applyFill="1" applyBorder="1" applyAlignment="1" applyProtection="1">
      <alignment horizontal="left" vertical="center" wrapText="1"/>
    </xf>
    <xf numFmtId="0" fontId="46" fillId="5" borderId="13" xfId="0" applyFont="1" applyFill="1" applyBorder="1" applyAlignment="1" applyProtection="1">
      <alignment horizontal="left" vertical="center" wrapText="1"/>
    </xf>
    <xf numFmtId="0" fontId="46" fillId="5" borderId="35" xfId="0" applyFont="1" applyFill="1" applyBorder="1" applyAlignment="1" applyProtection="1">
      <alignment horizontal="left" vertical="center" wrapText="1"/>
    </xf>
    <xf numFmtId="0" fontId="46" fillId="5" borderId="27" xfId="0" applyFont="1" applyFill="1" applyBorder="1" applyAlignment="1" applyProtection="1">
      <alignment horizontal="left" vertical="center" wrapText="1"/>
    </xf>
    <xf numFmtId="0" fontId="46" fillId="5" borderId="60" xfId="0" applyFont="1" applyFill="1" applyBorder="1" applyAlignment="1" applyProtection="1">
      <alignment horizontal="left" vertical="center" wrapText="1"/>
    </xf>
    <xf numFmtId="0" fontId="46" fillId="5" borderId="25" xfId="0" applyFont="1" applyFill="1" applyBorder="1" applyAlignment="1" applyProtection="1">
      <alignment horizontal="left" vertical="center" wrapText="1"/>
    </xf>
    <xf numFmtId="0" fontId="46" fillId="5" borderId="64" xfId="0" applyFont="1" applyFill="1" applyBorder="1" applyAlignment="1" applyProtection="1">
      <alignment horizontal="left" vertical="center" wrapText="1"/>
    </xf>
    <xf numFmtId="0" fontId="46" fillId="5" borderId="24"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xf>
    <xf numFmtId="0" fontId="177" fillId="0" borderId="3" xfId="0" applyFont="1" applyFill="1" applyBorder="1" applyAlignment="1" applyProtection="1">
      <alignment horizontal="left" vertical="center" wrapText="1"/>
      <protection locked="0"/>
    </xf>
    <xf numFmtId="0" fontId="177" fillId="0" borderId="2" xfId="0" applyFont="1" applyFill="1" applyBorder="1" applyAlignment="1" applyProtection="1">
      <alignment horizontal="left" vertical="center" wrapText="1"/>
      <protection locked="0"/>
    </xf>
    <xf numFmtId="0" fontId="177" fillId="0" borderId="27" xfId="0" applyFont="1" applyFill="1" applyBorder="1" applyAlignment="1" applyProtection="1">
      <alignment horizontal="left" vertical="center" wrapText="1"/>
      <protection locked="0"/>
    </xf>
    <xf numFmtId="0" fontId="177" fillId="0" borderId="35" xfId="0" applyFont="1" applyFill="1" applyBorder="1" applyAlignment="1" applyProtection="1">
      <alignment horizontal="left" vertical="center" wrapText="1"/>
      <protection locked="0"/>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2" fillId="5" borderId="3" xfId="0" applyFont="1" applyFill="1" applyBorder="1" applyAlignment="1" applyProtection="1">
      <alignment horizontal="center" vertical="center"/>
    </xf>
    <xf numFmtId="0" fontId="42" fillId="5" borderId="72" xfId="0" applyFont="1" applyFill="1" applyBorder="1" applyAlignment="1" applyProtection="1">
      <alignment horizontal="center" vertical="center"/>
      <protection locked="0"/>
    </xf>
    <xf numFmtId="0" fontId="42" fillId="5" borderId="40" xfId="0" applyFont="1" applyFill="1" applyBorder="1" applyAlignment="1" applyProtection="1">
      <alignment horizontal="center" vertical="center"/>
      <protection locked="0"/>
    </xf>
    <xf numFmtId="0" fontId="42" fillId="5" borderId="70" xfId="0" applyFont="1" applyFill="1" applyBorder="1" applyAlignment="1" applyProtection="1">
      <alignment horizontal="center" vertical="center"/>
      <protection locked="0"/>
    </xf>
    <xf numFmtId="0" fontId="46" fillId="5" borderId="18" xfId="0" applyFont="1" applyFill="1" applyBorder="1" applyAlignment="1" applyProtection="1">
      <alignment horizontal="left" vertical="center" textRotation="255" wrapText="1"/>
    </xf>
    <xf numFmtId="0" fontId="46" fillId="5" borderId="1" xfId="0" applyFont="1" applyFill="1" applyBorder="1" applyAlignment="1" applyProtection="1">
      <alignment horizontal="center" vertical="center" wrapText="1"/>
    </xf>
    <xf numFmtId="0" fontId="46" fillId="5" borderId="1" xfId="0" applyNumberFormat="1" applyFont="1" applyFill="1" applyBorder="1" applyAlignment="1" applyProtection="1">
      <alignment horizontal="center" vertical="center"/>
    </xf>
    <xf numFmtId="0" fontId="46" fillId="5" borderId="2" xfId="0" applyFont="1" applyFill="1" applyBorder="1" applyAlignment="1" applyProtection="1">
      <alignment horizontal="center" vertical="center" wrapText="1"/>
    </xf>
    <xf numFmtId="0" fontId="46" fillId="5" borderId="3" xfId="0" applyFont="1" applyFill="1" applyBorder="1" applyAlignment="1" applyProtection="1">
      <alignment horizontal="center" vertical="center" wrapText="1"/>
    </xf>
    <xf numFmtId="0" fontId="45" fillId="18" borderId="1" xfId="0" applyNumberFormat="1" applyFont="1" applyFill="1" applyBorder="1" applyAlignment="1" applyProtection="1">
      <alignment horizontal="center" vertical="center"/>
    </xf>
    <xf numFmtId="0" fontId="46" fillId="5" borderId="18" xfId="0" applyFont="1" applyFill="1" applyBorder="1" applyAlignment="1" applyProtection="1">
      <alignment horizontal="center" vertical="center" textRotation="255" wrapText="1"/>
    </xf>
    <xf numFmtId="0" fontId="46" fillId="5" borderId="49" xfId="0" applyFont="1" applyFill="1" applyBorder="1" applyAlignment="1" applyProtection="1">
      <alignment horizontal="center" vertical="center" textRotation="255" wrapText="1"/>
    </xf>
    <xf numFmtId="0" fontId="46" fillId="5" borderId="17" xfId="0" applyFont="1" applyFill="1" applyBorder="1" applyAlignment="1" applyProtection="1">
      <alignment horizontal="center" vertical="center" textRotation="255" wrapText="1"/>
    </xf>
    <xf numFmtId="0" fontId="39" fillId="5" borderId="2" xfId="0" applyFont="1" applyFill="1" applyBorder="1" applyAlignment="1" applyProtection="1">
      <alignment horizontal="center" vertical="center"/>
    </xf>
    <xf numFmtId="0" fontId="39" fillId="5" borderId="3" xfId="0" applyFont="1" applyFill="1" applyBorder="1" applyAlignment="1" applyProtection="1">
      <alignment horizontal="center" vertical="center"/>
    </xf>
    <xf numFmtId="0" fontId="46" fillId="5" borderId="35" xfId="0" applyFont="1" applyFill="1" applyBorder="1" applyAlignment="1" applyProtection="1">
      <alignment horizontal="center" vertical="center"/>
    </xf>
    <xf numFmtId="0" fontId="46" fillId="5" borderId="27" xfId="0" applyFont="1" applyFill="1" applyBorder="1" applyAlignment="1" applyProtection="1">
      <alignment horizontal="center" vertical="center"/>
    </xf>
    <xf numFmtId="0" fontId="46" fillId="5" borderId="60" xfId="0" applyFont="1" applyFill="1" applyBorder="1" applyAlignment="1" applyProtection="1">
      <alignment horizontal="center" vertical="center"/>
    </xf>
    <xf numFmtId="0" fontId="46" fillId="5" borderId="25" xfId="0" applyFont="1" applyFill="1" applyBorder="1" applyAlignment="1" applyProtection="1">
      <alignment horizontal="center" vertical="center"/>
    </xf>
    <xf numFmtId="0" fontId="46" fillId="5" borderId="64" xfId="0" applyFont="1" applyFill="1" applyBorder="1" applyAlignment="1" applyProtection="1">
      <alignment horizontal="center" vertical="center"/>
    </xf>
    <xf numFmtId="0" fontId="46" fillId="5" borderId="24" xfId="0" applyFont="1" applyFill="1" applyBorder="1" applyAlignment="1" applyProtection="1">
      <alignment horizontal="center" vertical="center"/>
    </xf>
    <xf numFmtId="0" fontId="39" fillId="5" borderId="51" xfId="0" applyFont="1" applyFill="1" applyBorder="1" applyAlignment="1" applyProtection="1">
      <alignment horizontal="center" vertical="center"/>
    </xf>
    <xf numFmtId="0" fontId="46" fillId="5" borderId="18"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wrapText="1"/>
    </xf>
    <xf numFmtId="0" fontId="39" fillId="5" borderId="1" xfId="0" applyFont="1" applyFill="1" applyBorder="1" applyAlignment="1" applyProtection="1">
      <alignment horizontal="center" vertical="center" wrapText="1"/>
    </xf>
    <xf numFmtId="0" fontId="46" fillId="5" borderId="18" xfId="0" applyFont="1" applyFill="1" applyBorder="1" applyAlignment="1" applyProtection="1">
      <alignment horizontal="center" vertical="center"/>
    </xf>
    <xf numFmtId="0" fontId="46" fillId="5" borderId="49" xfId="0" applyFont="1" applyFill="1" applyBorder="1" applyAlignment="1" applyProtection="1">
      <alignment horizontal="center" vertical="center"/>
    </xf>
    <xf numFmtId="0" fontId="46" fillId="5" borderId="17" xfId="0" applyFont="1" applyFill="1" applyBorder="1" applyAlignment="1" applyProtection="1">
      <alignment horizontal="center" vertical="center"/>
    </xf>
    <xf numFmtId="0" fontId="46" fillId="5" borderId="4" xfId="0" applyFont="1" applyFill="1" applyBorder="1" applyAlignment="1" applyProtection="1">
      <alignment horizontal="center" vertical="center" wrapText="1"/>
    </xf>
    <xf numFmtId="0" fontId="46" fillId="5" borderId="31" xfId="0" applyFont="1" applyFill="1" applyBorder="1" applyAlignment="1" applyProtection="1">
      <alignment horizontal="center" vertical="center" wrapText="1"/>
    </xf>
    <xf numFmtId="0" fontId="46" fillId="5" borderId="28" xfId="0" applyFont="1" applyFill="1" applyBorder="1" applyAlignment="1" applyProtection="1">
      <alignment horizontal="center" vertical="center" wrapText="1"/>
    </xf>
    <xf numFmtId="0" fontId="46" fillId="5" borderId="13" xfId="0" applyFont="1" applyFill="1" applyBorder="1" applyAlignment="1" applyProtection="1">
      <alignment horizontal="center" vertical="center" wrapText="1"/>
    </xf>
    <xf numFmtId="0" fontId="46" fillId="5" borderId="35" xfId="0" applyFont="1" applyFill="1" applyBorder="1" applyAlignment="1" applyProtection="1">
      <alignment horizontal="center" vertical="center" wrapText="1"/>
    </xf>
    <xf numFmtId="0" fontId="46" fillId="5" borderId="27" xfId="0" applyFont="1" applyFill="1" applyBorder="1" applyAlignment="1" applyProtection="1">
      <alignment horizontal="center" vertical="center" wrapText="1"/>
    </xf>
    <xf numFmtId="0" fontId="46" fillId="5" borderId="60" xfId="0" applyFont="1" applyFill="1" applyBorder="1" applyAlignment="1" applyProtection="1">
      <alignment horizontal="center" vertical="center" wrapText="1"/>
    </xf>
    <xf numFmtId="0" fontId="46" fillId="5" borderId="25" xfId="0" applyFont="1" applyFill="1" applyBorder="1" applyAlignment="1" applyProtection="1">
      <alignment horizontal="center" vertical="center" wrapText="1"/>
    </xf>
    <xf numFmtId="0" fontId="46" fillId="5" borderId="64" xfId="0" applyFont="1" applyFill="1" applyBorder="1" applyAlignment="1" applyProtection="1">
      <alignment horizontal="center" vertical="center" wrapText="1"/>
    </xf>
    <xf numFmtId="0" fontId="46" fillId="5" borderId="24" xfId="0" applyFont="1" applyFill="1" applyBorder="1" applyAlignment="1" applyProtection="1">
      <alignment horizontal="center" vertical="center" wrapText="1"/>
    </xf>
    <xf numFmtId="0" fontId="46" fillId="5" borderId="1" xfId="0" applyFont="1" applyFill="1" applyBorder="1" applyAlignment="1" applyProtection="1">
      <alignment horizontal="center" vertical="center"/>
    </xf>
    <xf numFmtId="0" fontId="177" fillId="0" borderId="3" xfId="0" applyFont="1" applyFill="1" applyBorder="1" applyAlignment="1" applyProtection="1">
      <alignment horizontal="center" vertical="center" wrapText="1"/>
      <protection locked="0"/>
    </xf>
    <xf numFmtId="0" fontId="177" fillId="0" borderId="2" xfId="0" applyFont="1" applyFill="1" applyBorder="1" applyAlignment="1" applyProtection="1">
      <alignment horizontal="center" vertical="center" wrapText="1"/>
      <protection locked="0"/>
    </xf>
    <xf numFmtId="0" fontId="177" fillId="0" borderId="7" xfId="0" applyFont="1" applyFill="1" applyBorder="1" applyAlignment="1" applyProtection="1">
      <alignment horizontal="center" vertical="center" wrapText="1"/>
      <protection locked="0"/>
    </xf>
    <xf numFmtId="0" fontId="177" fillId="0" borderId="6" xfId="0" applyFont="1" applyFill="1" applyBorder="1" applyAlignment="1" applyProtection="1">
      <alignment horizontal="center" vertical="center" wrapText="1"/>
      <protection locked="0"/>
    </xf>
    <xf numFmtId="0" fontId="177" fillId="0" borderId="16" xfId="0" applyFont="1" applyFill="1" applyBorder="1" applyAlignment="1" applyProtection="1">
      <alignment horizontal="center" vertical="center" wrapText="1"/>
      <protection locked="0"/>
    </xf>
    <xf numFmtId="0" fontId="177" fillId="0" borderId="58" xfId="0" applyFont="1" applyFill="1" applyBorder="1" applyAlignment="1" applyProtection="1">
      <alignment horizontal="center" vertical="center" wrapText="1"/>
      <protection locked="0"/>
    </xf>
    <xf numFmtId="0" fontId="177" fillId="0" borderId="27" xfId="0" applyFont="1" applyFill="1" applyBorder="1" applyAlignment="1" applyProtection="1">
      <alignment horizontal="center" vertical="center" wrapText="1"/>
      <protection locked="0"/>
    </xf>
    <xf numFmtId="0" fontId="177" fillId="0" borderId="35" xfId="0" applyFont="1" applyFill="1" applyBorder="1" applyAlignment="1" applyProtection="1">
      <alignment horizontal="center" vertical="center" wrapText="1"/>
      <protection locked="0"/>
    </xf>
    <xf numFmtId="186" fontId="46" fillId="5" borderId="1" xfId="0" applyNumberFormat="1" applyFont="1" applyFill="1" applyBorder="1" applyAlignment="1" applyProtection="1">
      <alignment horizontal="left" vertical="center"/>
    </xf>
    <xf numFmtId="186" fontId="45" fillId="18" borderId="1" xfId="0" applyNumberFormat="1" applyFont="1" applyFill="1" applyBorder="1" applyAlignment="1" applyProtection="1">
      <alignment horizontal="left" vertical="center"/>
    </xf>
    <xf numFmtId="186" fontId="45" fillId="18" borderId="1" xfId="0" applyNumberFormat="1" applyFont="1" applyFill="1" applyBorder="1" applyAlignment="1" applyProtection="1">
      <alignment horizontal="center" vertical="center"/>
    </xf>
    <xf numFmtId="186" fontId="46" fillId="5" borderId="1" xfId="0" applyNumberFormat="1" applyFont="1" applyFill="1" applyBorder="1" applyAlignment="1" applyProtection="1">
      <alignment horizontal="center" vertical="center"/>
    </xf>
    <xf numFmtId="0" fontId="131" fillId="5" borderId="0" xfId="0" applyFont="1" applyFill="1" applyAlignment="1" applyProtection="1">
      <alignment horizontal="center" vertical="center"/>
    </xf>
    <xf numFmtId="0" fontId="113" fillId="5" borderId="0" xfId="0" applyFont="1" applyFill="1" applyBorder="1" applyAlignment="1" applyProtection="1">
      <alignment horizontal="left" vertical="center"/>
    </xf>
    <xf numFmtId="0" fontId="112" fillId="5" borderId="4" xfId="0" applyFont="1" applyFill="1" applyBorder="1" applyAlignment="1" applyProtection="1">
      <alignment horizontal="center" vertical="center" wrapText="1"/>
    </xf>
    <xf numFmtId="0" fontId="112" fillId="5" borderId="8"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xf>
    <xf numFmtId="0" fontId="147" fillId="0" borderId="0" xfId="7" applyFont="1" applyAlignment="1">
      <alignment horizontal="left" vertical="center"/>
    </xf>
    <xf numFmtId="0" fontId="102" fillId="0" borderId="0" xfId="7" applyFont="1" applyAlignment="1">
      <alignment horizontal="left" vertical="center"/>
    </xf>
    <xf numFmtId="0" fontId="150" fillId="12" borderId="139" xfId="7" applyFont="1" applyFill="1" applyBorder="1" applyAlignment="1" applyProtection="1">
      <alignment horizontal="left" vertical="center" wrapText="1"/>
    </xf>
    <xf numFmtId="0" fontId="150" fillId="12" borderId="133" xfId="7" applyFont="1" applyFill="1" applyBorder="1" applyAlignment="1" applyProtection="1">
      <alignment horizontal="left" vertical="center" wrapText="1"/>
    </xf>
    <xf numFmtId="0" fontId="150" fillId="12" borderId="135" xfId="7" applyFont="1" applyFill="1" applyBorder="1" applyAlignment="1" applyProtection="1">
      <alignment horizontal="left" vertical="center" wrapText="1"/>
    </xf>
    <xf numFmtId="0" fontId="148" fillId="0" borderId="0" xfId="7" applyFont="1" applyAlignment="1">
      <alignment horizontal="left" vertical="center"/>
    </xf>
    <xf numFmtId="0" fontId="150" fillId="12" borderId="130" xfId="7" applyFont="1" applyFill="1" applyBorder="1" applyAlignment="1" applyProtection="1">
      <alignment horizontal="left" vertical="center" wrapText="1"/>
    </xf>
    <xf numFmtId="0" fontId="101" fillId="12" borderId="139" xfId="7" applyFont="1" applyFill="1" applyBorder="1" applyAlignment="1" applyProtection="1">
      <alignment horizontal="left" vertical="center" wrapText="1"/>
    </xf>
    <xf numFmtId="0" fontId="101" fillId="12" borderId="133" xfId="7" applyFont="1" applyFill="1" applyBorder="1" applyAlignment="1" applyProtection="1">
      <alignment horizontal="left" vertical="center" wrapText="1"/>
    </xf>
    <xf numFmtId="0" fontId="101" fillId="12" borderId="135" xfId="7" applyFont="1" applyFill="1" applyBorder="1" applyAlignment="1" applyProtection="1">
      <alignment horizontal="left" vertical="center" wrapText="1"/>
    </xf>
    <xf numFmtId="0" fontId="150" fillId="12" borderId="167" xfId="7" applyFont="1" applyFill="1" applyBorder="1" applyAlignment="1" applyProtection="1">
      <alignment horizontal="left" vertical="center" wrapText="1"/>
    </xf>
    <xf numFmtId="0" fontId="42" fillId="6" borderId="75" xfId="0" applyFont="1" applyFill="1" applyBorder="1" applyAlignment="1" applyProtection="1">
      <alignment vertical="center" wrapText="1"/>
      <protection locked="0"/>
    </xf>
  </cellXfs>
  <cellStyles count="14">
    <cellStyle name="常规" xfId="0" builtinId="0"/>
    <cellStyle name="常规 16" xfId="8"/>
    <cellStyle name="常规 2" xfId="1"/>
    <cellStyle name="常规 2 2" xfId="6"/>
    <cellStyle name="常规 3" xfId="2"/>
    <cellStyle name="常规 3 2" xfId="3"/>
    <cellStyle name="常规 4" xfId="4"/>
    <cellStyle name="常规 5" xfId="5"/>
    <cellStyle name="常规 6" xfId="9"/>
    <cellStyle name="常规 6 2" xfId="7"/>
    <cellStyle name="常规 6 2 2" xfId="11"/>
    <cellStyle name="常规 7" xfId="10"/>
    <cellStyle name="常规 8" xfId="12"/>
    <cellStyle name="常规 9" xfId="13"/>
  </cellStyles>
  <dxfs count="236">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patternType="none">
          <bgColor auto="1"/>
        </patternFill>
      </fill>
    </dxf>
    <dxf>
      <fill>
        <patternFill patternType="none">
          <bgColor auto="1"/>
        </patternFill>
      </fill>
    </dxf>
    <dxf>
      <fill>
        <patternFill patternType="none">
          <bgColor auto="1"/>
        </patternFill>
      </fill>
    </dxf>
    <dxf>
      <font>
        <color rgb="FFFF0000"/>
      </font>
    </dxf>
    <dxf>
      <font>
        <color rgb="FFFF0000"/>
      </font>
    </dxf>
    <dxf>
      <font>
        <color rgb="FFFF0000"/>
      </font>
    </dxf>
    <dxf>
      <font>
        <color rgb="FFFF0000"/>
      </font>
    </dxf>
    <dxf>
      <font>
        <b/>
        <i val="0"/>
        <color rgb="FFFF0000"/>
      </font>
    </dxf>
    <dxf>
      <font>
        <b/>
        <i val="0"/>
        <color rgb="FFFF0000"/>
      </font>
    </dxf>
    <dxf>
      <font>
        <b/>
        <i val="0"/>
        <color rgb="FFFF0000"/>
      </font>
    </dxf>
    <dxf>
      <font>
        <b/>
        <i val="0"/>
        <color rgb="FFFF0000"/>
      </font>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u/>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b val="0"/>
        <condense val="0"/>
        <extend val="0"/>
        <u/>
        <color indexed="10"/>
      </font>
    </dxf>
    <dxf>
      <font>
        <b/>
        <i val="0"/>
        <condense val="0"/>
        <extend val="0"/>
        <color indexed="10"/>
      </font>
      <fill>
        <patternFill>
          <fgColor indexed="64"/>
          <bgColor indexed="13"/>
        </patternFill>
      </fill>
    </dxf>
    <dxf>
      <font>
        <u/>
        <color rgb="FFFF0000"/>
      </font>
    </dxf>
    <dxf>
      <font>
        <b/>
        <i val="0"/>
        <color rgb="FFFF0000"/>
      </font>
      <fill>
        <patternFill>
          <bgColor rgb="FFFFFF00"/>
        </patternFill>
      </fill>
    </dxf>
    <dxf>
      <font>
        <color rgb="FFFF0000"/>
      </font>
    </dxf>
    <dxf>
      <font>
        <u/>
        <color rgb="FFFF0000"/>
      </font>
    </dxf>
    <dxf>
      <font>
        <b/>
        <i val="0"/>
        <color rgb="FFFF0000"/>
      </font>
      <fill>
        <patternFill>
          <bgColor rgb="FFFFFF00"/>
        </patternFill>
      </fill>
    </dxf>
    <dxf>
      <font>
        <u/>
        <color rgb="FFFF0000"/>
      </font>
    </dxf>
    <dxf>
      <font>
        <u/>
        <color rgb="FFFF0000"/>
      </font>
    </dxf>
    <dxf>
      <font>
        <color rgb="FFFF0000"/>
      </font>
    </dxf>
    <dxf>
      <font>
        <u/>
        <color rgb="FFFF0000"/>
      </font>
    </dxf>
    <dxf>
      <font>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color rgb="FFFF0000"/>
      </font>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u/>
        <color rgb="FFFF0000"/>
      </font>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colors>
    <mruColors>
      <color rgb="FF5AE83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4</xdr:col>
      <xdr:colOff>390305</xdr:colOff>
      <xdr:row>4</xdr:row>
      <xdr:rowOff>104663</xdr:rowOff>
    </xdr:to>
    <xdr:pic>
      <xdr:nvPicPr>
        <xdr:cNvPr id="2" name="图片 1"/>
        <xdr:cNvPicPr>
          <a:picLocks noChangeAspect="1"/>
        </xdr:cNvPicPr>
      </xdr:nvPicPr>
      <xdr:blipFill>
        <a:blip xmlns:r="http://schemas.openxmlformats.org/officeDocument/2006/relationships" r:embed="rId1"/>
        <a:stretch>
          <a:fillRect/>
        </a:stretch>
      </xdr:blipFill>
      <xdr:spPr>
        <a:xfrm>
          <a:off x="9324975" y="0"/>
          <a:ext cx="1761905" cy="895238"/>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2.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3.v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4.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5.v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6.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7.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8.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9.v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20.v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21.v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70"/>
  <sheetViews>
    <sheetView topLeftCell="A10" zoomScale="80" zoomScaleNormal="80" workbookViewId="0">
      <selection activeCell="B10" sqref="B10"/>
    </sheetView>
  </sheetViews>
  <sheetFormatPr defaultColWidth="9" defaultRowHeight="15"/>
  <cols>
    <col min="1" max="1" width="32.5" style="1216" customWidth="1"/>
    <col min="2" max="2" width="94.875" style="1202" customWidth="1"/>
    <col min="3" max="16384" width="9" style="1212"/>
  </cols>
  <sheetData>
    <row r="1" spans="1:2" s="1207" customFormat="1" ht="16.5" thickBot="1">
      <c r="A1" s="1205" t="s">
        <v>1094</v>
      </c>
      <c r="B1" s="1206" t="s">
        <v>1156</v>
      </c>
    </row>
    <row r="2" spans="1:2" s="1209" customFormat="1" ht="15.75" thickTop="1">
      <c r="A2" s="1208" t="s">
        <v>1095</v>
      </c>
      <c r="B2" s="1194" t="str">
        <f>'预评函-封皮'!B9</f>
        <v>北京市房地产抵押价值预评估</v>
      </c>
    </row>
    <row r="3" spans="1:2" s="1209" customFormat="1">
      <c r="A3" s="1210" t="s">
        <v>1096</v>
      </c>
      <c r="B3" s="1195" t="str">
        <f>'预评函-封皮'!B12</f>
        <v>xx</v>
      </c>
    </row>
    <row r="4" spans="1:2" s="1209" customFormat="1">
      <c r="A4" s="1210" t="s">
        <v>1097</v>
      </c>
      <c r="B4" s="1195" t="str">
        <f ca="1">'预评函-封皮'!B18</f>
        <v>吴薇（注册号:1419970001）、郑燚（注册号:1120070131)</v>
      </c>
    </row>
    <row r="5" spans="1:2" s="1207" customFormat="1" ht="15.75" thickBot="1">
      <c r="A5" s="1211" t="s">
        <v>1098</v>
      </c>
      <c r="B5" s="1196" t="str">
        <f>'预评函-封皮'!B21</f>
        <v>康正预评字号</v>
      </c>
    </row>
    <row r="6" spans="1:2" s="1209" customFormat="1" ht="15.75" thickTop="1">
      <c r="A6" s="1210" t="s">
        <v>1099</v>
      </c>
      <c r="B6" s="1194" t="str">
        <f>'预评函-1'!A4</f>
        <v>受您的委托，我公司对北京市房地产进行了预评估。</v>
      </c>
    </row>
    <row r="7" spans="1:2">
      <c r="A7" s="1210" t="s">
        <v>1100</v>
      </c>
      <c r="B7" s="1197" t="str">
        <f>'预评函-1'!A6</f>
        <v>估价对象为北京市房地产，为XX所有。根据《》[]，估价对象建筑面积为841.27平方米。根据《》[]，估价对象（分摊）出让国有建设用地使用权面积为平方米。估价对象用途为。</v>
      </c>
    </row>
    <row r="8" spans="1:2">
      <c r="A8" s="1210" t="s">
        <v>1101</v>
      </c>
      <c r="B8" s="1197" t="str">
        <f>'预评函-1'!A8</f>
        <v>XX拟使用北京市房地产作为抵押担保物，向XX办理贷款手续。XX特委托北京康正宏基房地产评估有限公司对上述抵押物进行评估。本次评估为确定房地产抵押贷款额度提供参考依据而评估房地产抵押价值。</v>
      </c>
    </row>
    <row r="9" spans="1:2">
      <c r="A9" s="1210" t="s">
        <v>1102</v>
      </c>
      <c r="B9" s="1197" t="str">
        <f>'预评函-1'!A10</f>
        <v>2021年5月18日</v>
      </c>
    </row>
    <row r="10" spans="1:2">
      <c r="A10" s="1210" t="s">
        <v>1103</v>
      </c>
      <c r="B10" s="1197" t="str">
        <f>'预评函-1'!A13</f>
        <v>本次估价的“房地产价值”是指在正常市场情况下，在价值时点2021年5月18日，估价对象规划用途为，假定未设立法定优先受偿款下的房地产市场价值。</v>
      </c>
    </row>
    <row r="11" spans="1:2">
      <c r="A11" s="1210" t="s">
        <v>1104</v>
      </c>
      <c r="B11" s="1197"/>
    </row>
    <row r="12" spans="1:2">
      <c r="A12" s="1210" t="s">
        <v>1105</v>
      </c>
      <c r="B12" s="1197" t="str">
        <f>'预评函-1'!A14</f>
        <v>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v>
      </c>
    </row>
    <row r="13" spans="1:2">
      <c r="A13" s="1210" t="s">
        <v>1106</v>
      </c>
      <c r="B13" s="1197" t="str">
        <f>'预评函-1'!A15</f>
        <v>IF(项目基本情况!D5="房地产市场价值","——","法定优先受偿款是指假定在价值时点实现抵押权时，法律规定优先于本次抵押贷款受偿的款额，包括发包人拖欠承包人的建筑工程款，已抵押担保的债权数额以及其他法定优先受偿款。")</v>
      </c>
    </row>
    <row r="14" spans="1:2">
      <c r="A14" s="1210" t="s">
        <v>1107</v>
      </c>
      <c r="B14" s="1197" t="str">
        <f>'预评函-1'!A16</f>
        <v>本次估价的“抵押净值”是指估价对象“房地产抵押价值”减去估价对象在价值时点以“房地产销售收入”为基数计算的预计抵押权实现进行处置时需缴纳的各项费用、税金等相关费用后的价值。</v>
      </c>
    </row>
    <row r="15" spans="1:2" s="1207" customFormat="1" ht="15.75" thickBot="1">
      <c r="A15" s="1211" t="s">
        <v>1108</v>
      </c>
      <c r="B15" s="1198" t="str">
        <f>'预评函-1'!A18</f>
        <v>本次评估采用的主估价方法为成本法和收益法。</v>
      </c>
    </row>
    <row r="16" spans="1:2" ht="15.75" thickTop="1">
      <c r="A16" s="1208" t="s">
        <v>1109</v>
      </c>
      <c r="B16" s="1196" t="str">
        <f>'预评函-2（1）'!A2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17" spans="1:2">
      <c r="A17" s="1210" t="s">
        <v>1110</v>
      </c>
      <c r="B17" s="1197" t="str">
        <f>'预评函-2（1）'!B6</f>
        <v>北京市房地产</v>
      </c>
    </row>
    <row r="18" spans="1:2">
      <c r="A18" s="1210" t="s">
        <v>1111</v>
      </c>
      <c r="B18" s="1197">
        <f>'预评函-2（1）'!C6</f>
        <v>841.27</v>
      </c>
    </row>
    <row r="19" spans="1:2">
      <c r="A19" s="1210" t="s">
        <v>1112</v>
      </c>
      <c r="B19" s="1197">
        <f ca="1">'预评函-2（1）'!D7</f>
        <v>2708</v>
      </c>
    </row>
    <row r="20" spans="1:2">
      <c r="A20" s="1210" t="s">
        <v>1150</v>
      </c>
      <c r="B20" s="1197" t="str">
        <f>'预评函-2（1）'!C7</f>
        <v>总价（万元）</v>
      </c>
    </row>
    <row r="21" spans="1:2">
      <c r="A21" s="1210" t="s">
        <v>1113</v>
      </c>
      <c r="B21" s="1197">
        <f ca="1">'预评函-2（1）'!D9</f>
        <v>32189</v>
      </c>
    </row>
    <row r="22" spans="1:2">
      <c r="A22" s="1210" t="s">
        <v>1114</v>
      </c>
      <c r="B22" s="1197" t="str">
        <f ca="1">'预评函-2（1）'!D8</f>
        <v>贰仟柒佰零捌万元整</v>
      </c>
    </row>
    <row r="23" spans="1:2">
      <c r="A23" s="1210" t="s">
        <v>1151</v>
      </c>
      <c r="B23" s="1197">
        <f>'预评函-2（1）'!D10</f>
        <v>0</v>
      </c>
    </row>
    <row r="24" spans="1:2">
      <c r="A24" s="1210" t="s">
        <v>1152</v>
      </c>
      <c r="B24" s="1197" t="str">
        <f>'预评函-2（1）'!C10</f>
        <v>总额（万元）</v>
      </c>
    </row>
    <row r="25" spans="1:2">
      <c r="A25" s="1210" t="s">
        <v>1115</v>
      </c>
      <c r="B25" s="1197" t="str">
        <f>'预评函-2（1）'!D11</f>
        <v>零元整</v>
      </c>
    </row>
    <row r="26" spans="1:2">
      <c r="A26" s="1210" t="s">
        <v>1116</v>
      </c>
      <c r="B26" s="1197">
        <f>'预评函-2（1）'!D12</f>
        <v>0</v>
      </c>
    </row>
    <row r="27" spans="1:2">
      <c r="A27" s="1210" t="s">
        <v>1117</v>
      </c>
      <c r="B27" s="1197">
        <f>'预评函-2（1）'!D13</f>
        <v>0</v>
      </c>
    </row>
    <row r="28" spans="1:2">
      <c r="A28" s="1210" t="s">
        <v>1118</v>
      </c>
      <c r="B28" s="1197">
        <f>'预评函-2（1）'!D14</f>
        <v>0</v>
      </c>
    </row>
    <row r="29" spans="1:2">
      <c r="A29" s="1210" t="s">
        <v>1119</v>
      </c>
      <c r="B29" s="1197">
        <f ca="1">'预评函-2（1）'!D15</f>
        <v>2708</v>
      </c>
    </row>
    <row r="30" spans="1:2">
      <c r="A30" s="1210" t="s">
        <v>1120</v>
      </c>
      <c r="B30" s="1197" t="str">
        <f ca="1">'预评函-2（1）'!D16</f>
        <v>贰仟柒佰零捌万元整</v>
      </c>
    </row>
    <row r="31" spans="1:2">
      <c r="A31" s="1210" t="s">
        <v>1121</v>
      </c>
      <c r="B31" s="1197" t="str">
        <f>'预评函-2（1）'!D18</f>
        <v>——</v>
      </c>
    </row>
    <row r="32" spans="1:2">
      <c r="A32" s="1210" t="s">
        <v>1122</v>
      </c>
      <c r="B32" s="1197" t="e">
        <f>'预评函-2（1）'!D19</f>
        <v>#VALUE!</v>
      </c>
    </row>
    <row r="33" spans="1:2">
      <c r="A33" s="1210" t="s">
        <v>1123</v>
      </c>
      <c r="B33" s="1197" t="str">
        <f>'预评函-2（1）'!D21</f>
        <v>——</v>
      </c>
    </row>
    <row r="34" spans="1:2">
      <c r="A34" s="1210" t="s">
        <v>1124</v>
      </c>
      <c r="B34" s="1197" t="str">
        <f ca="1">'预评函-2（1）'!D23</f>
        <v>——</v>
      </c>
    </row>
    <row r="35" spans="1:2">
      <c r="A35" s="1210" t="s">
        <v>1125</v>
      </c>
      <c r="B35" s="1197" t="e">
        <f>'预评函-2（1）'!D22</f>
        <v>#VALUE!</v>
      </c>
    </row>
    <row r="36" spans="1:2">
      <c r="A36" s="1210" t="s">
        <v>1126</v>
      </c>
      <c r="B36" s="1197">
        <f>'预评函-2（2）'!C4</f>
        <v>0</v>
      </c>
    </row>
    <row r="37" spans="1:2">
      <c r="A37" s="1210" t="s">
        <v>1127</v>
      </c>
      <c r="B37" s="1197">
        <f>'预评函-2（2）'!D4</f>
        <v>0</v>
      </c>
    </row>
    <row r="38" spans="1:2">
      <c r="A38" s="1210" t="s">
        <v>1128</v>
      </c>
      <c r="B38" s="1197">
        <f>'预评函-2（2）'!E4</f>
        <v>0</v>
      </c>
    </row>
    <row r="39" spans="1:2">
      <c r="A39" s="1210" t="s">
        <v>1129</v>
      </c>
      <c r="B39" s="1197" t="str">
        <f>'预评函-2（2）'!D5</f>
        <v>零元整</v>
      </c>
    </row>
    <row r="40" spans="1:2">
      <c r="A40" s="1210" t="s">
        <v>1130</v>
      </c>
      <c r="B40" s="1197">
        <f>'预评函-2（2）'!F4</f>
        <v>0</v>
      </c>
    </row>
    <row r="41" spans="1:2">
      <c r="A41" s="1210" t="s">
        <v>1131</v>
      </c>
      <c r="B41" s="1197">
        <f>'预评函-2（2）'!G4</f>
        <v>0</v>
      </c>
    </row>
    <row r="42" spans="1:2" s="1207" customFormat="1" ht="15.75" thickBot="1">
      <c r="A42" s="1211" t="s">
        <v>1132</v>
      </c>
      <c r="B42" s="1199" t="str">
        <f>'预评函-2（2）'!F5</f>
        <v>零元整</v>
      </c>
    </row>
    <row r="43" spans="1:2" ht="15.75" thickTop="1">
      <c r="A43" s="1208" t="s">
        <v>1133</v>
      </c>
      <c r="B43" s="1200" t="str">
        <f>'预评函-3'!A13</f>
        <v>2.本《评估意见函》仅供金融机构进行内部审核使用，不做其他目的之用。</v>
      </c>
    </row>
    <row r="44" spans="1:2">
      <c r="A44" s="1210" t="s">
        <v>1134</v>
      </c>
      <c r="B44" s="1197" t="str">
        <f>'预评函-3'!A14</f>
        <v>3.抵押双方在办理抵押登记手续时，应使用本公司出具的正式《不动产估价报告书》，特提醒报告使用者注意。</v>
      </c>
    </row>
    <row r="45" spans="1:2">
      <c r="A45" s="1210" t="s">
        <v>1135</v>
      </c>
      <c r="B45" s="1197" t="str">
        <f>'预评函-3'!A15</f>
        <v>4.本次评估估价师所知悉的法定优先受偿款情况说明如下：</v>
      </c>
    </row>
    <row r="46" spans="1:2">
      <c r="A46" s="1210" t="s">
        <v>1136</v>
      </c>
      <c r="B46" s="1197" t="str">
        <f>'预评函-3'!A16</f>
        <v>根据估价对象、，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47" spans="1:2">
      <c r="A47" s="1210" t="s">
        <v>1137</v>
      </c>
      <c r="B47" s="1197" t="str">
        <f>'预评函-3'!A17</f>
        <v>根据《北京市已购公有住房上市出售实施办法》，上市出售按房改成本价购买的公有住房，须按当年房改成本价1%补缴土地出让金后可办理商品房房屋所有权证，即累计应交1794元人民币（具体结算金额以相关部门核定为准）。因此，估价师所知悉的法定优先受偿款为1794元。</v>
      </c>
    </row>
    <row r="48" spans="1:2">
      <c r="A48" s="1210" t="s">
        <v>1148</v>
      </c>
      <c r="B48" s="1197" t="str">
        <f>'预评函-3'!A18</f>
        <v>本次评估不存在估价师所知悉的法定优先受偿款。</v>
      </c>
    </row>
    <row r="49" spans="1:2">
      <c r="A49" s="1210" t="s">
        <v>1138</v>
      </c>
      <c r="B49" s="1197" t="str">
        <f>'预评函-3'!A19</f>
        <v>5.本《评估意见函》中数据全部采用电算化连续计算得出，由于在报告中计算的数据均按四舍五入保留两位小数或取整，故可能出现个别等式左右不完全相等的情况，但不影响计算结果及最终评估结论的准确性。</v>
      </c>
    </row>
    <row r="50" spans="1:2">
      <c r="A50" s="1210" t="s">
        <v>1139</v>
      </c>
      <c r="B50" s="1197" t="str">
        <f>'预评函-3'!A20</f>
        <v>6.其他需特殊说明事项：（没有时删除此项；注意修改序号）</v>
      </c>
    </row>
    <row r="51" spans="1:2" s="1207" customFormat="1" thickBot="1">
      <c r="A51" s="1211" t="s">
        <v>1140</v>
      </c>
      <c r="B51" s="1204">
        <f>'预评函-3'!D29</f>
        <v>42551</v>
      </c>
    </row>
    <row r="52" spans="1:2" ht="15.75" thickTop="1">
      <c r="A52" s="1208" t="s">
        <v>1141</v>
      </c>
      <c r="B52" s="1203" t="str">
        <f>'预评函-3'!A4</f>
        <v>吴薇</v>
      </c>
    </row>
    <row r="53" spans="1:2">
      <c r="A53" s="1210" t="s">
        <v>1142</v>
      </c>
      <c r="B53" s="1197">
        <f ca="1">'预评函-3'!B4</f>
        <v>1419970001</v>
      </c>
    </row>
    <row r="54" spans="1:2">
      <c r="A54" s="1210" t="s">
        <v>1143</v>
      </c>
      <c r="B54" s="1201" t="str">
        <f>'预评函-3'!A5</f>
        <v>郑燚</v>
      </c>
    </row>
    <row r="55" spans="1:2" s="1207" customFormat="1" ht="15.75" thickBot="1">
      <c r="A55" s="1211" t="s">
        <v>1144</v>
      </c>
      <c r="B55" s="1199">
        <f ca="1">'预评函-3'!B5</f>
        <v>1120070131</v>
      </c>
    </row>
    <row r="56" spans="1:2" ht="15.75" thickTop="1">
      <c r="A56" s="1213" t="s">
        <v>1153</v>
      </c>
      <c r="B56" s="1197" t="str">
        <f>'预评函-2（1）'!B15</f>
        <v>3.房地产抵押价值</v>
      </c>
    </row>
    <row r="57" spans="1:2">
      <c r="A57" s="1213" t="s">
        <v>1154</v>
      </c>
      <c r="B57" s="1197" t="str">
        <f>'预评函-2（1）'!B18</f>
        <v>——</v>
      </c>
    </row>
    <row r="58" spans="1:2" s="1207" customFormat="1" ht="15.75" thickBot="1">
      <c r="A58" s="1214" t="s">
        <v>1155</v>
      </c>
      <c r="B58" s="1198" t="str">
        <f>'预评函-2（1）'!B21</f>
        <v>——</v>
      </c>
    </row>
    <row r="59" spans="1:2" ht="15.75" thickTop="1">
      <c r="A59" s="1215" t="s">
        <v>1157</v>
      </c>
      <c r="B59" s="1195" t="str">
        <f>'预评函-2（1）'!B45</f>
        <v>单位：万元、元/平方米（单位：人民币）</v>
      </c>
    </row>
    <row r="60" spans="1:2">
      <c r="A60" s="1213" t="s">
        <v>1158</v>
      </c>
      <c r="B60" s="1197" t="str">
        <f>'预评函-2（2）'!D2</f>
        <v>出让国有建设用地使用权价值</v>
      </c>
    </row>
    <row r="61" spans="1:2" s="1209" customFormat="1">
      <c r="A61" s="1213" t="s">
        <v>1159</v>
      </c>
      <c r="B61" s="1197" t="str">
        <f>'预评函-2（2）'!A14</f>
        <v>单位：平方米、万元、元/平方米（币种：人民币）</v>
      </c>
    </row>
    <row r="62" spans="1:2" ht="28.5">
      <c r="A62" s="1213" t="s">
        <v>1244</v>
      </c>
      <c r="B62" s="1197">
        <f ca="1">'预评函-2（1）'!D38</f>
        <v>32189</v>
      </c>
    </row>
    <row r="63" spans="1:2" s="1209" customFormat="1" ht="28.5">
      <c r="A63" s="1213" t="s">
        <v>1245</v>
      </c>
      <c r="B63" s="1197" t="str">
        <f>'预评函-2（1）'!D41</f>
        <v>——</v>
      </c>
    </row>
    <row r="64" spans="1:2">
      <c r="A64" s="1213" t="s">
        <v>1167</v>
      </c>
      <c r="B64" s="1197" t="str">
        <f>'预评函-2（2）'!A6</f>
        <v>估价师所知悉的法定优先受偿款</v>
      </c>
    </row>
    <row r="65" spans="1:2">
      <c r="A65" s="1213" t="s">
        <v>1168</v>
      </c>
      <c r="B65" s="1197" t="str">
        <f>'预评函-2（2）'!A8</f>
        <v>房地产抵押价值</v>
      </c>
    </row>
    <row r="66" spans="1:2">
      <c r="A66" s="1213" t="s">
        <v>1169</v>
      </c>
      <c r="B66" s="1197" t="str">
        <f>'预评函-2（2）'!A10</f>
        <v/>
      </c>
    </row>
    <row r="67" spans="1:2" s="1207" customFormat="1" ht="15.75" thickBot="1">
      <c r="A67" s="1214" t="s">
        <v>1170</v>
      </c>
      <c r="B67" s="1198" t="str">
        <f>'预评函-2（2）'!A12</f>
        <v/>
      </c>
    </row>
    <row r="68" spans="1:2" ht="15.75" thickTop="1">
      <c r="A68" s="1216" t="s">
        <v>1171</v>
      </c>
      <c r="B68" s="1202" t="str">
        <f>'预评函-3'!A9</f>
        <v>XX</v>
      </c>
    </row>
    <row r="69" spans="1:2">
      <c r="A69" s="1210" t="s">
        <v>1243</v>
      </c>
    </row>
    <row r="70" spans="1:2">
      <c r="A70" s="1210" t="s">
        <v>1242</v>
      </c>
    </row>
  </sheetData>
  <sheetProtection password="C66D" sheet="1" objects="1" scenarios="1"/>
  <phoneticPr fontId="154"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N63"/>
  <sheetViews>
    <sheetView view="pageBreakPreview" zoomScaleNormal="100" zoomScaleSheetLayoutView="100" workbookViewId="0">
      <selection activeCell="D3" sqref="D3"/>
    </sheetView>
  </sheetViews>
  <sheetFormatPr defaultColWidth="10" defaultRowHeight="12.75"/>
  <cols>
    <col min="1" max="1" width="18.625" style="827" customWidth="1"/>
    <col min="2" max="2" width="15" style="827" customWidth="1"/>
    <col min="3" max="3" width="14.125" style="827" customWidth="1"/>
    <col min="4" max="4" width="12.5" style="827" customWidth="1"/>
    <col min="5" max="5" width="13.875" style="827" customWidth="1"/>
    <col min="6" max="6" width="15" style="827" customWidth="1"/>
    <col min="7" max="7" width="14.875" style="827" customWidth="1"/>
    <col min="8" max="8" width="4.25" style="2901" customWidth="1"/>
    <col min="9" max="10" width="10" style="2901" customWidth="1"/>
    <col min="11" max="13" width="10" style="2902" customWidth="1"/>
    <col min="14" max="15" width="10" style="2901" customWidth="1"/>
    <col min="16" max="17" width="10" style="2901"/>
    <col min="18" max="18" width="10" style="2901" customWidth="1"/>
    <col min="19" max="66" width="10" style="2901"/>
    <col min="67" max="16384" width="10" style="827"/>
  </cols>
  <sheetData>
    <row r="1" spans="1:17" ht="13.5" thickBot="1">
      <c r="A1" s="2590" t="s">
        <v>1528</v>
      </c>
      <c r="B1" s="2591" t="str">
        <f>IF(B6="北京市","北京市",C6)&amp;IF(E12="房屋所有权证",B29,E29)&amp;D5&amp;"预评估"</f>
        <v>北京市房地产抵押价值预评估</v>
      </c>
      <c r="C1" s="823"/>
      <c r="D1" s="823"/>
      <c r="E1" s="823"/>
      <c r="F1" s="1426" t="s">
        <v>1529</v>
      </c>
      <c r="G1" s="1191"/>
      <c r="I1" s="2916" t="str">
        <f>IF(B6="北京市","北京市",C6)&amp;IF(E12="房屋所有权证",B29,E29)&amp;"房地产"</f>
        <v>北京市房地产</v>
      </c>
      <c r="J1" s="800"/>
      <c r="K1" s="2918"/>
      <c r="L1" s="2918"/>
      <c r="M1" s="2918"/>
      <c r="N1" s="800"/>
      <c r="O1" s="800"/>
      <c r="P1" s="800"/>
      <c r="Q1" s="800"/>
    </row>
    <row r="2" spans="1:17" ht="13.5" thickTop="1">
      <c r="A2" s="1427" t="s">
        <v>1530</v>
      </c>
      <c r="B2" s="2592"/>
      <c r="C2" s="2888" t="s">
        <v>1531</v>
      </c>
      <c r="D2" s="2592">
        <v>44334</v>
      </c>
      <c r="E2" s="824"/>
      <c r="F2" s="824"/>
      <c r="G2" s="1192"/>
      <c r="H2" s="2900"/>
    </row>
    <row r="3" spans="1:17" ht="13.5" thickBot="1">
      <c r="A3" s="2593" t="s">
        <v>1532</v>
      </c>
      <c r="B3" s="2594" t="s">
        <v>2920</v>
      </c>
      <c r="C3" s="2595">
        <f ca="1">SUMIF(注册房地产估价师,B3,估价师及机构信息!B3:B16)</f>
        <v>1419970001</v>
      </c>
      <c r="D3" s="2594" t="s">
        <v>2921</v>
      </c>
      <c r="E3" s="2596">
        <f ca="1">SUMIF(注册房地产估价师,D3,估价师及机构信息!B3:B16)</f>
        <v>1120070131</v>
      </c>
      <c r="F3" s="825"/>
      <c r="G3" s="1193"/>
      <c r="H3" s="2900"/>
    </row>
    <row r="4" spans="1:17" ht="13.5" customHeight="1" thickTop="1">
      <c r="A4" s="1427" t="s">
        <v>1533</v>
      </c>
      <c r="B4" s="1428" t="s">
        <v>2720</v>
      </c>
      <c r="C4" s="2889" t="s">
        <v>1534</v>
      </c>
      <c r="D4" s="1429" t="s">
        <v>2891</v>
      </c>
      <c r="E4" s="824"/>
      <c r="F4" s="824"/>
      <c r="G4" s="1192"/>
    </row>
    <row r="5" spans="1:17">
      <c r="A5" s="1430" t="s">
        <v>1535</v>
      </c>
      <c r="B5" s="1431" t="s">
        <v>2721</v>
      </c>
      <c r="C5" s="2890" t="s">
        <v>1536</v>
      </c>
      <c r="D5" s="1433" t="s">
        <v>2892</v>
      </c>
      <c r="E5" s="2891" t="s">
        <v>1537</v>
      </c>
      <c r="F5" s="1433"/>
      <c r="G5" s="1434"/>
      <c r="I5" s="2916" t="str">
        <f>IF(C16="否","截至估价时点，估价对象抵押权未见登记。","截至价值时点，估价对象已设定抵押。")</f>
        <v>截至价值时点，估价对象已设定抵押。</v>
      </c>
      <c r="J5" s="800"/>
      <c r="K5" s="2918"/>
      <c r="L5" s="2918"/>
      <c r="M5" s="2918"/>
      <c r="N5" s="800"/>
      <c r="O5" s="800"/>
      <c r="P5" s="800"/>
      <c r="Q5" s="800"/>
    </row>
    <row r="6" spans="1:17">
      <c r="A6" s="2892" t="s">
        <v>1538</v>
      </c>
      <c r="B6" s="2597" t="s">
        <v>2893</v>
      </c>
      <c r="C6" s="2598" t="s">
        <v>2722</v>
      </c>
      <c r="D6" s="2599" t="s">
        <v>1539</v>
      </c>
      <c r="E6" s="811"/>
      <c r="F6" s="811"/>
      <c r="G6" s="830"/>
      <c r="I6" s="800" t="str">
        <f>IF(COUNTIF(B5,"*上海银行*"),"上海银行","")</f>
        <v/>
      </c>
      <c r="J6" s="800"/>
      <c r="K6" s="2918"/>
      <c r="L6" s="2918"/>
      <c r="M6" s="2918"/>
      <c r="N6" s="800"/>
      <c r="O6" s="800"/>
      <c r="P6" s="800"/>
      <c r="Q6" s="800"/>
    </row>
    <row r="7" spans="1:17" ht="13.5" thickBot="1">
      <c r="A7" s="2893" t="s">
        <v>1540</v>
      </c>
      <c r="B7" s="3558" t="s">
        <v>2922</v>
      </c>
      <c r="C7" s="1525" t="str">
        <f>IF(B7="自然人","姓名","名称")</f>
        <v>姓名</v>
      </c>
      <c r="D7" s="1438" t="s">
        <v>2721</v>
      </c>
      <c r="E7" s="825"/>
      <c r="F7" s="825"/>
      <c r="G7" s="1193"/>
    </row>
    <row r="8" spans="1:17" ht="13.5" thickTop="1">
      <c r="A8" s="3223" t="s">
        <v>1541</v>
      </c>
      <c r="B8" s="1439" t="s">
        <v>1542</v>
      </c>
      <c r="C8" s="3235"/>
      <c r="D8" s="3236"/>
      <c r="E8" s="2600" t="s">
        <v>1543</v>
      </c>
      <c r="F8" s="2601" t="s">
        <v>1544</v>
      </c>
      <c r="G8" s="2602" t="str">
        <f>C6</f>
        <v>XX</v>
      </c>
    </row>
    <row r="9" spans="1:17" ht="25.5">
      <c r="A9" s="3223"/>
      <c r="B9" s="259" t="s">
        <v>1545</v>
      </c>
      <c r="C9" s="1431"/>
      <c r="D9" s="1440" t="s">
        <v>2894</v>
      </c>
      <c r="E9" s="2894" t="s">
        <v>1546</v>
      </c>
      <c r="F9" s="2603" t="s">
        <v>399</v>
      </c>
      <c r="G9" s="2604"/>
    </row>
    <row r="10" spans="1:17" ht="13.5" thickBot="1">
      <c r="A10" s="3223"/>
      <c r="B10" s="259" t="s">
        <v>1547</v>
      </c>
      <c r="C10" s="3237"/>
      <c r="D10" s="3238"/>
      <c r="E10" s="2895" t="s">
        <v>1548</v>
      </c>
      <c r="F10" s="2605" t="s">
        <v>269</v>
      </c>
      <c r="G10" s="2606"/>
    </row>
    <row r="11" spans="1:17" ht="13.5" thickBot="1">
      <c r="A11" s="3223"/>
      <c r="B11" s="1442" t="s">
        <v>1549</v>
      </c>
      <c r="C11" s="3239"/>
      <c r="D11" s="3240"/>
      <c r="E11" s="811"/>
      <c r="F11" s="811"/>
      <c r="G11" s="830"/>
    </row>
    <row r="12" spans="1:17" ht="13.5" thickBot="1">
      <c r="A12" s="3226" t="s">
        <v>2829</v>
      </c>
      <c r="B12" s="2896" t="s">
        <v>1550</v>
      </c>
      <c r="C12" s="808">
        <v>841.27</v>
      </c>
      <c r="D12" s="1443" t="s">
        <v>1551</v>
      </c>
      <c r="E12" s="1444"/>
      <c r="F12" s="1445"/>
      <c r="G12" s="830"/>
    </row>
    <row r="13" spans="1:17" ht="21" customHeight="1" thickBot="1">
      <c r="A13" s="3227"/>
      <c r="B13" s="2897" t="s">
        <v>1552</v>
      </c>
      <c r="C13" s="809"/>
      <c r="D13" s="1446" t="s">
        <v>1553</v>
      </c>
      <c r="E13" s="1447"/>
      <c r="F13" s="811"/>
      <c r="G13" s="830"/>
      <c r="I13" s="3212" t="s">
        <v>1554</v>
      </c>
      <c r="J13" s="2917" t="str">
        <f>"根据估价对象"&amp;IF(B19="——",B18&amp;C18,B18&amp;C18&amp;"、"&amp;B19&amp;C19)&amp;"，"&amp;IF(C16="是","截至价值时点，估价对象已设定抵押。","截至价值时点，估价对象抵押权未见登记。")</f>
        <v>根据估价对象、，截至价值时点，估价对象抵押权未见登记。</v>
      </c>
      <c r="K13" s="2918"/>
      <c r="L13" s="2918"/>
      <c r="M13" s="2918"/>
      <c r="N13" s="800"/>
      <c r="O13" s="800"/>
      <c r="P13" s="800"/>
      <c r="Q13" s="800"/>
    </row>
    <row r="14" spans="1:17" ht="13.5" thickBot="1">
      <c r="A14" s="2607"/>
      <c r="B14" s="2911" t="s">
        <v>2830</v>
      </c>
      <c r="C14" s="2608"/>
      <c r="D14" s="811"/>
      <c r="E14" s="811"/>
      <c r="F14" s="811"/>
      <c r="G14" s="830"/>
      <c r="I14" s="3212"/>
      <c r="J14" s="2917" t="str">
        <f>IF(C16="否","",IF(E16="是","上述抵押权设定日期为"&amp;TEXT(C20,"yyyy年m月d日;;")&amp;"，权利人为"&amp;C21&amp;"，权利范围为"&amp;C22&amp;"，权利价值为"&amp;C23&amp;"。",IF(AND(E16="否",G16="是"),"上述权属证件中未登记该抵押权的具体情况（债权数额、期限等）。根据"&amp;IF(D18="","不动产权利人出具的"&amp;F18,D18&amp;E18)&amp;"，估价对象已抵押给"&amp;E21&amp;"，权利范围为"&amp;E22&amp;"，权利价值为"&amp;E23&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K14" s="2918"/>
      <c r="L14" s="2918"/>
      <c r="M14" s="2918"/>
      <c r="N14" s="800"/>
      <c r="O14" s="800"/>
      <c r="P14" s="800"/>
      <c r="Q14" s="800"/>
    </row>
    <row r="15" spans="1:17" ht="13.5" thickBot="1">
      <c r="A15" s="2609"/>
      <c r="B15" s="2898" t="s">
        <v>1555</v>
      </c>
      <c r="C15" s="826">
        <v>3</v>
      </c>
      <c r="D15" s="825"/>
      <c r="E15" s="825"/>
      <c r="F15" s="825"/>
      <c r="G15" s="1193"/>
      <c r="I15" s="3212"/>
      <c r="J15" s="2917" t="str">
        <f>IF(E16="否","",IF(结果表!D36="同一抵押权人同一抵押物续贷","由于本次评估为同一抵押权人的续贷房地产抵押估价，故未将已抵押担保的债权数额（"&amp;C23&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K15" s="2918"/>
      <c r="L15" s="2918"/>
      <c r="M15" s="2918"/>
      <c r="N15" s="800"/>
      <c r="O15" s="800"/>
      <c r="P15" s="800"/>
      <c r="Q15" s="800"/>
    </row>
    <row r="16" spans="1:17" ht="25.5" thickTop="1" thickBot="1">
      <c r="A16" s="2607" t="s">
        <v>1556</v>
      </c>
      <c r="B16" s="1448" t="s">
        <v>1557</v>
      </c>
      <c r="C16" s="2610"/>
      <c r="D16" s="1441" t="s">
        <v>1558</v>
      </c>
      <c r="E16" s="2611"/>
      <c r="F16" s="1449" t="str">
        <f>IF(AND(C16="是",E16="否"),"是否提供他项权证或相关说明","")</f>
        <v/>
      </c>
      <c r="G16" s="2611"/>
      <c r="J16" s="2900"/>
    </row>
    <row r="17" spans="1:66" ht="13.5" customHeight="1">
      <c r="A17" s="1455" t="s">
        <v>1559</v>
      </c>
      <c r="B17" s="3241" t="s">
        <v>1560</v>
      </c>
      <c r="C17" s="3242"/>
      <c r="D17" s="3243" t="s">
        <v>1561</v>
      </c>
      <c r="E17" s="3244"/>
      <c r="F17" s="1450" t="s">
        <v>1562</v>
      </c>
      <c r="G17" s="1451"/>
      <c r="J17" s="2900"/>
    </row>
    <row r="18" spans="1:66" ht="24">
      <c r="A18" s="1455"/>
      <c r="B18" s="2612"/>
      <c r="C18" s="1434"/>
      <c r="D18" s="1452" t="s">
        <v>1563</v>
      </c>
      <c r="E18" s="1453"/>
      <c r="F18" s="1454"/>
      <c r="G18" s="1317"/>
      <c r="H18" s="2900"/>
      <c r="J18" s="2900"/>
    </row>
    <row r="19" spans="1:66" ht="21.75" customHeight="1" thickBot="1">
      <c r="A19" s="1455"/>
      <c r="B19" s="2613"/>
      <c r="C19" s="1447"/>
      <c r="D19" s="1455"/>
      <c r="E19" s="811"/>
      <c r="F19" s="811"/>
      <c r="G19" s="1317"/>
    </row>
    <row r="20" spans="1:66">
      <c r="A20" s="1451" t="s">
        <v>1564</v>
      </c>
      <c r="B20" s="2614" t="s">
        <v>1565</v>
      </c>
      <c r="C20" s="2615"/>
      <c r="D20" s="2616" t="s">
        <v>1565</v>
      </c>
      <c r="E20" s="2615"/>
      <c r="F20" s="811"/>
      <c r="G20" s="1317"/>
    </row>
    <row r="21" spans="1:66">
      <c r="A21" s="1317"/>
      <c r="B21" s="2617" t="s">
        <v>1566</v>
      </c>
      <c r="C21" s="2883"/>
      <c r="D21" s="1455" t="s">
        <v>1566</v>
      </c>
      <c r="E21" s="2618"/>
      <c r="F21" s="811"/>
      <c r="G21" s="1317"/>
    </row>
    <row r="22" spans="1:66">
      <c r="A22" s="1317"/>
      <c r="B22" s="811" t="s">
        <v>1567</v>
      </c>
      <c r="C22" s="2619"/>
      <c r="D22" s="811" t="s">
        <v>1567</v>
      </c>
      <c r="E22" s="2618"/>
      <c r="F22" s="811"/>
      <c r="G22" s="1317"/>
    </row>
    <row r="23" spans="1:66" s="2882" customFormat="1" ht="16.5" thickBot="1">
      <c r="A23" s="1318"/>
      <c r="B23" s="829" t="s">
        <v>1568</v>
      </c>
      <c r="C23" s="809"/>
      <c r="D23" s="829" t="s">
        <v>1569</v>
      </c>
      <c r="E23" s="2620"/>
      <c r="F23" s="829"/>
      <c r="G23" s="1318"/>
      <c r="H23" s="2903"/>
      <c r="I23" s="2903"/>
      <c r="J23" s="2903"/>
      <c r="K23" s="2904"/>
      <c r="L23" s="2904"/>
      <c r="M23" s="2904"/>
      <c r="N23" s="2904"/>
      <c r="O23" s="2904"/>
      <c r="P23" s="2904"/>
      <c r="Q23" s="2903"/>
      <c r="R23" s="2903"/>
      <c r="S23" s="2903"/>
      <c r="T23" s="2903"/>
      <c r="U23" s="2903"/>
      <c r="V23" s="2903"/>
      <c r="W23" s="2903"/>
      <c r="X23" s="2903"/>
      <c r="Y23" s="2903"/>
      <c r="Z23" s="2903"/>
      <c r="AA23" s="2903"/>
      <c r="AB23" s="2903"/>
      <c r="AC23" s="2903"/>
      <c r="AD23" s="2903"/>
      <c r="AE23" s="2903"/>
      <c r="AF23" s="2903"/>
      <c r="AG23" s="2903"/>
      <c r="AH23" s="2903"/>
      <c r="AI23" s="2903"/>
      <c r="AJ23" s="2903"/>
      <c r="AK23" s="2903"/>
      <c r="AL23" s="2903"/>
      <c r="AM23" s="2903"/>
      <c r="AN23" s="2903"/>
      <c r="AO23" s="2903"/>
      <c r="AP23" s="2903"/>
      <c r="AQ23" s="2903"/>
      <c r="AR23" s="2903"/>
      <c r="AS23" s="2903"/>
      <c r="AT23" s="2903"/>
      <c r="AU23" s="2903"/>
      <c r="AV23" s="2903"/>
      <c r="AW23" s="2903"/>
      <c r="AX23" s="2903"/>
      <c r="AY23" s="2903"/>
      <c r="AZ23" s="2903"/>
      <c r="BA23" s="2903"/>
      <c r="BB23" s="2903"/>
      <c r="BC23" s="2903"/>
      <c r="BD23" s="2903"/>
      <c r="BE23" s="2903"/>
      <c r="BF23" s="2903"/>
      <c r="BG23" s="2903"/>
      <c r="BH23" s="2903"/>
      <c r="BI23" s="2903"/>
      <c r="BJ23" s="2903"/>
      <c r="BK23" s="2903"/>
      <c r="BL23" s="2903"/>
      <c r="BM23" s="2903"/>
      <c r="BN23" s="2903"/>
    </row>
    <row r="24" spans="1:66" s="2899" customFormat="1" ht="18" customHeight="1" thickBot="1">
      <c r="A24" s="3222" t="s">
        <v>2828</v>
      </c>
      <c r="B24" s="3222"/>
      <c r="C24" s="3222"/>
      <c r="D24" s="3222"/>
      <c r="E24" s="3222"/>
      <c r="F24" s="3222"/>
      <c r="G24" s="3222"/>
      <c r="H24" s="2905"/>
      <c r="I24" s="2905"/>
      <c r="J24" s="2905"/>
      <c r="K24" s="2906"/>
      <c r="L24" s="2906"/>
      <c r="M24" s="2906"/>
      <c r="N24" s="2906"/>
      <c r="O24" s="2906"/>
      <c r="P24" s="2906"/>
      <c r="Q24" s="2907"/>
      <c r="R24" s="2907"/>
      <c r="S24" s="2907"/>
      <c r="T24" s="2907"/>
      <c r="U24" s="2907"/>
      <c r="V24" s="2907"/>
      <c r="W24" s="2907"/>
      <c r="X24" s="2907"/>
      <c r="Y24" s="2907"/>
      <c r="Z24" s="2907"/>
      <c r="AA24" s="2907"/>
      <c r="AB24" s="2907"/>
      <c r="AC24" s="2907"/>
      <c r="AD24" s="2907"/>
      <c r="AE24" s="2907"/>
      <c r="AF24" s="2907"/>
      <c r="AG24" s="2907"/>
      <c r="AH24" s="2907"/>
      <c r="AI24" s="2907"/>
      <c r="AJ24" s="2907"/>
      <c r="AK24" s="2907"/>
      <c r="AL24" s="2907"/>
      <c r="AM24" s="2907"/>
      <c r="AN24" s="2907"/>
      <c r="AO24" s="2907"/>
      <c r="AP24" s="2907"/>
      <c r="AQ24" s="2907"/>
      <c r="AR24" s="2907"/>
      <c r="AS24" s="2907"/>
      <c r="AT24" s="2907"/>
      <c r="AU24" s="2907"/>
      <c r="AV24" s="2907"/>
      <c r="AW24" s="2907"/>
      <c r="AX24" s="2907"/>
      <c r="AY24" s="2907"/>
      <c r="AZ24" s="2907"/>
      <c r="BA24" s="2907"/>
      <c r="BB24" s="2907"/>
      <c r="BC24" s="2907"/>
      <c r="BD24" s="2907"/>
      <c r="BE24" s="2907"/>
      <c r="BF24" s="2907"/>
      <c r="BG24" s="2907"/>
      <c r="BH24" s="2907"/>
      <c r="BI24" s="2907"/>
      <c r="BJ24" s="2907"/>
      <c r="BK24" s="2907"/>
      <c r="BL24" s="2907"/>
      <c r="BM24" s="2907"/>
      <c r="BN24" s="2907"/>
    </row>
    <row r="25" spans="1:66" ht="14.25" thickTop="1" thickBot="1">
      <c r="A25" s="828" t="s">
        <v>1570</v>
      </c>
      <c r="B25" s="811"/>
      <c r="C25" s="811"/>
      <c r="D25" s="811"/>
      <c r="E25" s="811"/>
      <c r="F25" s="811"/>
      <c r="G25" s="1318"/>
      <c r="K25" s="2901"/>
    </row>
    <row r="26" spans="1:66" s="836" customFormat="1" ht="13.5" thickBot="1">
      <c r="A26" s="2621"/>
      <c r="B26" s="807" t="s">
        <v>1571</v>
      </c>
      <c r="C26" s="2621"/>
      <c r="D26" s="807"/>
      <c r="E26" s="2622" t="s">
        <v>1572</v>
      </c>
      <c r="F26" s="2621"/>
      <c r="G26" s="2623" t="s">
        <v>1573</v>
      </c>
      <c r="H26" s="2908"/>
      <c r="I26" s="2908"/>
      <c r="J26" s="2908"/>
      <c r="K26" s="2908"/>
      <c r="L26" s="2909"/>
      <c r="M26" s="2909"/>
      <c r="N26" s="2908"/>
      <c r="O26" s="2908"/>
      <c r="P26" s="2908"/>
      <c r="Q26" s="2908"/>
      <c r="R26" s="2908"/>
      <c r="S26" s="2908"/>
      <c r="T26" s="2908"/>
      <c r="U26" s="2908"/>
      <c r="V26" s="2908"/>
      <c r="W26" s="2908"/>
      <c r="X26" s="2908"/>
      <c r="Y26" s="2908"/>
      <c r="Z26" s="2908"/>
      <c r="AA26" s="2908"/>
      <c r="AB26" s="2908"/>
      <c r="AC26" s="2908"/>
      <c r="AD26" s="2908"/>
      <c r="AE26" s="2908"/>
      <c r="AF26" s="2908"/>
      <c r="AG26" s="2908"/>
      <c r="AH26" s="2908"/>
      <c r="AI26" s="2908"/>
      <c r="AJ26" s="2908"/>
      <c r="AK26" s="2908"/>
      <c r="AL26" s="2908"/>
      <c r="AM26" s="2908"/>
      <c r="AN26" s="2908"/>
      <c r="AO26" s="2908"/>
      <c r="AP26" s="2908"/>
      <c r="AQ26" s="2908"/>
      <c r="AR26" s="2908"/>
      <c r="AS26" s="2908"/>
      <c r="AT26" s="2908"/>
      <c r="AU26" s="2908"/>
      <c r="AV26" s="2908"/>
      <c r="AW26" s="2908"/>
      <c r="AX26" s="2908"/>
      <c r="AY26" s="2908"/>
      <c r="AZ26" s="2908"/>
      <c r="BA26" s="2908"/>
      <c r="BB26" s="2908"/>
      <c r="BC26" s="2908"/>
      <c r="BD26" s="2908"/>
      <c r="BE26" s="2908"/>
      <c r="BF26" s="2908"/>
      <c r="BG26" s="2908"/>
      <c r="BH26" s="2908"/>
      <c r="BI26" s="2908"/>
      <c r="BJ26" s="2908"/>
      <c r="BK26" s="2908"/>
      <c r="BL26" s="2908"/>
      <c r="BM26" s="2908"/>
      <c r="BN26" s="2908"/>
    </row>
    <row r="27" spans="1:66" s="836" customFormat="1" ht="13.5" thickBot="1">
      <c r="A27" s="2621"/>
      <c r="B27" s="2624"/>
      <c r="C27" s="2621"/>
      <c r="D27" s="807"/>
      <c r="E27" s="2624"/>
      <c r="F27" s="2621"/>
      <c r="G27" s="2625"/>
      <c r="H27" s="2908"/>
      <c r="I27" s="2908"/>
      <c r="J27" s="2908"/>
      <c r="K27" s="2908"/>
      <c r="L27" s="2909"/>
      <c r="M27" s="2909"/>
      <c r="N27" s="2908"/>
      <c r="O27" s="2908"/>
      <c r="P27" s="2908"/>
      <c r="Q27" s="2908"/>
      <c r="R27" s="2908"/>
      <c r="S27" s="2908"/>
      <c r="T27" s="2908"/>
      <c r="U27" s="2908"/>
      <c r="V27" s="2908"/>
      <c r="W27" s="2908"/>
      <c r="X27" s="2908"/>
      <c r="Y27" s="2908"/>
      <c r="Z27" s="2908"/>
      <c r="AA27" s="2908"/>
      <c r="AB27" s="2908"/>
      <c r="AC27" s="2908"/>
      <c r="AD27" s="2908"/>
      <c r="AE27" s="2908"/>
      <c r="AF27" s="2908"/>
      <c r="AG27" s="2908"/>
      <c r="AH27" s="2908"/>
      <c r="AI27" s="2908"/>
      <c r="AJ27" s="2908"/>
      <c r="AK27" s="2908"/>
      <c r="AL27" s="2908"/>
      <c r="AM27" s="2908"/>
      <c r="AN27" s="2908"/>
      <c r="AO27" s="2908"/>
      <c r="AP27" s="2908"/>
      <c r="AQ27" s="2908"/>
      <c r="AR27" s="2908"/>
      <c r="AS27" s="2908"/>
      <c r="AT27" s="2908"/>
      <c r="AU27" s="2908"/>
      <c r="AV27" s="2908"/>
      <c r="AW27" s="2908"/>
      <c r="AX27" s="2908"/>
      <c r="AY27" s="2908"/>
      <c r="AZ27" s="2908"/>
      <c r="BA27" s="2908"/>
      <c r="BB27" s="2908"/>
      <c r="BC27" s="2908"/>
      <c r="BD27" s="2908"/>
      <c r="BE27" s="2908"/>
      <c r="BF27" s="2908"/>
      <c r="BG27" s="2908"/>
      <c r="BH27" s="2908"/>
      <c r="BI27" s="2908"/>
      <c r="BJ27" s="2908"/>
      <c r="BK27" s="2908"/>
      <c r="BL27" s="2908"/>
      <c r="BM27" s="2908"/>
      <c r="BN27" s="2908"/>
    </row>
    <row r="28" spans="1:66">
      <c r="A28" s="803" t="s">
        <v>1574</v>
      </c>
      <c r="B28" s="801"/>
      <c r="C28" s="3229" t="s">
        <v>1574</v>
      </c>
      <c r="D28" s="3230"/>
      <c r="E28" s="801"/>
      <c r="F28" s="803" t="s">
        <v>1574</v>
      </c>
      <c r="G28" s="801"/>
      <c r="K28" s="2901"/>
    </row>
    <row r="29" spans="1:66">
      <c r="A29" s="804" t="s">
        <v>1575</v>
      </c>
      <c r="B29" s="798"/>
      <c r="C29" s="3231" t="s">
        <v>1576</v>
      </c>
      <c r="D29" s="3232"/>
      <c r="E29" s="798"/>
      <c r="F29" s="804" t="s">
        <v>1576</v>
      </c>
      <c r="G29" s="798"/>
      <c r="K29" s="2901"/>
    </row>
    <row r="30" spans="1:66">
      <c r="A30" s="804" t="s">
        <v>1577</v>
      </c>
      <c r="B30" s="798"/>
      <c r="C30" s="3231" t="s">
        <v>1577</v>
      </c>
      <c r="D30" s="3232"/>
      <c r="E30" s="798"/>
      <c r="F30" s="804" t="s">
        <v>1578</v>
      </c>
      <c r="G30" s="798"/>
      <c r="K30" s="2901"/>
    </row>
    <row r="31" spans="1:66">
      <c r="A31" s="804" t="s">
        <v>1579</v>
      </c>
      <c r="B31" s="798"/>
      <c r="C31" s="3219" t="s">
        <v>1580</v>
      </c>
      <c r="D31" s="811"/>
      <c r="E31" s="2626" t="str">
        <f>E32&amp;" "&amp;E33&amp;" "&amp;E34&amp;" "&amp;E35</f>
        <v xml:space="preserve">   </v>
      </c>
      <c r="F31" s="804" t="s">
        <v>1581</v>
      </c>
      <c r="G31" s="798"/>
    </row>
    <row r="32" spans="1:66">
      <c r="A32" s="804" t="s">
        <v>1582</v>
      </c>
      <c r="B32" s="798"/>
      <c r="C32" s="3220"/>
      <c r="D32" s="259" t="s">
        <v>1583</v>
      </c>
      <c r="E32" s="798"/>
      <c r="F32" s="804" t="s">
        <v>1584</v>
      </c>
      <c r="G32" s="798"/>
    </row>
    <row r="33" spans="1:7" ht="24.75" thickBot="1">
      <c r="A33" s="805" t="s">
        <v>1585</v>
      </c>
      <c r="B33" s="802"/>
      <c r="C33" s="3220"/>
      <c r="D33" s="259" t="s">
        <v>1586</v>
      </c>
      <c r="E33" s="798"/>
      <c r="F33" s="804" t="s">
        <v>1587</v>
      </c>
      <c r="G33" s="798"/>
    </row>
    <row r="34" spans="1:7">
      <c r="A34" s="803" t="s">
        <v>1588</v>
      </c>
      <c r="B34" s="801"/>
      <c r="C34" s="3220"/>
      <c r="D34" s="259" t="s">
        <v>1589</v>
      </c>
      <c r="E34" s="798"/>
      <c r="F34" s="804" t="s">
        <v>1590</v>
      </c>
      <c r="G34" s="798"/>
    </row>
    <row r="35" spans="1:7" ht="13.5" thickBot="1">
      <c r="A35" s="804" t="s">
        <v>1591</v>
      </c>
      <c r="B35" s="798"/>
      <c r="C35" s="3221"/>
      <c r="D35" s="259" t="s">
        <v>1592</v>
      </c>
      <c r="E35" s="798"/>
      <c r="F35" s="805" t="s">
        <v>1593</v>
      </c>
      <c r="G35" s="2627"/>
    </row>
    <row r="36" spans="1:7">
      <c r="A36" s="804" t="s">
        <v>1550</v>
      </c>
      <c r="B36" s="798"/>
      <c r="C36" s="3231" t="s">
        <v>1594</v>
      </c>
      <c r="D36" s="3232"/>
      <c r="E36" s="798"/>
      <c r="F36" s="2628" t="s">
        <v>1595</v>
      </c>
      <c r="G36" s="801"/>
    </row>
    <row r="37" spans="1:7" ht="13.5" thickBot="1">
      <c r="A37" s="804" t="s">
        <v>1596</v>
      </c>
      <c r="B37" s="798"/>
      <c r="C37" s="3233" t="s">
        <v>1597</v>
      </c>
      <c r="D37" s="3234"/>
      <c r="E37" s="802"/>
      <c r="F37" s="1463" t="s">
        <v>1598</v>
      </c>
      <c r="G37" s="798"/>
    </row>
    <row r="38" spans="1:7" ht="13.5" thickBot="1">
      <c r="A38" s="804" t="s">
        <v>1599</v>
      </c>
      <c r="B38" s="798"/>
      <c r="C38" s="3217" t="s">
        <v>1600</v>
      </c>
      <c r="D38" s="1443" t="s">
        <v>1584</v>
      </c>
      <c r="E38" s="801"/>
      <c r="F38" s="805" t="s">
        <v>1601</v>
      </c>
      <c r="G38" s="802"/>
    </row>
    <row r="39" spans="1:7">
      <c r="A39" s="804" t="s">
        <v>1602</v>
      </c>
      <c r="B39" s="798"/>
      <c r="C39" s="3224"/>
      <c r="D39" s="259" t="s">
        <v>1591</v>
      </c>
      <c r="E39" s="798"/>
      <c r="F39" s="803" t="s">
        <v>1603</v>
      </c>
      <c r="G39" s="801"/>
    </row>
    <row r="40" spans="1:7">
      <c r="A40" s="804" t="s">
        <v>1604</v>
      </c>
      <c r="B40" s="798"/>
      <c r="C40" s="3224" t="s">
        <v>1605</v>
      </c>
      <c r="D40" s="259" t="s">
        <v>1550</v>
      </c>
      <c r="E40" s="798"/>
      <c r="F40" s="804" t="s">
        <v>1606</v>
      </c>
      <c r="G40" s="798"/>
    </row>
    <row r="41" spans="1:7" ht="24.75" customHeight="1" thickBot="1">
      <c r="A41" s="805" t="s">
        <v>1607</v>
      </c>
      <c r="B41" s="802"/>
      <c r="C41" s="3225"/>
      <c r="D41" s="1446" t="s">
        <v>1552</v>
      </c>
      <c r="E41" s="802"/>
      <c r="F41" s="805" t="s">
        <v>1608</v>
      </c>
      <c r="G41" s="802"/>
    </row>
    <row r="42" spans="1:7">
      <c r="A42" s="806" t="s">
        <v>1609</v>
      </c>
      <c r="B42" s="2629"/>
      <c r="C42" s="3213" t="s">
        <v>1609</v>
      </c>
      <c r="D42" s="3214"/>
      <c r="E42" s="2629"/>
      <c r="F42" s="803" t="s">
        <v>1610</v>
      </c>
      <c r="G42" s="2629"/>
    </row>
    <row r="43" spans="1:7">
      <c r="A43" s="821" t="s">
        <v>1611</v>
      </c>
      <c r="B43" s="2630"/>
      <c r="C43" s="1455"/>
      <c r="D43" s="2617"/>
      <c r="E43" s="2630"/>
      <c r="F43" s="821"/>
      <c r="G43" s="2630"/>
    </row>
    <row r="44" spans="1:7">
      <c r="A44" s="821" t="s">
        <v>1565</v>
      </c>
      <c r="B44" s="822"/>
      <c r="C44" s="1455"/>
      <c r="D44" s="1521" t="s">
        <v>1565</v>
      </c>
      <c r="E44" s="822"/>
      <c r="F44" s="821" t="s">
        <v>1565</v>
      </c>
      <c r="G44" s="822"/>
    </row>
    <row r="45" spans="1:7">
      <c r="A45" s="821" t="s">
        <v>1566</v>
      </c>
      <c r="B45" s="822"/>
      <c r="C45" s="1455"/>
      <c r="D45" s="2617" t="s">
        <v>1566</v>
      </c>
      <c r="E45" s="822"/>
      <c r="F45" s="821" t="s">
        <v>1566</v>
      </c>
      <c r="G45" s="822"/>
    </row>
    <row r="46" spans="1:7">
      <c r="A46" s="821" t="s">
        <v>1567</v>
      </c>
      <c r="B46" s="822"/>
      <c r="C46" s="1455"/>
      <c r="D46" s="2617" t="s">
        <v>1567</v>
      </c>
      <c r="E46" s="822"/>
      <c r="F46" s="821" t="s">
        <v>1567</v>
      </c>
      <c r="G46" s="822"/>
    </row>
    <row r="47" spans="1:7">
      <c r="A47" s="821" t="s">
        <v>1568</v>
      </c>
      <c r="B47" s="822"/>
      <c r="C47" s="1455"/>
      <c r="D47" s="2617" t="s">
        <v>1568</v>
      </c>
      <c r="E47" s="822"/>
      <c r="F47" s="821" t="s">
        <v>1568</v>
      </c>
      <c r="G47" s="822"/>
    </row>
    <row r="48" spans="1:7">
      <c r="A48" s="821"/>
      <c r="B48" s="822"/>
      <c r="C48" s="1455"/>
      <c r="D48" s="2617"/>
      <c r="E48" s="822"/>
      <c r="F48" s="821"/>
      <c r="G48" s="822"/>
    </row>
    <row r="49" spans="1:66" ht="13.5" thickBot="1">
      <c r="A49" s="805" t="s">
        <v>1612</v>
      </c>
      <c r="B49" s="802"/>
      <c r="C49" s="3215" t="s">
        <v>1612</v>
      </c>
      <c r="D49" s="3216"/>
      <c r="E49" s="820"/>
      <c r="F49" s="805" t="s">
        <v>1613</v>
      </c>
      <c r="G49" s="802"/>
    </row>
    <row r="50" spans="1:66">
      <c r="A50" s="804" t="s">
        <v>1614</v>
      </c>
      <c r="B50" s="819"/>
      <c r="C50" s="3217" t="s">
        <v>1615</v>
      </c>
      <c r="D50" s="3218"/>
      <c r="E50" s="2631"/>
      <c r="F50" s="837"/>
      <c r="G50" s="838"/>
    </row>
    <row r="51" spans="1:66" ht="13.5" thickBot="1">
      <c r="A51" s="804" t="s">
        <v>1616</v>
      </c>
      <c r="B51" s="819"/>
      <c r="C51" s="3225" t="s">
        <v>1617</v>
      </c>
      <c r="D51" s="3228"/>
      <c r="E51" s="802"/>
      <c r="F51" s="811"/>
      <c r="G51" s="830"/>
    </row>
    <row r="52" spans="1:66">
      <c r="A52" s="804" t="s">
        <v>1595</v>
      </c>
      <c r="B52" s="798"/>
      <c r="C52" s="811"/>
      <c r="D52" s="811"/>
      <c r="E52" s="811"/>
      <c r="F52" s="811"/>
      <c r="G52" s="830"/>
    </row>
    <row r="53" spans="1:66" ht="24.75" thickBot="1">
      <c r="A53" s="805" t="s">
        <v>1618</v>
      </c>
      <c r="B53" s="2627"/>
      <c r="C53" s="829"/>
      <c r="D53" s="829"/>
      <c r="E53" s="829"/>
      <c r="F53" s="829"/>
      <c r="G53" s="831"/>
    </row>
    <row r="57" spans="1:66" s="810" customFormat="1">
      <c r="H57" s="2900"/>
      <c r="I57" s="2900"/>
      <c r="J57" s="2900"/>
      <c r="K57" s="2910"/>
      <c r="L57" s="2910"/>
      <c r="M57" s="2910"/>
      <c r="N57" s="2900"/>
      <c r="O57" s="2900"/>
      <c r="P57" s="2900"/>
      <c r="Q57" s="2900"/>
      <c r="R57" s="2900"/>
      <c r="S57" s="2900"/>
      <c r="T57" s="2900"/>
      <c r="U57" s="2900"/>
      <c r="V57" s="2900"/>
      <c r="W57" s="2900"/>
      <c r="X57" s="2900"/>
      <c r="Y57" s="2900"/>
      <c r="Z57" s="2900"/>
      <c r="AA57" s="2900"/>
      <c r="AB57" s="2900"/>
      <c r="AC57" s="2900"/>
      <c r="AD57" s="2900"/>
      <c r="AE57" s="2900"/>
      <c r="AF57" s="2900"/>
      <c r="AG57" s="2900"/>
      <c r="AH57" s="2900"/>
      <c r="AI57" s="2900"/>
      <c r="AJ57" s="2900"/>
      <c r="AK57" s="2900"/>
      <c r="AL57" s="2900"/>
      <c r="AM57" s="2900"/>
      <c r="AN57" s="2900"/>
      <c r="AO57" s="2900"/>
      <c r="AP57" s="2900"/>
      <c r="AQ57" s="2900"/>
      <c r="AR57" s="2900"/>
      <c r="AS57" s="2900"/>
      <c r="AT57" s="2900"/>
      <c r="AU57" s="2900"/>
      <c r="AV57" s="2900"/>
      <c r="AW57" s="2900"/>
      <c r="AX57" s="2900"/>
      <c r="AY57" s="2900"/>
      <c r="AZ57" s="2900"/>
      <c r="BA57" s="2900"/>
      <c r="BB57" s="2900"/>
      <c r="BC57" s="2900"/>
      <c r="BD57" s="2900"/>
      <c r="BE57" s="2900"/>
      <c r="BF57" s="2900"/>
      <c r="BG57" s="2900"/>
      <c r="BH57" s="2900"/>
      <c r="BI57" s="2900"/>
      <c r="BJ57" s="2900"/>
      <c r="BK57" s="2900"/>
      <c r="BL57" s="2900"/>
      <c r="BM57" s="2900"/>
      <c r="BN57" s="2900"/>
    </row>
    <row r="58" spans="1:66" s="810" customFormat="1">
      <c r="H58" s="2900"/>
      <c r="I58" s="2900"/>
      <c r="J58" s="2900"/>
      <c r="K58" s="2910"/>
      <c r="L58" s="2910"/>
      <c r="M58" s="2910"/>
      <c r="N58" s="2900"/>
      <c r="O58" s="2900"/>
      <c r="P58" s="2900"/>
      <c r="Q58" s="2900"/>
      <c r="R58" s="2900"/>
      <c r="S58" s="2900"/>
      <c r="T58" s="2900"/>
      <c r="U58" s="2900"/>
      <c r="V58" s="2900"/>
      <c r="W58" s="2900"/>
      <c r="X58" s="2900"/>
      <c r="Y58" s="2900"/>
      <c r="Z58" s="2900"/>
      <c r="AA58" s="2900"/>
      <c r="AB58" s="2900"/>
      <c r="AC58" s="2900"/>
      <c r="AD58" s="2900"/>
      <c r="AE58" s="2900"/>
      <c r="AF58" s="2900"/>
      <c r="AG58" s="2900"/>
      <c r="AH58" s="2900"/>
      <c r="AI58" s="2900"/>
      <c r="AJ58" s="2900"/>
      <c r="AK58" s="2900"/>
      <c r="AL58" s="2900"/>
      <c r="AM58" s="2900"/>
      <c r="AN58" s="2900"/>
      <c r="AO58" s="2900"/>
      <c r="AP58" s="2900"/>
      <c r="AQ58" s="2900"/>
      <c r="AR58" s="2900"/>
      <c r="AS58" s="2900"/>
      <c r="AT58" s="2900"/>
      <c r="AU58" s="2900"/>
      <c r="AV58" s="2900"/>
      <c r="AW58" s="2900"/>
      <c r="AX58" s="2900"/>
      <c r="AY58" s="2900"/>
      <c r="AZ58" s="2900"/>
      <c r="BA58" s="2900"/>
      <c r="BB58" s="2900"/>
      <c r="BC58" s="2900"/>
      <c r="BD58" s="2900"/>
      <c r="BE58" s="2900"/>
      <c r="BF58" s="2900"/>
      <c r="BG58" s="2900"/>
      <c r="BH58" s="2900"/>
      <c r="BI58" s="2900"/>
      <c r="BJ58" s="2900"/>
      <c r="BK58" s="2900"/>
      <c r="BL58" s="2900"/>
      <c r="BM58" s="2900"/>
      <c r="BN58" s="2900"/>
    </row>
    <row r="59" spans="1:66" s="810" customFormat="1">
      <c r="H59" s="2900"/>
      <c r="I59" s="2900"/>
      <c r="J59" s="2900"/>
      <c r="K59" s="2910"/>
      <c r="L59" s="2910"/>
      <c r="M59" s="2910"/>
      <c r="N59" s="2900"/>
      <c r="O59" s="2900"/>
      <c r="P59" s="2900"/>
      <c r="Q59" s="2900"/>
      <c r="R59" s="2900"/>
      <c r="S59" s="2900"/>
      <c r="T59" s="2900"/>
      <c r="U59" s="2900"/>
      <c r="V59" s="2900"/>
      <c r="W59" s="2900"/>
      <c r="X59" s="2900"/>
      <c r="Y59" s="2900"/>
      <c r="Z59" s="2900"/>
      <c r="AA59" s="2900"/>
      <c r="AB59" s="2900"/>
      <c r="AC59" s="2900"/>
      <c r="AD59" s="2900"/>
      <c r="AE59" s="2900"/>
      <c r="AF59" s="2900"/>
      <c r="AG59" s="2900"/>
      <c r="AH59" s="2900"/>
      <c r="AI59" s="2900"/>
      <c r="AJ59" s="2900"/>
      <c r="AK59" s="2900"/>
      <c r="AL59" s="2900"/>
      <c r="AM59" s="2900"/>
      <c r="AN59" s="2900"/>
      <c r="AO59" s="2900"/>
      <c r="AP59" s="2900"/>
      <c r="AQ59" s="2900"/>
      <c r="AR59" s="2900"/>
      <c r="AS59" s="2900"/>
      <c r="AT59" s="2900"/>
      <c r="AU59" s="2900"/>
      <c r="AV59" s="2900"/>
      <c r="AW59" s="2900"/>
      <c r="AX59" s="2900"/>
      <c r="AY59" s="2900"/>
      <c r="AZ59" s="2900"/>
      <c r="BA59" s="2900"/>
      <c r="BB59" s="2900"/>
      <c r="BC59" s="2900"/>
      <c r="BD59" s="2900"/>
      <c r="BE59" s="2900"/>
      <c r="BF59" s="2900"/>
      <c r="BG59" s="2900"/>
      <c r="BH59" s="2900"/>
      <c r="BI59" s="2900"/>
      <c r="BJ59" s="2900"/>
      <c r="BK59" s="2900"/>
      <c r="BL59" s="2900"/>
      <c r="BM59" s="2900"/>
      <c r="BN59" s="2900"/>
    </row>
    <row r="60" spans="1:66" s="810" customFormat="1">
      <c r="H60" s="2900"/>
      <c r="I60" s="2900"/>
      <c r="J60" s="2900"/>
      <c r="K60" s="2910"/>
      <c r="L60" s="2910"/>
      <c r="M60" s="2910"/>
      <c r="N60" s="2900"/>
      <c r="O60" s="2900"/>
      <c r="P60" s="2900"/>
      <c r="Q60" s="2900"/>
      <c r="R60" s="2900"/>
      <c r="S60" s="2900"/>
      <c r="T60" s="2900"/>
      <c r="U60" s="2900"/>
      <c r="V60" s="2900"/>
      <c r="W60" s="2900"/>
      <c r="X60" s="2900"/>
      <c r="Y60" s="2900"/>
      <c r="Z60" s="2900"/>
      <c r="AA60" s="2900"/>
      <c r="AB60" s="2900"/>
      <c r="AC60" s="2900"/>
      <c r="AD60" s="2900"/>
      <c r="AE60" s="2900"/>
      <c r="AF60" s="2900"/>
      <c r="AG60" s="2900"/>
      <c r="AH60" s="2900"/>
      <c r="AI60" s="2900"/>
      <c r="AJ60" s="2900"/>
      <c r="AK60" s="2900"/>
      <c r="AL60" s="2900"/>
      <c r="AM60" s="2900"/>
      <c r="AN60" s="2900"/>
      <c r="AO60" s="2900"/>
      <c r="AP60" s="2900"/>
      <c r="AQ60" s="2900"/>
      <c r="AR60" s="2900"/>
      <c r="AS60" s="2900"/>
      <c r="AT60" s="2900"/>
      <c r="AU60" s="2900"/>
      <c r="AV60" s="2900"/>
      <c r="AW60" s="2900"/>
      <c r="AX60" s="2900"/>
      <c r="AY60" s="2900"/>
      <c r="AZ60" s="2900"/>
      <c r="BA60" s="2900"/>
      <c r="BB60" s="2900"/>
      <c r="BC60" s="2900"/>
      <c r="BD60" s="2900"/>
      <c r="BE60" s="2900"/>
      <c r="BF60" s="2900"/>
      <c r="BG60" s="2900"/>
      <c r="BH60" s="2900"/>
      <c r="BI60" s="2900"/>
      <c r="BJ60" s="2900"/>
      <c r="BK60" s="2900"/>
      <c r="BL60" s="2900"/>
      <c r="BM60" s="2900"/>
      <c r="BN60" s="2900"/>
    </row>
    <row r="61" spans="1:66" s="810" customFormat="1">
      <c r="H61" s="2900"/>
      <c r="I61" s="2900"/>
      <c r="J61" s="2900"/>
      <c r="K61" s="2910"/>
      <c r="L61" s="2910"/>
      <c r="M61" s="2910"/>
      <c r="N61" s="2900"/>
      <c r="O61" s="2900"/>
      <c r="P61" s="2900"/>
      <c r="Q61" s="2900"/>
      <c r="R61" s="2900"/>
      <c r="S61" s="2900"/>
      <c r="T61" s="2900"/>
      <c r="U61" s="2900"/>
      <c r="V61" s="2900"/>
      <c r="W61" s="2900"/>
      <c r="X61" s="2900"/>
      <c r="Y61" s="2900"/>
      <c r="Z61" s="2900"/>
      <c r="AA61" s="2900"/>
      <c r="AB61" s="2900"/>
      <c r="AC61" s="2900"/>
      <c r="AD61" s="2900"/>
      <c r="AE61" s="2900"/>
      <c r="AF61" s="2900"/>
      <c r="AG61" s="2900"/>
      <c r="AH61" s="2900"/>
      <c r="AI61" s="2900"/>
      <c r="AJ61" s="2900"/>
      <c r="AK61" s="2900"/>
      <c r="AL61" s="2900"/>
      <c r="AM61" s="2900"/>
      <c r="AN61" s="2900"/>
      <c r="AO61" s="2900"/>
      <c r="AP61" s="2900"/>
      <c r="AQ61" s="2900"/>
      <c r="AR61" s="2900"/>
      <c r="AS61" s="2900"/>
      <c r="AT61" s="2900"/>
      <c r="AU61" s="2900"/>
      <c r="AV61" s="2900"/>
      <c r="AW61" s="2900"/>
      <c r="AX61" s="2900"/>
      <c r="AY61" s="2900"/>
      <c r="AZ61" s="2900"/>
      <c r="BA61" s="2900"/>
      <c r="BB61" s="2900"/>
      <c r="BC61" s="2900"/>
      <c r="BD61" s="2900"/>
      <c r="BE61" s="2900"/>
      <c r="BF61" s="2900"/>
      <c r="BG61" s="2900"/>
      <c r="BH61" s="2900"/>
      <c r="BI61" s="2900"/>
      <c r="BJ61" s="2900"/>
      <c r="BK61" s="2900"/>
      <c r="BL61" s="2900"/>
      <c r="BM61" s="2900"/>
      <c r="BN61" s="2900"/>
    </row>
    <row r="62" spans="1:66" s="810" customFormat="1">
      <c r="H62" s="2900"/>
      <c r="I62" s="2900"/>
      <c r="J62" s="2900"/>
      <c r="K62" s="2910"/>
      <c r="L62" s="2910"/>
      <c r="M62" s="2910"/>
      <c r="N62" s="2900"/>
      <c r="O62" s="2900"/>
      <c r="P62" s="2900"/>
      <c r="Q62" s="2900"/>
      <c r="R62" s="2900"/>
      <c r="S62" s="2900"/>
      <c r="T62" s="2900"/>
      <c r="U62" s="2900"/>
      <c r="V62" s="2900"/>
      <c r="W62" s="2900"/>
      <c r="X62" s="2900"/>
      <c r="Y62" s="2900"/>
      <c r="Z62" s="2900"/>
      <c r="AA62" s="2900"/>
      <c r="AB62" s="2900"/>
      <c r="AC62" s="2900"/>
      <c r="AD62" s="2900"/>
      <c r="AE62" s="2900"/>
      <c r="AF62" s="2900"/>
      <c r="AG62" s="2900"/>
      <c r="AH62" s="2900"/>
      <c r="AI62" s="2900"/>
      <c r="AJ62" s="2900"/>
      <c r="AK62" s="2900"/>
      <c r="AL62" s="2900"/>
      <c r="AM62" s="2900"/>
      <c r="AN62" s="2900"/>
      <c r="AO62" s="2900"/>
      <c r="AP62" s="2900"/>
      <c r="AQ62" s="2900"/>
      <c r="AR62" s="2900"/>
      <c r="AS62" s="2900"/>
      <c r="AT62" s="2900"/>
      <c r="AU62" s="2900"/>
      <c r="AV62" s="2900"/>
      <c r="AW62" s="2900"/>
      <c r="AX62" s="2900"/>
      <c r="AY62" s="2900"/>
      <c r="AZ62" s="2900"/>
      <c r="BA62" s="2900"/>
      <c r="BB62" s="2900"/>
      <c r="BC62" s="2900"/>
      <c r="BD62" s="2900"/>
      <c r="BE62" s="2900"/>
      <c r="BF62" s="2900"/>
      <c r="BG62" s="2900"/>
      <c r="BH62" s="2900"/>
      <c r="BI62" s="2900"/>
      <c r="BJ62" s="2900"/>
      <c r="BK62" s="2900"/>
      <c r="BL62" s="2900"/>
      <c r="BM62" s="2900"/>
      <c r="BN62" s="2900"/>
    </row>
    <row r="63" spans="1:66" s="810" customFormat="1">
      <c r="H63" s="2900"/>
      <c r="I63" s="2900"/>
      <c r="J63" s="2900"/>
      <c r="K63" s="2910"/>
      <c r="L63" s="2910"/>
      <c r="M63" s="2910"/>
      <c r="N63" s="2900"/>
      <c r="O63" s="2900"/>
      <c r="P63" s="2900"/>
      <c r="Q63" s="2900"/>
      <c r="R63" s="2900"/>
      <c r="S63" s="2900"/>
      <c r="T63" s="2900"/>
      <c r="U63" s="2900"/>
      <c r="V63" s="2900"/>
      <c r="W63" s="2900"/>
      <c r="X63" s="2900"/>
      <c r="Y63" s="2900"/>
      <c r="Z63" s="2900"/>
      <c r="AA63" s="2900"/>
      <c r="AB63" s="2900"/>
      <c r="AC63" s="2900"/>
      <c r="AD63" s="2900"/>
      <c r="AE63" s="2900"/>
      <c r="AF63" s="2900"/>
      <c r="AG63" s="2900"/>
      <c r="AH63" s="2900"/>
      <c r="AI63" s="2900"/>
      <c r="AJ63" s="2900"/>
      <c r="AK63" s="2900"/>
      <c r="AL63" s="2900"/>
      <c r="AM63" s="2900"/>
      <c r="AN63" s="2900"/>
      <c r="AO63" s="2900"/>
      <c r="AP63" s="2900"/>
      <c r="AQ63" s="2900"/>
      <c r="AR63" s="2900"/>
      <c r="AS63" s="2900"/>
      <c r="AT63" s="2900"/>
      <c r="AU63" s="2900"/>
      <c r="AV63" s="2900"/>
      <c r="AW63" s="2900"/>
      <c r="AX63" s="2900"/>
      <c r="AY63" s="2900"/>
      <c r="AZ63" s="2900"/>
      <c r="BA63" s="2900"/>
      <c r="BB63" s="2900"/>
      <c r="BC63" s="2900"/>
      <c r="BD63" s="2900"/>
      <c r="BE63" s="2900"/>
      <c r="BF63" s="2900"/>
      <c r="BG63" s="2900"/>
      <c r="BH63" s="2900"/>
      <c r="BI63" s="2900"/>
      <c r="BJ63" s="2900"/>
      <c r="BK63" s="2900"/>
      <c r="BL63" s="2900"/>
      <c r="BM63" s="2900"/>
      <c r="BN63" s="2900"/>
    </row>
  </sheetData>
  <sheetProtection password="CEE9" sheet="1" objects="1" scenarios="1" formatCells="0" formatColumns="0" formatRows="0"/>
  <mergeCells count="21">
    <mergeCell ref="A8:A11"/>
    <mergeCell ref="C38:C39"/>
    <mergeCell ref="C40:C41"/>
    <mergeCell ref="A12:A13"/>
    <mergeCell ref="C51:D51"/>
    <mergeCell ref="C28:D28"/>
    <mergeCell ref="C29:D29"/>
    <mergeCell ref="C30:D30"/>
    <mergeCell ref="C36:D36"/>
    <mergeCell ref="C37:D37"/>
    <mergeCell ref="C8:D8"/>
    <mergeCell ref="C10:D10"/>
    <mergeCell ref="C11:D11"/>
    <mergeCell ref="B17:C17"/>
    <mergeCell ref="D17:E17"/>
    <mergeCell ref="I13:I15"/>
    <mergeCell ref="C42:D42"/>
    <mergeCell ref="C49:D49"/>
    <mergeCell ref="C50:D50"/>
    <mergeCell ref="C31:C35"/>
    <mergeCell ref="A24:G24"/>
  </mergeCells>
  <phoneticPr fontId="7" type="noConversion"/>
  <dataValidations count="19">
    <dataValidation type="list" showInputMessage="1" showErrorMessage="1" sqref="B7">
      <formula1>"自然人,企业"</formula1>
    </dataValidation>
    <dataValidation type="list" allowBlank="1" showInputMessage="1" showErrorMessage="1" sqref="B6">
      <formula1>"北京市,其他："</formula1>
    </dataValidation>
    <dataValidation type="list" allowBlank="1" showInputMessage="1" showErrorMessage="1" sqref="F9">
      <formula1>土地级别</formula1>
    </dataValidation>
    <dataValidation type="list" allowBlank="1" showInputMessage="1" showErrorMessage="1" sqref="F10">
      <formula1>INDIRECT($F$9)</formula1>
    </dataValidation>
    <dataValidation type="list" allowBlank="1" showInputMessage="1" showErrorMessage="1" sqref="E12">
      <formula1>"房屋所有权证,不动产权证书"</formula1>
    </dataValidation>
    <dataValidation type="list" allowBlank="1" showInputMessage="1" showErrorMessage="1" sqref="E13">
      <formula1>"国有土地使用证,不动产权证书,无"</formula1>
    </dataValidation>
    <dataValidation type="list" allowBlank="1" showInputMessage="1" showErrorMessage="1" sqref="D4">
      <formula1>"抵押,核定资产"</formula1>
    </dataValidation>
    <dataValidation type="list" allowBlank="1" showInputMessage="1" showErrorMessage="1" sqref="D5">
      <formula1>"房地产抵押价值,房地产市场价值"</formula1>
    </dataValidation>
    <dataValidation type="list" showInputMessage="1" showErrorMessage="1" sqref="D9">
      <formula1>"与房产证证载一致,与房产证证载不一致"</formula1>
    </dataValidation>
    <dataValidation type="list" allowBlank="1" showInputMessage="1" showErrorMessage="1" sqref="F5">
      <formula1>价值类型2</formula1>
    </dataValidation>
    <dataValidation type="list" allowBlank="1" showInputMessage="1" showErrorMessage="1" sqref="G5">
      <formula1>"抵押净值,——"</formula1>
    </dataValidation>
    <dataValidation type="list" allowBlank="1" showInputMessage="1" showErrorMessage="1" sqref="B27 E27 G27">
      <formula1>"已核对原件,未核对原件,——"</formula1>
    </dataValidation>
    <dataValidation type="list" allowBlank="1" showInputMessage="1" showErrorMessage="1" sqref="G42:G43 E42:E43 B42">
      <formula1>"有,无,——"</formula1>
    </dataValidation>
    <dataValidation type="list" allowBlank="1" showInputMessage="1" showErrorMessage="1" sqref="B43">
      <formula1>"原件,复印件"</formula1>
    </dataValidation>
    <dataValidation type="list" allowBlank="1" showInputMessage="1" showErrorMessage="1" sqref="B3 D3">
      <formula1>注册房地产估价师</formula1>
    </dataValidation>
    <dataValidation type="list" allowBlank="1" showInputMessage="1" showErrorMessage="1" sqref="C18:C19 E18">
      <formula1>"原件,复印件,——"</formula1>
    </dataValidation>
    <dataValidation type="list" allowBlank="1" showInputMessage="1" showErrorMessage="1" sqref="E16 C16 G16">
      <formula1>判定</formula1>
    </dataValidation>
    <dataValidation type="list" allowBlank="1" showInputMessage="1" showErrorMessage="1" sqref="B18:B19">
      <formula1>"《房屋所有权证》,《国有土地使用证》,《不动产权证书》,——"</formula1>
    </dataValidation>
    <dataValidation type="list" allowBlank="1" showInputMessage="1" showErrorMessage="1" sqref="F12">
      <formula1>"建筑与土地面积依据相同,——"</formula1>
    </dataValidation>
  </dataValidations>
  <pageMargins left="0.7" right="0.7" top="0.75" bottom="0.75" header="0.3" footer="0.3"/>
  <pageSetup paperSize="9" fitToWidth="0" orientation="landscape" r:id="rId1"/>
  <rowBreaks count="1" manualBreakCount="1">
    <brk id="24" max="6" man="1"/>
  </rowBreaks>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activeCell="F18" sqref="F18"/>
    </sheetView>
  </sheetViews>
  <sheetFormatPr defaultColWidth="9" defaultRowHeight="13.5"/>
  <cols>
    <col min="1" max="1" width="12.125" style="1" customWidth="1"/>
    <col min="2" max="2" width="10.625" style="1" customWidth="1"/>
    <col min="3" max="3" width="15.75" style="1" customWidth="1"/>
    <col min="4" max="7" width="9.5" style="1" bestFit="1" customWidth="1"/>
    <col min="8" max="13" width="9.125" style="1" bestFit="1" customWidth="1"/>
    <col min="14" max="16384" width="9" style="1"/>
  </cols>
  <sheetData>
    <row r="1" spans="1:13" ht="14.25">
      <c r="A1" s="3245" t="s">
        <v>0</v>
      </c>
      <c r="B1" s="3245" t="s">
        <v>2</v>
      </c>
      <c r="C1" s="3245" t="s">
        <v>3</v>
      </c>
      <c r="D1" s="3246" t="s">
        <v>67</v>
      </c>
      <c r="E1" s="3246" t="s">
        <v>68</v>
      </c>
      <c r="F1" s="3246"/>
      <c r="G1" s="3246"/>
      <c r="H1" s="3246"/>
      <c r="I1" s="3246"/>
      <c r="J1" s="3246"/>
      <c r="K1" s="3246"/>
      <c r="L1" s="3246"/>
      <c r="M1" s="3246"/>
    </row>
    <row r="2" spans="1:13" ht="27" customHeight="1">
      <c r="A2" s="3245"/>
      <c r="B2" s="3245"/>
      <c r="C2" s="3245"/>
      <c r="D2" s="3246"/>
      <c r="E2" s="3246" t="s">
        <v>51</v>
      </c>
      <c r="F2" s="3246" t="s">
        <v>52</v>
      </c>
      <c r="G2" s="3246"/>
      <c r="H2" s="3246"/>
      <c r="I2" s="3246"/>
      <c r="J2" s="3246" t="s">
        <v>53</v>
      </c>
      <c r="K2" s="3246"/>
      <c r="L2" s="3246"/>
      <c r="M2" s="3246"/>
    </row>
    <row r="3" spans="1:13" ht="28.5">
      <c r="A3" s="3245"/>
      <c r="B3" s="3245"/>
      <c r="C3" s="3245"/>
      <c r="D3" s="3246"/>
      <c r="E3" s="3246"/>
      <c r="F3" s="2" t="s">
        <v>54</v>
      </c>
      <c r="G3" s="2" t="s">
        <v>49</v>
      </c>
      <c r="H3" s="2" t="s">
        <v>50</v>
      </c>
      <c r="I3" s="2" t="s">
        <v>63</v>
      </c>
      <c r="J3" s="2" t="s">
        <v>54</v>
      </c>
      <c r="K3" s="2" t="s">
        <v>65</v>
      </c>
      <c r="L3" s="2" t="s">
        <v>64</v>
      </c>
      <c r="M3" s="2" t="s">
        <v>66</v>
      </c>
    </row>
    <row r="4" spans="1:13" ht="42.75">
      <c r="A4" s="2" t="s">
        <v>55</v>
      </c>
      <c r="B4" s="2" t="s">
        <v>56</v>
      </c>
      <c r="C4" s="2" t="s">
        <v>57</v>
      </c>
      <c r="D4" s="3">
        <v>3807.94</v>
      </c>
      <c r="E4" s="3">
        <v>20666.91</v>
      </c>
      <c r="F4" s="3">
        <v>19673</v>
      </c>
      <c r="G4" s="3">
        <v>0</v>
      </c>
      <c r="H4" s="3">
        <v>19673</v>
      </c>
      <c r="I4" s="3">
        <v>0</v>
      </c>
      <c r="J4" s="3">
        <v>993.90999999999985</v>
      </c>
      <c r="K4" s="3">
        <v>0</v>
      </c>
      <c r="L4" s="3">
        <v>0</v>
      </c>
      <c r="M4" s="3">
        <v>993.90999999999985</v>
      </c>
    </row>
    <row r="5" spans="1:13" ht="42.75">
      <c r="A5" s="2" t="s">
        <v>55</v>
      </c>
      <c r="B5" s="2" t="s">
        <v>58</v>
      </c>
      <c r="C5" s="2" t="s">
        <v>59</v>
      </c>
      <c r="D5" s="3">
        <v>3667.86</v>
      </c>
      <c r="E5" s="3">
        <v>19906.61</v>
      </c>
      <c r="F5" s="3">
        <v>18792.87</v>
      </c>
      <c r="G5" s="3">
        <v>18792.87</v>
      </c>
      <c r="H5" s="3">
        <v>0</v>
      </c>
      <c r="I5" s="3">
        <v>0</v>
      </c>
      <c r="J5" s="3">
        <v>1113.74</v>
      </c>
      <c r="K5" s="3">
        <v>55.59</v>
      </c>
      <c r="L5" s="3">
        <v>0</v>
      </c>
      <c r="M5" s="3">
        <v>1058.1500000000001</v>
      </c>
    </row>
    <row r="6" spans="1:13" ht="42.75">
      <c r="A6" s="2" t="s">
        <v>55</v>
      </c>
      <c r="B6" s="2" t="s">
        <v>58</v>
      </c>
      <c r="C6" s="2" t="s">
        <v>60</v>
      </c>
      <c r="D6" s="3">
        <v>2067.52</v>
      </c>
      <c r="E6" s="3">
        <v>11221.06</v>
      </c>
      <c r="F6" s="3">
        <v>9934.1299999999992</v>
      </c>
      <c r="G6" s="3">
        <v>9934.1299999999992</v>
      </c>
      <c r="H6" s="3">
        <v>0</v>
      </c>
      <c r="I6" s="3">
        <v>0</v>
      </c>
      <c r="J6" s="3">
        <v>1286.93</v>
      </c>
      <c r="K6" s="3">
        <v>0</v>
      </c>
      <c r="L6" s="3">
        <v>0</v>
      </c>
      <c r="M6" s="3">
        <v>1286.93</v>
      </c>
    </row>
    <row r="7" spans="1:13" ht="42.75">
      <c r="A7" s="2" t="s">
        <v>55</v>
      </c>
      <c r="B7" s="2" t="s">
        <v>58</v>
      </c>
      <c r="C7" s="2" t="s">
        <v>61</v>
      </c>
      <c r="D7" s="3">
        <v>8.18</v>
      </c>
      <c r="E7" s="3">
        <v>44.41</v>
      </c>
      <c r="F7" s="3">
        <v>0</v>
      </c>
      <c r="G7" s="3">
        <v>0</v>
      </c>
      <c r="H7" s="3">
        <v>0</v>
      </c>
      <c r="I7" s="3">
        <v>0</v>
      </c>
      <c r="J7" s="3">
        <v>44.41</v>
      </c>
      <c r="K7" s="3">
        <v>44.41</v>
      </c>
      <c r="L7" s="3">
        <v>0</v>
      </c>
      <c r="M7" s="3">
        <v>0</v>
      </c>
    </row>
    <row r="8" spans="1:13" ht="42.75">
      <c r="A8" s="2" t="s">
        <v>55</v>
      </c>
      <c r="B8" s="2" t="s">
        <v>58</v>
      </c>
      <c r="C8" s="2" t="s">
        <v>62</v>
      </c>
      <c r="D8" s="3">
        <v>2455.5300000000002</v>
      </c>
      <c r="E8" s="3">
        <v>13326.96</v>
      </c>
      <c r="F8" s="3">
        <v>9231.0499999999993</v>
      </c>
      <c r="G8" s="3">
        <v>0</v>
      </c>
      <c r="H8" s="3">
        <v>0</v>
      </c>
      <c r="I8" s="3">
        <v>9231.0499999999993</v>
      </c>
      <c r="J8" s="3">
        <v>4095.91</v>
      </c>
      <c r="K8" s="3">
        <v>0</v>
      </c>
      <c r="L8" s="3">
        <v>3320.79</v>
      </c>
      <c r="M8" s="3">
        <v>775.12</v>
      </c>
    </row>
    <row r="9" spans="1:13" ht="27" customHeight="1">
      <c r="A9" s="3246" t="s">
        <v>69</v>
      </c>
      <c r="B9" s="3246"/>
      <c r="C9" s="3246"/>
      <c r="D9" s="3">
        <v>12007.03</v>
      </c>
      <c r="E9" s="3">
        <v>65165.950000000004</v>
      </c>
      <c r="F9" s="3">
        <v>57631.049999999988</v>
      </c>
      <c r="G9" s="3">
        <v>28727</v>
      </c>
      <c r="H9" s="3">
        <v>19673</v>
      </c>
      <c r="I9" s="3">
        <v>9231.0499999999993</v>
      </c>
      <c r="J9" s="3">
        <v>7534.9</v>
      </c>
      <c r="K9" s="3">
        <v>100</v>
      </c>
      <c r="L9" s="3">
        <v>3320.79</v>
      </c>
      <c r="M9" s="3">
        <v>4114.1099999999997</v>
      </c>
    </row>
  </sheetData>
  <mergeCells count="9">
    <mergeCell ref="A1:A3"/>
    <mergeCell ref="E2:E3"/>
    <mergeCell ref="A9:C9"/>
    <mergeCell ref="F2:I2"/>
    <mergeCell ref="J2:M2"/>
    <mergeCell ref="E1:M1"/>
    <mergeCell ref="D1:D3"/>
    <mergeCell ref="C1:C3"/>
    <mergeCell ref="B1:B3"/>
  </mergeCells>
  <phoneticPr fontId="3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FF00"/>
    <pageSetUpPr fitToPage="1"/>
  </sheetPr>
  <dimension ref="A1:AO158"/>
  <sheetViews>
    <sheetView tabSelected="1" view="pageBreakPreview" zoomScale="70" zoomScaleNormal="90" zoomScaleSheetLayoutView="70" workbookViewId="0">
      <pane xSplit="3" ySplit="11" topLeftCell="D12" activePane="bottomRight" state="frozen"/>
      <selection activeCell="A11" sqref="A11:D11"/>
      <selection pane="topRight" activeCell="A11" sqref="A11:D11"/>
      <selection pane="bottomLeft" activeCell="A11" sqref="A11:D11"/>
      <selection pane="bottomRight" activeCell="J37" sqref="J37"/>
    </sheetView>
  </sheetViews>
  <sheetFormatPr defaultColWidth="13.75" defaultRowHeight="12.75"/>
  <cols>
    <col min="1" max="1" width="20.875" style="2686" customWidth="1"/>
    <col min="2" max="2" width="16.75" style="2633" customWidth="1"/>
    <col min="3" max="3" width="18.25" style="2673" customWidth="1"/>
    <col min="4" max="4" width="34.125" style="2687" customWidth="1"/>
    <col min="5" max="5" width="17.625" style="2687" customWidth="1"/>
    <col min="6" max="6" width="15.5" style="2632" customWidth="1"/>
    <col min="7" max="8" width="9.125" style="2965" customWidth="1"/>
    <col min="9" max="9" width="15" style="2673" bestFit="1" customWidth="1"/>
    <col min="10" max="14" width="8.875" style="2673" customWidth="1"/>
    <col min="15" max="16" width="12.375" style="2673" customWidth="1"/>
    <col min="17" max="17" width="8.625" style="2673" customWidth="1"/>
    <col min="18" max="18" width="12.5" style="2673" customWidth="1"/>
    <col min="19" max="19" width="8.5" style="2673" customWidth="1"/>
    <col min="20" max="21" width="10.875" style="2673" customWidth="1"/>
    <col min="22" max="23" width="12.5" style="2673" customWidth="1"/>
    <col min="24" max="24" width="12.125" style="2673" customWidth="1"/>
    <col min="25" max="25" width="7.5" style="2673" customWidth="1"/>
    <col min="26" max="26" width="6.375" style="2673" customWidth="1"/>
    <col min="27" max="32" width="6.75" style="2673" customWidth="1"/>
    <col min="33" max="33" width="6.5" style="2673" customWidth="1"/>
    <col min="34" max="36" width="7.25" style="2673" customWidth="1"/>
    <col min="37" max="41" width="8" style="2673" customWidth="1"/>
    <col min="42" max="16384" width="13.75" style="2633"/>
  </cols>
  <sheetData>
    <row r="1" spans="1:41" ht="19.5" thickBot="1">
      <c r="A1" s="2919" t="s">
        <v>1619</v>
      </c>
      <c r="B1" s="947"/>
      <c r="D1" s="2632"/>
      <c r="E1" s="2632"/>
    </row>
    <row r="2" spans="1:41" s="2636" customFormat="1" ht="15.75" thickBot="1">
      <c r="A2" s="2920" t="s">
        <v>1620</v>
      </c>
      <c r="B2" s="2921">
        <f>项目基本情况!D2</f>
        <v>44334</v>
      </c>
      <c r="C2" s="1685"/>
      <c r="D2" s="3247" t="s">
        <v>1621</v>
      </c>
      <c r="E2" s="2634"/>
      <c r="F2" s="2635"/>
      <c r="G2" s="2966"/>
      <c r="H2" s="2966"/>
      <c r="I2" s="1685"/>
      <c r="J2" s="1685"/>
      <c r="K2" s="1685"/>
      <c r="L2" s="1685"/>
      <c r="M2" s="1685"/>
      <c r="N2" s="1685"/>
      <c r="O2" s="1685"/>
      <c r="P2" s="1685"/>
      <c r="Q2" s="1685"/>
      <c r="R2" s="1685"/>
      <c r="S2" s="1685"/>
      <c r="T2" s="1685"/>
      <c r="U2" s="1685"/>
      <c r="V2" s="1685"/>
      <c r="W2" s="1685"/>
      <c r="X2" s="1685"/>
      <c r="Y2" s="1685"/>
      <c r="Z2" s="1685"/>
      <c r="AA2" s="1685"/>
      <c r="AB2" s="1685"/>
      <c r="AC2" s="1685"/>
      <c r="AD2" s="1685"/>
      <c r="AE2" s="1685"/>
      <c r="AF2" s="1685"/>
      <c r="AG2" s="1685"/>
      <c r="AH2" s="1685"/>
      <c r="AI2" s="1685"/>
      <c r="AJ2" s="1685"/>
      <c r="AK2" s="1685"/>
      <c r="AL2" s="1685"/>
      <c r="AM2" s="1685"/>
      <c r="AN2" s="1685"/>
      <c r="AO2" s="1685"/>
    </row>
    <row r="3" spans="1:41" s="2636" customFormat="1" ht="15" customHeight="1" thickBot="1">
      <c r="A3" s="2639" t="s">
        <v>1622</v>
      </c>
      <c r="B3" s="2637" t="s">
        <v>2895</v>
      </c>
      <c r="C3" s="1685"/>
      <c r="D3" s="3248"/>
      <c r="E3" s="2638" t="s">
        <v>2899</v>
      </c>
      <c r="F3" s="2635"/>
      <c r="G3" s="2966"/>
      <c r="H3" s="2966"/>
      <c r="I3" s="1685"/>
      <c r="J3" s="1685"/>
      <c r="K3" s="1685"/>
      <c r="L3" s="1685"/>
      <c r="M3" s="1685"/>
      <c r="N3" s="1685"/>
      <c r="O3" s="1685"/>
      <c r="P3" s="1685"/>
      <c r="Q3" s="1685"/>
      <c r="R3" s="1685"/>
      <c r="S3" s="1685"/>
      <c r="T3" s="1685"/>
      <c r="U3" s="1685"/>
      <c r="V3" s="1685"/>
      <c r="W3" s="1685"/>
      <c r="X3" s="1685"/>
      <c r="Y3" s="1685"/>
      <c r="Z3" s="1685"/>
      <c r="AA3" s="1685"/>
      <c r="AB3" s="1685"/>
      <c r="AC3" s="1685"/>
      <c r="AD3" s="1685"/>
      <c r="AE3" s="1685"/>
      <c r="AF3" s="1685"/>
      <c r="AG3" s="1685"/>
      <c r="AH3" s="1685"/>
      <c r="AI3" s="1685"/>
      <c r="AJ3" s="1685"/>
      <c r="AK3" s="1685"/>
      <c r="AL3" s="1685"/>
      <c r="AM3" s="1685"/>
      <c r="AN3" s="1685"/>
      <c r="AO3" s="1685"/>
    </row>
    <row r="4" spans="1:41" s="2636" customFormat="1" ht="15" thickBot="1">
      <c r="A4" s="2642" t="s">
        <v>1623</v>
      </c>
      <c r="B4" s="2637" t="s">
        <v>2896</v>
      </c>
      <c r="C4" s="1685"/>
      <c r="D4" s="3248"/>
      <c r="E4" s="2638"/>
      <c r="F4" s="2635"/>
      <c r="G4" s="2966"/>
      <c r="H4" s="2966"/>
      <c r="I4" s="1685"/>
      <c r="J4" s="1685"/>
      <c r="K4" s="1685"/>
      <c r="L4" s="1685"/>
      <c r="M4" s="1685"/>
      <c r="N4" s="1685"/>
      <c r="O4" s="1685"/>
      <c r="P4" s="1685"/>
      <c r="Q4" s="1685"/>
      <c r="R4" s="1685"/>
      <c r="S4" s="1685"/>
      <c r="T4" s="1685"/>
      <c r="U4" s="1685"/>
      <c r="V4" s="1685"/>
      <c r="W4" s="1685"/>
      <c r="X4" s="1685"/>
      <c r="Y4" s="1685"/>
      <c r="Z4" s="1685"/>
      <c r="AA4" s="1685"/>
      <c r="AB4" s="1685"/>
      <c r="AC4" s="1685"/>
      <c r="AD4" s="1685"/>
      <c r="AE4" s="1685"/>
      <c r="AF4" s="1685"/>
      <c r="AG4" s="1685"/>
      <c r="AH4" s="1685"/>
      <c r="AI4" s="1685"/>
      <c r="AJ4" s="1685"/>
      <c r="AK4" s="1685"/>
      <c r="AL4" s="1685"/>
      <c r="AM4" s="1685"/>
      <c r="AN4" s="1685"/>
      <c r="AO4" s="1685"/>
    </row>
    <row r="5" spans="1:41" s="2636" customFormat="1" ht="15.75" thickBot="1">
      <c r="A5" s="2639" t="s">
        <v>1624</v>
      </c>
      <c r="B5" s="2640">
        <f>项目基本情况!C12</f>
        <v>841.27</v>
      </c>
      <c r="C5" s="1685"/>
      <c r="D5" s="2922" t="s">
        <v>1625</v>
      </c>
      <c r="E5" s="2641">
        <v>155.91999999999999</v>
      </c>
      <c r="F5" s="2635"/>
      <c r="G5" s="2966"/>
      <c r="H5" s="2966"/>
      <c r="I5" s="1685"/>
      <c r="J5" s="1685"/>
      <c r="K5" s="1685"/>
      <c r="L5" s="1685"/>
      <c r="M5" s="1685"/>
      <c r="N5" s="1685"/>
      <c r="O5" s="1685"/>
      <c r="P5" s="1685"/>
      <c r="Q5" s="1685"/>
      <c r="R5" s="1685"/>
      <c r="S5" s="1685"/>
      <c r="T5" s="1685"/>
      <c r="U5" s="1685"/>
      <c r="V5" s="1685"/>
      <c r="W5" s="1685"/>
      <c r="X5" s="1685"/>
      <c r="Y5" s="1685"/>
      <c r="Z5" s="1685"/>
      <c r="AA5" s="1685"/>
      <c r="AB5" s="1685"/>
      <c r="AC5" s="1685"/>
      <c r="AD5" s="1685"/>
      <c r="AE5" s="1685"/>
      <c r="AF5" s="1685"/>
      <c r="AG5" s="1685"/>
      <c r="AH5" s="1685"/>
      <c r="AI5" s="1685"/>
      <c r="AJ5" s="1685"/>
      <c r="AK5" s="1685"/>
      <c r="AL5" s="1685"/>
      <c r="AM5" s="1685"/>
      <c r="AN5" s="1685"/>
      <c r="AO5" s="1685"/>
    </row>
    <row r="6" spans="1:41" s="2636" customFormat="1" ht="15.75" thickBot="1">
      <c r="A6" s="2642" t="s">
        <v>1626</v>
      </c>
      <c r="B6" s="2643">
        <f>项目基本情况!C13</f>
        <v>0</v>
      </c>
      <c r="C6" s="1685"/>
      <c r="D6" s="2922" t="s">
        <v>1627</v>
      </c>
      <c r="E6" s="2641"/>
      <c r="F6" s="2635"/>
      <c r="G6" s="2966"/>
      <c r="H6" s="2966"/>
      <c r="I6" s="1685"/>
      <c r="J6" s="1685"/>
      <c r="K6" s="1685"/>
      <c r="L6" s="1685"/>
      <c r="M6" s="1685"/>
      <c r="N6" s="1685"/>
      <c r="O6" s="1685"/>
      <c r="P6" s="1685"/>
      <c r="Q6" s="1685"/>
      <c r="R6" s="1685"/>
      <c r="S6" s="1685"/>
      <c r="T6" s="1685"/>
      <c r="U6" s="1685"/>
      <c r="V6" s="1685"/>
      <c r="W6" s="1685"/>
      <c r="X6" s="1685"/>
      <c r="Y6" s="1685"/>
      <c r="Z6" s="1685"/>
      <c r="AA6" s="1685"/>
      <c r="AB6" s="1685"/>
      <c r="AC6" s="1685"/>
      <c r="AD6" s="1685"/>
      <c r="AE6" s="1685"/>
      <c r="AF6" s="1685"/>
      <c r="AG6" s="1685"/>
      <c r="AH6" s="1685"/>
      <c r="AI6" s="1685"/>
      <c r="AJ6" s="1685"/>
      <c r="AK6" s="1685"/>
      <c r="AL6" s="1685"/>
      <c r="AM6" s="1685"/>
      <c r="AN6" s="1685"/>
      <c r="AO6" s="1685"/>
    </row>
    <row r="7" spans="1:41" s="1685" customFormat="1" ht="15.75" thickBot="1">
      <c r="A7" s="2968"/>
      <c r="D7" s="2969"/>
      <c r="E7" s="2969"/>
      <c r="F7" s="2966"/>
      <c r="G7" s="2966"/>
      <c r="H7" s="2966"/>
    </row>
    <row r="8" spans="1:41" s="1685" customFormat="1" ht="15" hidden="1">
      <c r="A8" s="2968"/>
      <c r="D8" s="2969"/>
      <c r="E8" s="2969"/>
      <c r="F8" s="2966"/>
      <c r="G8" s="2966"/>
      <c r="H8" s="2966"/>
    </row>
    <row r="9" spans="1:41" s="1685" customFormat="1" ht="15" hidden="1" thickBot="1">
      <c r="C9" s="3088"/>
      <c r="D9" s="2966"/>
      <c r="E9" s="2966"/>
      <c r="F9" s="2966"/>
      <c r="G9" s="2966"/>
      <c r="H9" s="2966"/>
    </row>
    <row r="10" spans="1:41" s="2636" customFormat="1" ht="15" thickBot="1">
      <c r="A10" s="2923" t="s">
        <v>1628</v>
      </c>
      <c r="B10" s="3160" t="s">
        <v>2897</v>
      </c>
      <c r="C10" s="1685"/>
      <c r="D10" s="2920" t="s">
        <v>1629</v>
      </c>
      <c r="E10" s="2924" t="s">
        <v>1630</v>
      </c>
      <c r="F10" s="3089" t="s">
        <v>2839</v>
      </c>
      <c r="G10" s="1685"/>
      <c r="H10" s="1685"/>
      <c r="I10" s="1685"/>
      <c r="J10" s="1685"/>
      <c r="K10" s="1685"/>
      <c r="L10" s="1685"/>
      <c r="M10" s="1685"/>
      <c r="N10" s="1685"/>
      <c r="O10" s="1685"/>
      <c r="P10" s="1685"/>
      <c r="Q10" s="1685"/>
      <c r="R10" s="1685"/>
      <c r="S10" s="1685"/>
      <c r="T10" s="1685"/>
      <c r="U10" s="1685"/>
      <c r="V10" s="1685"/>
      <c r="W10" s="1685"/>
      <c r="X10" s="1685"/>
      <c r="Y10" s="1685"/>
      <c r="Z10" s="1685"/>
      <c r="AA10" s="1685"/>
      <c r="AB10" s="1685"/>
      <c r="AC10" s="1685"/>
      <c r="AD10" s="1685"/>
      <c r="AE10" s="1685"/>
      <c r="AF10" s="1685"/>
      <c r="AG10" s="1685"/>
      <c r="AH10" s="1685"/>
      <c r="AI10" s="1685"/>
      <c r="AJ10" s="1685"/>
      <c r="AK10" s="1685"/>
      <c r="AL10" s="1685"/>
      <c r="AM10" s="1685"/>
      <c r="AN10" s="1685"/>
      <c r="AO10" s="1685"/>
    </row>
    <row r="11" spans="1:41" s="2648" customFormat="1" ht="14.25">
      <c r="A11" s="2925" t="s">
        <v>1631</v>
      </c>
      <c r="B11" s="2646">
        <v>50</v>
      </c>
      <c r="C11" s="1685"/>
      <c r="D11" s="2926" t="s">
        <v>1632</v>
      </c>
      <c r="E11" s="2647"/>
      <c r="F11" s="1312" t="s">
        <v>1633</v>
      </c>
      <c r="G11" s="1685"/>
      <c r="H11" s="1685"/>
      <c r="I11" s="1685"/>
      <c r="J11" s="1685"/>
      <c r="K11" s="1685"/>
      <c r="L11" s="2708"/>
      <c r="M11" s="2708"/>
      <c r="N11" s="2708"/>
      <c r="O11" s="2708"/>
      <c r="P11" s="2708"/>
      <c r="Q11" s="2708"/>
      <c r="R11" s="1685"/>
      <c r="S11" s="1685"/>
      <c r="T11" s="1685"/>
      <c r="U11" s="1685"/>
      <c r="V11" s="1685"/>
      <c r="W11" s="1685"/>
      <c r="X11" s="1685"/>
      <c r="Y11" s="1685"/>
      <c r="Z11" s="1685"/>
      <c r="AA11" s="1685"/>
      <c r="AB11" s="1685"/>
      <c r="AC11" s="1685"/>
      <c r="AD11" s="1685"/>
      <c r="AE11" s="1685"/>
      <c r="AF11" s="1685"/>
      <c r="AG11" s="1685"/>
      <c r="AH11" s="1685"/>
      <c r="AI11" s="1685"/>
      <c r="AJ11" s="1685"/>
      <c r="AK11" s="1685"/>
      <c r="AL11" s="1685"/>
      <c r="AM11" s="1685"/>
      <c r="AN11" s="1685"/>
      <c r="AO11" s="1685"/>
    </row>
    <row r="12" spans="1:41" s="2636" customFormat="1" ht="15">
      <c r="A12" s="2927" t="s">
        <v>1634</v>
      </c>
      <c r="B12" s="2649">
        <v>57477</v>
      </c>
      <c r="C12" s="1685"/>
      <c r="D12" s="2927" t="s">
        <v>1635</v>
      </c>
      <c r="E12" s="2650">
        <v>200</v>
      </c>
      <c r="F12" s="1311"/>
      <c r="G12" s="1685"/>
      <c r="H12" s="1685"/>
      <c r="I12" s="1685"/>
      <c r="J12" s="1685"/>
      <c r="K12" s="1685"/>
      <c r="L12" s="1685"/>
      <c r="M12" s="1685"/>
      <c r="N12" s="1685"/>
      <c r="O12" s="1685"/>
      <c r="P12" s="1685"/>
      <c r="Q12" s="1685"/>
      <c r="R12" s="1685"/>
      <c r="S12" s="1685"/>
      <c r="T12" s="1685"/>
      <c r="U12" s="1685"/>
      <c r="V12" s="1685"/>
      <c r="W12" s="1685"/>
      <c r="X12" s="1685"/>
      <c r="Y12" s="1685"/>
      <c r="Z12" s="1685"/>
      <c r="AA12" s="1685"/>
      <c r="AB12" s="1685"/>
      <c r="AC12" s="1685"/>
      <c r="AD12" s="1685"/>
      <c r="AE12" s="1685"/>
      <c r="AF12" s="1685"/>
      <c r="AG12" s="1685"/>
      <c r="AH12" s="1685"/>
      <c r="AI12" s="1685"/>
      <c r="AJ12" s="1685"/>
      <c r="AK12" s="1685"/>
      <c r="AL12" s="1685"/>
      <c r="AM12" s="1685"/>
      <c r="AN12" s="1685"/>
      <c r="AO12" s="1685"/>
    </row>
    <row r="13" spans="1:41" s="2636" customFormat="1" ht="15" thickBot="1">
      <c r="A13" s="2928" t="s">
        <v>1636</v>
      </c>
      <c r="B13" s="2929">
        <f>IF(B12="",B11-(YEAR($B$2)-B27+B24),ROUNDDOWN(MIN((B12-$B$2)/365,B11),2))</f>
        <v>36</v>
      </c>
      <c r="C13" s="2964"/>
      <c r="D13" s="2930" t="s">
        <v>1637</v>
      </c>
      <c r="E13" s="2651">
        <f>成本法!C10</f>
        <v>31184</v>
      </c>
      <c r="F13" s="1310" t="s">
        <v>1638</v>
      </c>
      <c r="G13" s="1685"/>
      <c r="H13" s="1685"/>
      <c r="I13" s="1685"/>
      <c r="J13" s="1685"/>
      <c r="K13" s="1685"/>
      <c r="L13" s="1685"/>
      <c r="M13" s="1685"/>
      <c r="N13" s="1685"/>
      <c r="O13" s="1685"/>
      <c r="P13" s="1685"/>
      <c r="Q13" s="1685"/>
      <c r="R13" s="1685"/>
      <c r="S13" s="1685"/>
      <c r="T13" s="1685"/>
      <c r="U13" s="1685"/>
      <c r="V13" s="1685"/>
      <c r="W13" s="1685"/>
      <c r="X13" s="1685"/>
      <c r="Y13" s="1685"/>
      <c r="Z13" s="1685"/>
      <c r="AA13" s="1685"/>
      <c r="AB13" s="1685"/>
      <c r="AC13" s="1685"/>
      <c r="AD13" s="1685"/>
      <c r="AE13" s="1685"/>
      <c r="AF13" s="1685"/>
      <c r="AG13" s="1685"/>
      <c r="AH13" s="1685"/>
      <c r="AI13" s="1685"/>
      <c r="AJ13" s="1685"/>
      <c r="AK13" s="1685"/>
      <c r="AL13" s="1685"/>
      <c r="AM13" s="1685"/>
      <c r="AN13" s="1685"/>
      <c r="AO13" s="1685"/>
    </row>
    <row r="14" spans="1:41" s="2636" customFormat="1" ht="14.25">
      <c r="A14" s="2927" t="s">
        <v>1639</v>
      </c>
      <c r="B14" s="2931">
        <f>IF(ISERROR(ROUND(POWER(1+B15,B11-B13)*(POWER(1+B15,B13)-1)/(POWER(1+B15,B11)-1),3)),0,ROUND(POWER(1+B15,B11-B13)*(POWER(1+B15,B13)-1)/(POWER(1+B15,B11)-1),3))</f>
        <v>0.90600000000000003</v>
      </c>
      <c r="C14" s="1685"/>
      <c r="D14" s="2932" t="s">
        <v>1640</v>
      </c>
      <c r="E14" s="2652">
        <v>200</v>
      </c>
      <c r="F14" s="1311"/>
      <c r="G14" s="1685"/>
      <c r="H14" s="1685"/>
      <c r="I14" s="1685"/>
      <c r="J14" s="1685"/>
      <c r="K14" s="1685"/>
      <c r="L14" s="1685"/>
      <c r="M14" s="1685"/>
      <c r="N14" s="1685"/>
      <c r="O14" s="1685"/>
      <c r="P14" s="1685"/>
      <c r="Q14" s="1685"/>
      <c r="R14" s="1685"/>
      <c r="S14" s="1685"/>
      <c r="T14" s="1685"/>
      <c r="U14" s="1685"/>
      <c r="V14" s="1685"/>
      <c r="W14" s="1685"/>
      <c r="X14" s="1685"/>
      <c r="Y14" s="1685"/>
      <c r="Z14" s="1685"/>
      <c r="AA14" s="1685"/>
      <c r="AB14" s="1685"/>
      <c r="AC14" s="1685"/>
      <c r="AD14" s="1685"/>
      <c r="AE14" s="1685"/>
      <c r="AF14" s="1685"/>
      <c r="AG14" s="1685"/>
      <c r="AH14" s="1685"/>
      <c r="AI14" s="1685"/>
      <c r="AJ14" s="1685"/>
      <c r="AK14" s="1685"/>
      <c r="AL14" s="1685"/>
      <c r="AM14" s="1685"/>
      <c r="AN14" s="1685"/>
      <c r="AO14" s="1685"/>
    </row>
    <row r="15" spans="1:41" s="2636" customFormat="1" ht="14.25">
      <c r="A15" s="2927" t="s">
        <v>1641</v>
      </c>
      <c r="B15" s="2653">
        <v>0.05</v>
      </c>
      <c r="C15" s="2563" t="s">
        <v>2840</v>
      </c>
      <c r="D15" s="2927" t="s">
        <v>1642</v>
      </c>
      <c r="E15" s="2933">
        <f>E14-E16</f>
        <v>200</v>
      </c>
      <c r="F15" s="1311"/>
      <c r="G15" s="1685"/>
      <c r="H15" s="1685"/>
      <c r="I15" s="1685"/>
      <c r="J15" s="1685"/>
      <c r="K15" s="1685"/>
      <c r="L15" s="1685"/>
      <c r="M15" s="1685"/>
      <c r="N15" s="1685"/>
      <c r="O15" s="1685"/>
      <c r="P15" s="1685"/>
      <c r="Q15" s="1685"/>
      <c r="R15" s="1685"/>
      <c r="S15" s="1685"/>
      <c r="T15" s="1685"/>
      <c r="U15" s="1685"/>
      <c r="V15" s="1685"/>
      <c r="W15" s="1685"/>
      <c r="X15" s="1685"/>
      <c r="Y15" s="1685"/>
      <c r="Z15" s="1685"/>
      <c r="AA15" s="1685"/>
      <c r="AB15" s="1685"/>
      <c r="AC15" s="1685"/>
      <c r="AD15" s="1685"/>
      <c r="AE15" s="1685"/>
      <c r="AF15" s="1685"/>
      <c r="AG15" s="1685"/>
      <c r="AH15" s="1685"/>
      <c r="AI15" s="1685"/>
      <c r="AJ15" s="1685"/>
      <c r="AK15" s="1685"/>
      <c r="AL15" s="1685"/>
      <c r="AM15" s="1685"/>
      <c r="AN15" s="1685"/>
      <c r="AO15" s="1685"/>
    </row>
    <row r="16" spans="1:41" s="2636" customFormat="1" ht="15" thickBot="1">
      <c r="A16" s="2927" t="s">
        <v>1643</v>
      </c>
      <c r="B16" s="2653">
        <v>5.5E-2</v>
      </c>
      <c r="C16" s="2563" t="s">
        <v>2841</v>
      </c>
      <c r="D16" s="2934" t="s">
        <v>1644</v>
      </c>
      <c r="E16" s="2654">
        <v>0</v>
      </c>
      <c r="F16" s="1310"/>
      <c r="G16" s="1685"/>
      <c r="H16" s="1685"/>
      <c r="I16" s="1685"/>
      <c r="J16" s="1685"/>
      <c r="K16" s="1685"/>
      <c r="L16" s="1685"/>
      <c r="M16" s="1685"/>
      <c r="N16" s="1685"/>
      <c r="O16" s="1685"/>
      <c r="P16" s="1685"/>
      <c r="Q16" s="1685"/>
      <c r="R16" s="1685"/>
      <c r="S16" s="1685"/>
      <c r="T16" s="1685"/>
      <c r="U16" s="1685"/>
      <c r="V16" s="1685"/>
      <c r="W16" s="1685"/>
      <c r="X16" s="1685"/>
      <c r="Y16" s="1685"/>
      <c r="Z16" s="1685"/>
      <c r="AA16" s="1685"/>
      <c r="AB16" s="1685"/>
      <c r="AC16" s="1685"/>
      <c r="AD16" s="1685"/>
      <c r="AE16" s="1685"/>
      <c r="AF16" s="1685"/>
      <c r="AG16" s="1685"/>
      <c r="AH16" s="1685"/>
      <c r="AI16" s="1685"/>
      <c r="AJ16" s="1685"/>
      <c r="AK16" s="1685"/>
      <c r="AL16" s="1685"/>
      <c r="AM16" s="1685"/>
      <c r="AN16" s="1685"/>
      <c r="AO16" s="1685"/>
    </row>
    <row r="17" spans="1:41" s="2636" customFormat="1" ht="15" thickBot="1">
      <c r="A17" s="2934" t="s">
        <v>2838</v>
      </c>
      <c r="B17" s="3087">
        <v>8.5000000000000006E-2</v>
      </c>
      <c r="C17" s="2563" t="s">
        <v>2842</v>
      </c>
      <c r="D17" s="2923" t="s">
        <v>1646</v>
      </c>
      <c r="E17" s="2655">
        <v>3500</v>
      </c>
      <c r="F17" s="947"/>
      <c r="G17" s="1685"/>
      <c r="H17" s="1685"/>
      <c r="I17" s="1685"/>
      <c r="J17" s="1685"/>
      <c r="K17" s="1685"/>
      <c r="L17" s="1685"/>
      <c r="M17" s="1685"/>
      <c r="N17" s="1685"/>
      <c r="O17" s="1685"/>
      <c r="P17" s="1685"/>
      <c r="Q17" s="1685"/>
      <c r="R17" s="1685"/>
      <c r="S17" s="1685"/>
      <c r="T17" s="1685"/>
      <c r="U17" s="1685"/>
      <c r="V17" s="1685"/>
      <c r="W17" s="1685"/>
      <c r="X17" s="1685"/>
      <c r="Y17" s="1685"/>
      <c r="Z17" s="1685"/>
      <c r="AA17" s="1685"/>
      <c r="AB17" s="1685"/>
      <c r="AC17" s="1685"/>
      <c r="AD17" s="1685"/>
      <c r="AE17" s="1685"/>
      <c r="AF17" s="1685"/>
      <c r="AG17" s="1685"/>
      <c r="AH17" s="1685"/>
      <c r="AI17" s="1685"/>
      <c r="AJ17" s="1685"/>
      <c r="AK17" s="1685"/>
      <c r="AL17" s="1685"/>
      <c r="AM17" s="1685"/>
      <c r="AN17" s="1685"/>
      <c r="AO17" s="1685"/>
    </row>
    <row r="18" spans="1:41" s="2636" customFormat="1" ht="15" thickBot="1">
      <c r="A18" s="2935" t="s">
        <v>1645</v>
      </c>
      <c r="B18" s="3095">
        <v>0.09</v>
      </c>
      <c r="C18" s="1685"/>
      <c r="D18" s="2936" t="str">
        <f>IF(B26=0,"建安总额","在建建安")</f>
        <v>建安总额</v>
      </c>
      <c r="E18" s="2937">
        <f>ROUND(B5*E17*IF(B26=0,1,E20),0)</f>
        <v>2944445</v>
      </c>
      <c r="F18" s="2656">
        <f>ROUND(E5*E17*IF(B26=0,1,E20),0)</f>
        <v>545720</v>
      </c>
      <c r="G18" s="1685"/>
      <c r="H18" s="1685"/>
      <c r="I18" s="1685"/>
      <c r="J18" s="1685"/>
      <c r="K18" s="1685"/>
      <c r="L18" s="1685"/>
      <c r="M18" s="1685"/>
      <c r="N18" s="1685"/>
      <c r="O18" s="1685"/>
      <c r="P18" s="1685"/>
      <c r="Q18" s="1685"/>
      <c r="R18" s="1685"/>
      <c r="S18" s="1685"/>
      <c r="T18" s="1685"/>
      <c r="U18" s="1685"/>
      <c r="V18" s="1685"/>
      <c r="W18" s="1685"/>
      <c r="X18" s="1685"/>
      <c r="Y18" s="1685"/>
      <c r="Z18" s="1685"/>
      <c r="AA18" s="1685"/>
      <c r="AB18" s="1685"/>
      <c r="AC18" s="1685"/>
      <c r="AD18" s="1685"/>
      <c r="AE18" s="1685"/>
      <c r="AF18" s="1685"/>
      <c r="AG18" s="1685"/>
      <c r="AH18" s="1685"/>
      <c r="AI18" s="1685"/>
      <c r="AJ18" s="1685"/>
      <c r="AK18" s="1685"/>
      <c r="AL18" s="1685"/>
      <c r="AM18" s="1685"/>
      <c r="AN18" s="1685"/>
      <c r="AO18" s="1685"/>
    </row>
    <row r="19" spans="1:41" s="2636" customFormat="1" ht="15" thickBot="1">
      <c r="A19" s="1311"/>
      <c r="B19" s="1311"/>
      <c r="C19" s="1685"/>
      <c r="D19" s="2936" t="str">
        <f>IF(B26=0,"——","续建建安")</f>
        <v>——</v>
      </c>
      <c r="E19" s="2937" t="str">
        <f>IF(B26=0,"——",ROUND(B5*E17*(1-E20),0))</f>
        <v>——</v>
      </c>
      <c r="F19" s="2656" t="str">
        <f>IF(B26=0,"——",ROUND(E5*E17*(1-E20),0))</f>
        <v>——</v>
      </c>
      <c r="G19" s="1685"/>
      <c r="H19" s="1685"/>
      <c r="I19" s="1685"/>
      <c r="J19" s="1685"/>
      <c r="K19" s="1685"/>
      <c r="L19" s="1685"/>
      <c r="M19" s="1685"/>
      <c r="N19" s="1685"/>
      <c r="O19" s="1685"/>
      <c r="P19" s="1685"/>
      <c r="Q19" s="1685"/>
      <c r="R19" s="1685"/>
      <c r="S19" s="1685"/>
      <c r="T19" s="1685"/>
      <c r="U19" s="1685"/>
      <c r="V19" s="1685"/>
      <c r="W19" s="1685"/>
      <c r="X19" s="1685"/>
      <c r="Y19" s="1685"/>
      <c r="Z19" s="1685"/>
      <c r="AA19" s="1685"/>
      <c r="AB19" s="1685"/>
      <c r="AC19" s="1685"/>
      <c r="AD19" s="1685"/>
      <c r="AE19" s="1685"/>
      <c r="AF19" s="1685"/>
      <c r="AG19" s="1685"/>
      <c r="AH19" s="1685"/>
      <c r="AI19" s="1685"/>
      <c r="AJ19" s="1685"/>
      <c r="AK19" s="1685"/>
      <c r="AL19" s="1685"/>
      <c r="AM19" s="1685"/>
      <c r="AN19" s="1685"/>
      <c r="AO19" s="1685"/>
    </row>
    <row r="20" spans="1:41" s="2636" customFormat="1" ht="15" thickBot="1">
      <c r="A20" s="2938" t="s">
        <v>1647</v>
      </c>
      <c r="B20" s="1311"/>
      <c r="C20" s="1685"/>
      <c r="D20" s="2940" t="str">
        <f>IF(B26=0,"成新率","工程进度")</f>
        <v>成新率</v>
      </c>
      <c r="E20" s="2658">
        <f>H20</f>
        <v>0.8</v>
      </c>
      <c r="F20" s="947"/>
      <c r="G20" s="1685"/>
      <c r="H20" s="1685">
        <f>ROUND(1-(2021-2009)/60,2)</f>
        <v>0.8</v>
      </c>
      <c r="I20" s="1685"/>
      <c r="J20" s="1685"/>
      <c r="K20" s="1685"/>
      <c r="L20" s="1685"/>
      <c r="M20" s="1685"/>
      <c r="N20" s="1685"/>
      <c r="O20" s="1685"/>
      <c r="P20" s="1685"/>
      <c r="Q20" s="1685"/>
      <c r="R20" s="1685"/>
      <c r="S20" s="1685"/>
      <c r="T20" s="1685"/>
      <c r="U20" s="1685"/>
      <c r="V20" s="1685"/>
      <c r="W20" s="1685"/>
      <c r="X20" s="1685"/>
      <c r="Y20" s="1685"/>
      <c r="Z20" s="1685"/>
      <c r="AA20" s="1685"/>
      <c r="AB20" s="1685"/>
      <c r="AC20" s="1685"/>
      <c r="AD20" s="1685"/>
      <c r="AE20" s="1685"/>
      <c r="AF20" s="1685"/>
      <c r="AG20" s="1685"/>
      <c r="AH20" s="1685"/>
      <c r="AI20" s="1685"/>
      <c r="AJ20" s="1685"/>
      <c r="AK20" s="1685"/>
      <c r="AL20" s="1685"/>
      <c r="AM20" s="1685"/>
      <c r="AN20" s="1685"/>
      <c r="AO20" s="1685"/>
    </row>
    <row r="21" spans="1:41" s="2636" customFormat="1" ht="14.25">
      <c r="A21" s="2939" t="s">
        <v>1648</v>
      </c>
      <c r="B21" s="2657">
        <v>0</v>
      </c>
      <c r="C21" s="1685"/>
      <c r="D21" s="2927" t="s">
        <v>1650</v>
      </c>
      <c r="E21" s="2660">
        <v>0.03</v>
      </c>
      <c r="F21" s="2671" t="s">
        <v>2848</v>
      </c>
      <c r="G21" s="1685"/>
      <c r="H21" s="1685"/>
      <c r="I21" s="1685"/>
      <c r="J21" s="1685"/>
      <c r="K21" s="1685"/>
      <c r="L21" s="1685"/>
      <c r="M21" s="1685"/>
      <c r="N21" s="1685"/>
      <c r="O21" s="1685"/>
      <c r="P21" s="1685"/>
      <c r="Q21" s="1685"/>
      <c r="R21" s="1685"/>
      <c r="S21" s="1685"/>
      <c r="T21" s="1685"/>
      <c r="U21" s="1685"/>
      <c r="V21" s="1685"/>
      <c r="W21" s="1685"/>
      <c r="X21" s="1685"/>
      <c r="Y21" s="1685"/>
      <c r="Z21" s="1685"/>
      <c r="AA21" s="1685"/>
      <c r="AB21" s="1685"/>
      <c r="AC21" s="1685"/>
      <c r="AD21" s="1685"/>
      <c r="AE21" s="1685"/>
      <c r="AF21" s="1685"/>
      <c r="AG21" s="1685"/>
      <c r="AH21" s="1685"/>
      <c r="AI21" s="1685"/>
      <c r="AJ21" s="1685"/>
      <c r="AK21" s="1685"/>
      <c r="AL21" s="1685"/>
      <c r="AM21" s="1685"/>
      <c r="AN21" s="1685"/>
      <c r="AO21" s="1685"/>
    </row>
    <row r="22" spans="1:41" s="2636" customFormat="1" ht="14.25">
      <c r="A22" s="2941" t="s">
        <v>1649</v>
      </c>
      <c r="B22" s="2659">
        <v>2</v>
      </c>
      <c r="C22" s="1685"/>
      <c r="D22" s="2927" t="s">
        <v>1652</v>
      </c>
      <c r="E22" s="2663">
        <v>0.05</v>
      </c>
      <c r="F22" s="2671" t="s">
        <v>2846</v>
      </c>
      <c r="G22" s="1685"/>
      <c r="H22" s="1685"/>
      <c r="I22" s="1685"/>
      <c r="J22" s="1685"/>
      <c r="K22" s="1685"/>
      <c r="L22" s="1685"/>
      <c r="M22" s="1685"/>
      <c r="N22" s="1685"/>
      <c r="O22" s="1685"/>
      <c r="P22" s="1685"/>
      <c r="Q22" s="1685"/>
      <c r="R22" s="1685"/>
      <c r="S22" s="1685"/>
      <c r="T22" s="1685"/>
      <c r="U22" s="1685"/>
      <c r="V22" s="1685"/>
      <c r="W22" s="1685"/>
      <c r="X22" s="1685"/>
      <c r="Y22" s="1685"/>
      <c r="Z22" s="1685"/>
      <c r="AA22" s="1685"/>
      <c r="AB22" s="1685"/>
      <c r="AC22" s="1685"/>
      <c r="AD22" s="1685"/>
      <c r="AE22" s="1685"/>
      <c r="AF22" s="1685"/>
      <c r="AG22" s="1685"/>
      <c r="AH22" s="1685"/>
      <c r="AI22" s="1685"/>
      <c r="AJ22" s="1685"/>
      <c r="AK22" s="1685"/>
      <c r="AL22" s="1685"/>
      <c r="AM22" s="1685"/>
      <c r="AN22" s="1685"/>
      <c r="AO22" s="1685"/>
    </row>
    <row r="23" spans="1:41" s="2636" customFormat="1" ht="14.25">
      <c r="A23" s="2942" t="s">
        <v>1651</v>
      </c>
      <c r="B23" s="2662">
        <v>2</v>
      </c>
      <c r="C23" s="1685"/>
      <c r="D23" s="2927" t="s">
        <v>1654</v>
      </c>
      <c r="E23" s="2650">
        <v>200</v>
      </c>
      <c r="F23" s="2671"/>
      <c r="G23" s="1685"/>
      <c r="H23" s="1685"/>
      <c r="I23" s="1685"/>
      <c r="J23" s="1685"/>
      <c r="K23" s="1685"/>
      <c r="L23" s="1685"/>
      <c r="M23" s="1685"/>
      <c r="N23" s="1685"/>
      <c r="O23" s="1685"/>
      <c r="P23" s="1685"/>
      <c r="Q23" s="1685"/>
      <c r="R23" s="1685"/>
      <c r="S23" s="1685"/>
      <c r="T23" s="1685"/>
      <c r="U23" s="1685"/>
      <c r="V23" s="1685"/>
      <c r="W23" s="1685"/>
      <c r="X23" s="1685"/>
      <c r="Y23" s="1685"/>
      <c r="Z23" s="1685"/>
      <c r="AA23" s="1685"/>
      <c r="AB23" s="1685"/>
      <c r="AC23" s="1685"/>
      <c r="AD23" s="1685"/>
      <c r="AE23" s="1685"/>
      <c r="AF23" s="1685"/>
      <c r="AG23" s="1685"/>
      <c r="AH23" s="1685"/>
      <c r="AI23" s="1685"/>
      <c r="AJ23" s="1685"/>
      <c r="AK23" s="1685"/>
      <c r="AL23" s="1685"/>
      <c r="AM23" s="1685"/>
      <c r="AN23" s="1685"/>
      <c r="AO23" s="1685"/>
    </row>
    <row r="24" spans="1:41" s="2636" customFormat="1" ht="15" thickBot="1">
      <c r="A24" s="2943" t="s">
        <v>1653</v>
      </c>
      <c r="B24" s="2944">
        <f>B21+B22</f>
        <v>2</v>
      </c>
      <c r="C24" s="1685"/>
      <c r="D24" s="2934" t="s">
        <v>1656</v>
      </c>
      <c r="E24" s="2664">
        <v>1.4999999999999999E-2</v>
      </c>
      <c r="F24" s="2671" t="s">
        <v>2849</v>
      </c>
      <c r="G24" s="1685"/>
      <c r="H24" s="1685"/>
      <c r="I24" s="1685"/>
      <c r="J24" s="1685"/>
      <c r="K24" s="1685"/>
      <c r="L24" s="1685"/>
      <c r="M24" s="1685"/>
      <c r="N24" s="1685"/>
      <c r="O24" s="1685"/>
      <c r="P24" s="1685"/>
      <c r="Q24" s="1685"/>
      <c r="R24" s="1685"/>
      <c r="S24" s="1685"/>
      <c r="T24" s="1685"/>
      <c r="U24" s="1685"/>
      <c r="V24" s="1685"/>
      <c r="W24" s="1685"/>
      <c r="X24" s="1685"/>
      <c r="Y24" s="1685"/>
      <c r="Z24" s="1685"/>
      <c r="AA24" s="1685"/>
      <c r="AB24" s="1685"/>
      <c r="AC24" s="1685"/>
      <c r="AD24" s="1685"/>
      <c r="AE24" s="1685"/>
      <c r="AF24" s="1685"/>
      <c r="AG24" s="1685"/>
      <c r="AH24" s="1685"/>
      <c r="AI24" s="1685"/>
      <c r="AJ24" s="1685"/>
      <c r="AK24" s="1685"/>
      <c r="AL24" s="1685"/>
      <c r="AM24" s="1685"/>
      <c r="AN24" s="1685"/>
      <c r="AO24" s="1685"/>
    </row>
    <row r="25" spans="1:41" ht="14.25">
      <c r="A25" s="2945" t="s">
        <v>1655</v>
      </c>
      <c r="B25" s="2946">
        <f>B21+B23</f>
        <v>2</v>
      </c>
      <c r="C25" s="1685"/>
      <c r="D25" s="2926" t="s">
        <v>1658</v>
      </c>
      <c r="E25" s="2660">
        <v>0.02</v>
      </c>
      <c r="F25" s="2671" t="s">
        <v>2847</v>
      </c>
      <c r="I25" s="2965"/>
    </row>
    <row r="26" spans="1:41" ht="15" thickBot="1">
      <c r="A26" s="2943" t="s">
        <v>1657</v>
      </c>
      <c r="B26" s="2947">
        <f>B22-B23</f>
        <v>0</v>
      </c>
      <c r="D26" s="2927" t="s">
        <v>1660</v>
      </c>
      <c r="E26" s="2663">
        <v>0.02</v>
      </c>
      <c r="F26" s="2671" t="s">
        <v>2847</v>
      </c>
      <c r="G26" s="2966"/>
      <c r="H26" s="2966"/>
      <c r="I26" s="1685"/>
      <c r="J26" s="1685"/>
      <c r="K26" s="1685"/>
      <c r="L26" s="1685"/>
      <c r="M26" s="1685"/>
      <c r="N26" s="1685"/>
    </row>
    <row r="27" spans="1:41" ht="15.75" thickBot="1">
      <c r="A27" s="2948" t="s">
        <v>1659</v>
      </c>
      <c r="B27" s="2665">
        <v>2009</v>
      </c>
      <c r="C27" s="1685"/>
      <c r="D27" s="3154" t="s">
        <v>2900</v>
      </c>
      <c r="E27" s="2949">
        <f ca="1">IF(D27="利息：取LPR",存贷款利率!G1,存贷款利率!G1+F27)</f>
        <v>4.3499999999999997E-2</v>
      </c>
      <c r="F27" s="3155">
        <v>5.0000000000000001E-3</v>
      </c>
      <c r="G27" s="2966"/>
      <c r="H27" s="2966"/>
      <c r="K27" s="1685"/>
      <c r="N27" s="1685"/>
    </row>
    <row r="28" spans="1:41" ht="15" thickBot="1">
      <c r="A28" s="947"/>
      <c r="B28" s="947"/>
      <c r="D28" s="2930" t="s">
        <v>1662</v>
      </c>
      <c r="E28" s="2667">
        <v>0.2</v>
      </c>
      <c r="G28" s="2966"/>
      <c r="H28" s="2966"/>
      <c r="K28" s="1685"/>
      <c r="N28" s="1685"/>
    </row>
    <row r="29" spans="1:41" ht="14.25">
      <c r="A29" s="2950" t="s">
        <v>1661</v>
      </c>
      <c r="B29" s="2666" t="s">
        <v>2898</v>
      </c>
      <c r="D29" s="2932" t="s">
        <v>1663</v>
      </c>
      <c r="E29" s="2951">
        <f>E30+E31</f>
        <v>5.6000000000000001E-2</v>
      </c>
      <c r="F29" s="1310"/>
      <c r="G29" s="2966"/>
      <c r="H29" s="2966"/>
      <c r="K29" s="1685"/>
      <c r="N29" s="1685"/>
    </row>
    <row r="30" spans="1:41" ht="14.25">
      <c r="A30" s="2927" t="str">
        <f>IF(B29="租赁期内按合同租金","合同租金","市场租金")</f>
        <v>市场租金</v>
      </c>
      <c r="B30" s="2668">
        <v>4</v>
      </c>
      <c r="D30" s="2934" t="s">
        <v>1665</v>
      </c>
      <c r="E30" s="2669">
        <v>0.05</v>
      </c>
      <c r="F30" s="2953">
        <f>IF(B2&lt;DATE(2016,5,1),0,E30)</f>
        <v>0.05</v>
      </c>
      <c r="G30" s="2966"/>
      <c r="H30" s="2966"/>
      <c r="K30" s="1685"/>
      <c r="N30" s="1685"/>
    </row>
    <row r="31" spans="1:41" ht="14.25">
      <c r="A31" s="2927" t="s">
        <v>1664</v>
      </c>
      <c r="B31" s="2952">
        <f ca="1">存贷款利率!I1</f>
        <v>1.4999999999999999E-2</v>
      </c>
      <c r="D31" s="2934" t="s">
        <v>1667</v>
      </c>
      <c r="E31" s="2954">
        <f>E30*(E32+E33+E34)+E35</f>
        <v>6.000000000000001E-3</v>
      </c>
      <c r="F31" s="1310"/>
      <c r="G31" s="2966"/>
      <c r="H31" s="2966"/>
      <c r="K31" s="1685"/>
      <c r="N31" s="1685"/>
    </row>
    <row r="32" spans="1:41" ht="14.25">
      <c r="A32" s="2927" t="s">
        <v>1666</v>
      </c>
      <c r="B32" s="2653">
        <v>0.03</v>
      </c>
      <c r="D32" s="2934" t="s">
        <v>1669</v>
      </c>
      <c r="E32" s="2670">
        <v>7.0000000000000007E-2</v>
      </c>
      <c r="F32" s="2671" t="s">
        <v>2733</v>
      </c>
      <c r="G32" s="2966"/>
      <c r="H32" s="2966"/>
      <c r="K32" s="1685"/>
      <c r="L32" s="1685"/>
      <c r="M32" s="1685"/>
      <c r="N32" s="1685"/>
    </row>
    <row r="33" spans="1:14" ht="14.25">
      <c r="A33" s="2927" t="s">
        <v>1668</v>
      </c>
      <c r="B33" s="2653">
        <v>0.1</v>
      </c>
      <c r="D33" s="2934" t="s">
        <v>1671</v>
      </c>
      <c r="E33" s="2669">
        <v>0.03</v>
      </c>
      <c r="F33" s="1309" t="s">
        <v>1672</v>
      </c>
      <c r="G33" s="2966"/>
      <c r="H33" s="2966"/>
      <c r="K33" s="1685"/>
      <c r="L33" s="1685"/>
      <c r="M33" s="1685"/>
      <c r="N33" s="1685"/>
    </row>
    <row r="34" spans="1:14" s="2673" customFormat="1" ht="14.25">
      <c r="A34" s="2927" t="s">
        <v>1670</v>
      </c>
      <c r="B34" s="2955">
        <f>收益法!J54</f>
        <v>36</v>
      </c>
      <c r="D34" s="2934" t="s">
        <v>1673</v>
      </c>
      <c r="E34" s="2669">
        <v>0.02</v>
      </c>
      <c r="F34" s="1309" t="s">
        <v>1674</v>
      </c>
      <c r="G34" s="2966"/>
      <c r="H34" s="2966"/>
      <c r="I34" s="1685"/>
      <c r="J34" s="1685"/>
      <c r="K34" s="1685"/>
      <c r="L34" s="1685"/>
      <c r="M34" s="1685"/>
      <c r="N34" s="1685"/>
    </row>
    <row r="35" spans="1:14" s="2673" customFormat="1" ht="15" thickBot="1">
      <c r="A35" s="2934" t="str">
        <f>IF(B29="租赁期内按合同租金","剩余租赁期","——")</f>
        <v>——</v>
      </c>
      <c r="B35" s="2672"/>
      <c r="D35" s="2930" t="s">
        <v>1676</v>
      </c>
      <c r="E35" s="2675"/>
      <c r="F35" s="1312" t="s">
        <v>1677</v>
      </c>
      <c r="G35" s="2966"/>
      <c r="H35" s="2966"/>
      <c r="I35" s="1685"/>
      <c r="J35" s="1685"/>
      <c r="K35" s="1685"/>
      <c r="L35" s="1685"/>
      <c r="M35" s="1685"/>
      <c r="N35" s="1685"/>
    </row>
    <row r="36" spans="1:14" s="2673" customFormat="1" ht="15">
      <c r="A36" s="2956" t="s">
        <v>1675</v>
      </c>
      <c r="B36" s="2957"/>
      <c r="D36" s="2958" t="s">
        <v>1678</v>
      </c>
      <c r="E36" s="2677">
        <v>0.03</v>
      </c>
      <c r="F36" s="1311" t="s">
        <v>1679</v>
      </c>
      <c r="G36" s="2966"/>
      <c r="H36" s="2966"/>
      <c r="I36" s="1685"/>
      <c r="J36" s="1685"/>
      <c r="K36" s="1685"/>
      <c r="L36" s="1685"/>
      <c r="M36" s="1685"/>
      <c r="N36" s="1685"/>
    </row>
    <row r="37" spans="1:14" s="2673" customFormat="1" ht="15" thickBot="1">
      <c r="A37" s="2932" t="str">
        <f>IF(B29="租赁期内按合同租金","租金","——")</f>
        <v>——</v>
      </c>
      <c r="B37" s="2676"/>
      <c r="D37" s="2934" t="s">
        <v>1680</v>
      </c>
      <c r="E37" s="2669">
        <v>5.0000000000000001E-4</v>
      </c>
      <c r="F37" s="1311" t="s">
        <v>1681</v>
      </c>
      <c r="G37" s="2966"/>
      <c r="H37" s="2966"/>
      <c r="I37" s="1685"/>
      <c r="J37" s="1685"/>
      <c r="K37" s="1685"/>
      <c r="L37" s="1685"/>
      <c r="M37" s="1685"/>
      <c r="N37" s="1685"/>
    </row>
    <row r="38" spans="1:14" s="2673" customFormat="1" ht="14.25">
      <c r="A38" s="2927" t="str">
        <f>IF(B29="租赁期内按合同租金","年租金增长率","——")</f>
        <v>——</v>
      </c>
      <c r="B38" s="2653"/>
      <c r="D38" s="2959" t="s">
        <v>1682</v>
      </c>
      <c r="E38" s="2960">
        <v>1.2E-2</v>
      </c>
      <c r="F38" s="1311"/>
      <c r="G38" s="2965"/>
      <c r="H38" s="2965"/>
      <c r="I38" s="2966"/>
      <c r="J38" s="1685"/>
      <c r="K38" s="1685"/>
      <c r="L38" s="1685"/>
      <c r="M38" s="1685"/>
      <c r="N38" s="1685"/>
    </row>
    <row r="39" spans="1:14" s="2673" customFormat="1" ht="15" thickBot="1">
      <c r="A39" s="2927" t="str">
        <f>IF(B29="租赁期内按合同租金","空置率","——")</f>
        <v>——</v>
      </c>
      <c r="B39" s="2653"/>
      <c r="D39" s="2930" t="s">
        <v>1683</v>
      </c>
      <c r="E39" s="2961">
        <v>0.12</v>
      </c>
      <c r="F39" s="1311"/>
      <c r="G39" s="2966"/>
      <c r="H39" s="2966"/>
      <c r="I39" s="1685"/>
      <c r="J39" s="1685"/>
      <c r="K39" s="1685"/>
      <c r="L39" s="1685"/>
      <c r="M39" s="1685"/>
      <c r="N39" s="1685"/>
    </row>
    <row r="40" spans="1:14" ht="14.25">
      <c r="A40" s="2927" t="str">
        <f>IF(B29="租赁期内按合同租金","成新率","——")</f>
        <v>——</v>
      </c>
      <c r="B40" s="2653"/>
      <c r="D40" s="2959" t="s">
        <v>1684</v>
      </c>
      <c r="E40" s="2963">
        <f>SUMIF(D42:D51,E41,E42:E51)</f>
        <v>12</v>
      </c>
      <c r="F40" s="1311"/>
      <c r="G40" s="2966"/>
      <c r="H40" s="2966"/>
      <c r="I40" s="1685"/>
      <c r="J40" s="1685"/>
      <c r="K40" s="1685"/>
      <c r="L40" s="1685"/>
      <c r="M40" s="1685"/>
      <c r="N40" s="1685"/>
    </row>
    <row r="41" spans="1:14" ht="15" thickBot="1">
      <c r="A41" s="2934" t="str">
        <f>IF(B29="租赁期内按合同租金","租赁期外收益期","——")</f>
        <v>——</v>
      </c>
      <c r="B41" s="2962" t="str">
        <f>IF(B29="租赁期内按合同租金",B34-B35,"——")</f>
        <v>——</v>
      </c>
      <c r="D41" s="2927" t="s">
        <v>1686</v>
      </c>
      <c r="E41" s="2679" t="s">
        <v>87</v>
      </c>
      <c r="F41" s="1311" t="s">
        <v>1687</v>
      </c>
      <c r="G41" s="1772" t="s">
        <v>1688</v>
      </c>
      <c r="H41" s="2966"/>
      <c r="I41" s="1685"/>
      <c r="J41" s="1685"/>
      <c r="K41" s="1685"/>
      <c r="L41" s="1685"/>
      <c r="M41" s="1685"/>
      <c r="N41" s="1685"/>
    </row>
    <row r="42" spans="1:14" ht="14.25">
      <c r="A42" s="2926" t="s">
        <v>1685</v>
      </c>
      <c r="B42" s="2678"/>
      <c r="D42" s="2680" t="s">
        <v>1690</v>
      </c>
      <c r="E42" s="2668"/>
      <c r="F42" s="1311">
        <v>30</v>
      </c>
      <c r="G42" s="2966"/>
      <c r="H42" s="2966"/>
      <c r="I42" s="1685"/>
      <c r="J42" s="1685"/>
      <c r="K42" s="1685"/>
      <c r="L42" s="1685"/>
      <c r="M42" s="1685"/>
      <c r="N42" s="1685"/>
    </row>
    <row r="43" spans="1:14" ht="14.25">
      <c r="A43" s="2927" t="s">
        <v>1689</v>
      </c>
      <c r="B43" s="2679">
        <v>365</v>
      </c>
      <c r="D43" s="2680" t="s">
        <v>1692</v>
      </c>
      <c r="E43" s="2668"/>
      <c r="F43" s="1311">
        <v>24</v>
      </c>
      <c r="G43" s="2966"/>
      <c r="H43" s="2966"/>
      <c r="I43" s="1685"/>
      <c r="J43" s="1685"/>
      <c r="K43" s="1685"/>
      <c r="L43" s="1685"/>
      <c r="M43" s="1685"/>
      <c r="N43" s="1685"/>
    </row>
    <row r="44" spans="1:14" ht="14.25">
      <c r="A44" s="2927" t="s">
        <v>1691</v>
      </c>
      <c r="B44" s="2668"/>
      <c r="D44" s="2680" t="s">
        <v>1694</v>
      </c>
      <c r="E44" s="2668"/>
      <c r="F44" s="1311">
        <v>18</v>
      </c>
      <c r="G44" s="2673"/>
      <c r="H44" s="2673"/>
      <c r="I44" s="2966"/>
      <c r="J44" s="1685"/>
      <c r="K44" s="1685"/>
      <c r="L44" s="1685"/>
      <c r="M44" s="1685"/>
      <c r="N44" s="1685"/>
    </row>
    <row r="45" spans="1:14" ht="14.25">
      <c r="A45" s="2927" t="s">
        <v>1693</v>
      </c>
      <c r="B45" s="2681">
        <v>1.4999999999999999E-2</v>
      </c>
      <c r="C45" s="2563" t="s">
        <v>2845</v>
      </c>
      <c r="D45" s="2680" t="s">
        <v>1696</v>
      </c>
      <c r="E45" s="2668">
        <v>12</v>
      </c>
      <c r="F45" s="1311">
        <v>12</v>
      </c>
      <c r="G45" s="2673"/>
      <c r="H45" s="2673"/>
      <c r="M45" s="1685"/>
      <c r="N45" s="1685"/>
    </row>
    <row r="46" spans="1:14" ht="14.25">
      <c r="A46" s="2927" t="s">
        <v>1695</v>
      </c>
      <c r="B46" s="2682">
        <v>1.5E-3</v>
      </c>
      <c r="C46" s="2563" t="s">
        <v>2843</v>
      </c>
      <c r="D46" s="2680" t="s">
        <v>1458</v>
      </c>
      <c r="E46" s="2668"/>
      <c r="F46" s="1311">
        <v>3</v>
      </c>
      <c r="G46" s="2673"/>
      <c r="H46" s="2673"/>
      <c r="M46" s="1685"/>
      <c r="N46" s="1685"/>
    </row>
    <row r="47" spans="1:14" ht="15" thickBot="1">
      <c r="A47" s="2930" t="s">
        <v>1697</v>
      </c>
      <c r="B47" s="2683">
        <v>0.02</v>
      </c>
      <c r="C47" s="2563" t="s">
        <v>2844</v>
      </c>
      <c r="D47" s="2680" t="s">
        <v>1698</v>
      </c>
      <c r="E47" s="2668"/>
      <c r="F47" s="1311">
        <v>1.5</v>
      </c>
      <c r="G47" s="2673"/>
      <c r="H47" s="2673"/>
      <c r="M47" s="1685"/>
      <c r="N47" s="1685"/>
    </row>
    <row r="48" spans="1:14" ht="14.25">
      <c r="A48" s="2673"/>
      <c r="B48" s="2673"/>
      <c r="D48" s="2680" t="s">
        <v>1699</v>
      </c>
      <c r="E48" s="2668"/>
      <c r="F48" s="1311"/>
      <c r="G48" s="2673"/>
      <c r="H48" s="2673"/>
      <c r="M48" s="1685"/>
      <c r="N48" s="1685"/>
    </row>
    <row r="49" spans="1:41" ht="14.25">
      <c r="A49" s="2673"/>
      <c r="B49" s="2673"/>
      <c r="D49" s="2680" t="s">
        <v>1700</v>
      </c>
      <c r="E49" s="2668"/>
      <c r="F49" s="1311"/>
      <c r="G49" s="2673"/>
      <c r="H49" s="2673"/>
      <c r="M49" s="1685"/>
      <c r="N49" s="1685"/>
    </row>
    <row r="50" spans="1:41" ht="14.25">
      <c r="A50" s="2673"/>
      <c r="B50" s="2673"/>
      <c r="D50" s="2680" t="s">
        <v>1701</v>
      </c>
      <c r="E50" s="2668"/>
      <c r="F50" s="1311"/>
      <c r="G50" s="2673"/>
      <c r="H50" s="2673"/>
      <c r="M50" s="1685"/>
      <c r="N50" s="1685"/>
    </row>
    <row r="51" spans="1:41" s="947" customFormat="1" ht="15" thickBot="1">
      <c r="A51" s="2673"/>
      <c r="B51" s="2673"/>
      <c r="C51" s="2673"/>
      <c r="D51" s="2684" t="s">
        <v>1702</v>
      </c>
      <c r="E51" s="2685"/>
      <c r="F51" s="1311"/>
      <c r="G51" s="2673"/>
      <c r="H51" s="2673"/>
      <c r="I51" s="2673"/>
      <c r="J51" s="2673"/>
      <c r="K51" s="2673"/>
      <c r="L51" s="2673"/>
      <c r="M51" s="1685"/>
      <c r="N51" s="1685"/>
      <c r="O51" s="2673"/>
      <c r="P51" s="2673"/>
      <c r="Q51" s="2673"/>
      <c r="R51" s="2673"/>
      <c r="S51" s="2673"/>
      <c r="T51" s="2673"/>
      <c r="U51" s="2673"/>
      <c r="V51" s="2673"/>
      <c r="W51" s="2673"/>
      <c r="X51" s="2673"/>
      <c r="Y51" s="2673"/>
      <c r="Z51" s="2673"/>
      <c r="AA51" s="2673"/>
      <c r="AB51" s="2673"/>
      <c r="AC51" s="2673"/>
      <c r="AD51" s="2673"/>
      <c r="AE51" s="2673"/>
      <c r="AF51" s="2673"/>
      <c r="AG51" s="2673"/>
      <c r="AH51" s="2673"/>
      <c r="AI51" s="2673"/>
      <c r="AJ51" s="2673"/>
      <c r="AK51" s="2673"/>
      <c r="AL51" s="2673"/>
      <c r="AM51" s="2673"/>
      <c r="AN51" s="2673"/>
      <c r="AO51" s="2673"/>
    </row>
    <row r="52" spans="1:41" s="2673" customFormat="1" ht="14.25">
      <c r="D52" s="2966"/>
      <c r="E52" s="2966"/>
      <c r="F52" s="2966"/>
      <c r="G52" s="2966"/>
      <c r="H52" s="2966"/>
      <c r="I52" s="1685"/>
      <c r="J52" s="1685"/>
      <c r="K52" s="1685"/>
      <c r="L52" s="1685"/>
      <c r="M52" s="1685"/>
      <c r="N52" s="1685"/>
    </row>
    <row r="53" spans="1:41" s="2673" customFormat="1" ht="14.25">
      <c r="D53" s="2966"/>
      <c r="E53" s="2966"/>
      <c r="F53" s="2966"/>
      <c r="G53" s="2966"/>
      <c r="H53" s="2966"/>
      <c r="I53" s="1685"/>
      <c r="J53" s="1685"/>
      <c r="K53" s="1685"/>
      <c r="L53" s="1685"/>
      <c r="M53" s="1685"/>
      <c r="N53" s="1685"/>
    </row>
    <row r="54" spans="1:41" s="2673" customFormat="1" ht="14.25">
      <c r="D54" s="2966"/>
      <c r="E54" s="2966"/>
      <c r="F54" s="2966"/>
      <c r="G54" s="2966"/>
      <c r="H54" s="2966"/>
      <c r="I54" s="1685"/>
      <c r="J54" s="1685"/>
      <c r="K54" s="1685"/>
      <c r="L54" s="1685"/>
      <c r="M54" s="1685"/>
      <c r="N54" s="1685"/>
    </row>
    <row r="55" spans="1:41" s="2673" customFormat="1" ht="14.25">
      <c r="D55" s="2966"/>
      <c r="E55" s="2966"/>
      <c r="F55" s="2966"/>
      <c r="G55" s="2966"/>
      <c r="H55" s="2966"/>
      <c r="I55" s="1685"/>
      <c r="J55" s="1685"/>
      <c r="K55" s="1685"/>
      <c r="L55" s="1685"/>
      <c r="M55" s="1685"/>
      <c r="N55" s="1685"/>
    </row>
    <row r="56" spans="1:41" s="2673" customFormat="1" ht="14.25">
      <c r="D56" s="2966"/>
      <c r="E56" s="2966"/>
      <c r="F56" s="2966"/>
      <c r="G56" s="2966"/>
      <c r="H56" s="2966"/>
      <c r="I56" s="1685"/>
      <c r="J56" s="1685"/>
      <c r="K56" s="1685"/>
      <c r="L56" s="1685"/>
      <c r="M56" s="1685"/>
      <c r="N56" s="1685"/>
    </row>
    <row r="57" spans="1:41" s="2673" customFormat="1" ht="14.25">
      <c r="D57" s="2966"/>
      <c r="E57" s="2966"/>
      <c r="F57" s="2966"/>
      <c r="G57" s="2966"/>
      <c r="H57" s="2966"/>
      <c r="I57" s="1685"/>
      <c r="J57" s="1685"/>
      <c r="K57" s="1685"/>
      <c r="L57" s="1685"/>
      <c r="M57" s="1685"/>
      <c r="N57" s="1685"/>
    </row>
    <row r="58" spans="1:41" s="2673" customFormat="1" ht="14.25">
      <c r="D58" s="2966"/>
      <c r="E58" s="2966"/>
      <c r="F58" s="2966"/>
      <c r="G58" s="2966"/>
      <c r="H58" s="2966"/>
      <c r="I58" s="1685"/>
      <c r="J58" s="1685"/>
      <c r="K58" s="1685"/>
      <c r="L58" s="1685"/>
      <c r="M58" s="1685"/>
      <c r="N58" s="1685"/>
    </row>
    <row r="59" spans="1:41" s="2673" customFormat="1" ht="14.25">
      <c r="D59" s="2966"/>
      <c r="E59" s="2966"/>
      <c r="F59" s="2966"/>
      <c r="G59" s="2966"/>
      <c r="H59" s="2966"/>
      <c r="I59" s="1685"/>
      <c r="J59" s="1685"/>
      <c r="K59" s="1685"/>
      <c r="L59" s="1685"/>
      <c r="M59" s="2967"/>
      <c r="N59" s="1685"/>
    </row>
    <row r="60" spans="1:41" s="2673" customFormat="1" ht="14.25">
      <c r="D60" s="2966"/>
      <c r="E60" s="2966"/>
      <c r="F60" s="2966"/>
      <c r="G60" s="2966"/>
      <c r="H60" s="2966"/>
      <c r="I60" s="1685"/>
      <c r="J60" s="1685"/>
      <c r="K60" s="1685"/>
      <c r="L60" s="1685"/>
      <c r="M60" s="1685"/>
      <c r="N60" s="1685"/>
    </row>
    <row r="61" spans="1:41" s="2673" customFormat="1" ht="14.25">
      <c r="D61" s="2966"/>
      <c r="E61" s="2966"/>
      <c r="F61" s="2966"/>
      <c r="G61" s="2966"/>
      <c r="H61" s="2966"/>
      <c r="I61" s="1685"/>
      <c r="J61" s="1685"/>
      <c r="K61" s="1685"/>
      <c r="L61" s="1685"/>
      <c r="M61" s="1685"/>
      <c r="N61" s="1685"/>
    </row>
    <row r="62" spans="1:41" s="2673" customFormat="1" ht="14.25">
      <c r="D62" s="2966"/>
      <c r="E62" s="2966"/>
      <c r="F62" s="2966"/>
      <c r="G62" s="2966"/>
      <c r="H62" s="2966"/>
      <c r="I62" s="1685"/>
      <c r="J62" s="1685"/>
      <c r="K62" s="1685"/>
      <c r="L62" s="1685"/>
      <c r="M62" s="1685"/>
      <c r="N62" s="1685"/>
    </row>
    <row r="63" spans="1:41" s="2673" customFormat="1" ht="14.25">
      <c r="D63" s="2966"/>
      <c r="E63" s="2966"/>
      <c r="F63" s="2966"/>
      <c r="G63" s="2966"/>
      <c r="H63" s="2966"/>
      <c r="I63" s="1685"/>
      <c r="J63" s="1685"/>
      <c r="K63" s="1685"/>
      <c r="L63" s="1685"/>
      <c r="M63" s="1685"/>
      <c r="N63" s="1685"/>
    </row>
    <row r="64" spans="1:41" s="2673" customFormat="1" ht="14.25">
      <c r="D64" s="2966"/>
      <c r="E64" s="2966"/>
      <c r="F64" s="2966"/>
      <c r="G64" s="2966"/>
      <c r="H64" s="2966"/>
      <c r="I64" s="1685"/>
      <c r="J64" s="1685"/>
      <c r="K64" s="1685"/>
      <c r="L64" s="1685"/>
      <c r="M64" s="1685"/>
      <c r="N64" s="1685"/>
    </row>
    <row r="65" spans="1:14" s="2673" customFormat="1" ht="14.25">
      <c r="D65" s="2966"/>
      <c r="E65" s="2966"/>
      <c r="F65" s="2966"/>
      <c r="G65" s="2966"/>
      <c r="H65" s="2966"/>
      <c r="I65" s="1685"/>
      <c r="J65" s="1685"/>
      <c r="K65" s="1685"/>
      <c r="L65" s="1685"/>
      <c r="M65" s="1685"/>
      <c r="N65" s="1685"/>
    </row>
    <row r="66" spans="1:14" s="2673" customFormat="1" ht="14.25">
      <c r="D66" s="2966"/>
      <c r="E66" s="2966"/>
      <c r="F66" s="2966"/>
      <c r="G66" s="2966"/>
      <c r="H66" s="2966"/>
      <c r="I66" s="1685"/>
      <c r="J66" s="1685"/>
      <c r="K66" s="1685"/>
      <c r="L66" s="1685"/>
      <c r="M66" s="1685"/>
      <c r="N66" s="1685"/>
    </row>
    <row r="67" spans="1:14" s="2673" customFormat="1" ht="14.25">
      <c r="A67" s="2970"/>
      <c r="D67" s="2966"/>
      <c r="E67" s="2966"/>
      <c r="F67" s="2966"/>
      <c r="G67" s="2966"/>
      <c r="H67" s="2966"/>
      <c r="I67" s="1685"/>
      <c r="J67" s="1685"/>
      <c r="K67" s="1685"/>
      <c r="L67" s="1685"/>
      <c r="M67" s="1685"/>
      <c r="N67" s="1685"/>
    </row>
    <row r="68" spans="1:14" s="2673" customFormat="1" ht="14.25">
      <c r="A68" s="2970"/>
      <c r="D68" s="2966"/>
      <c r="E68" s="2966"/>
      <c r="F68" s="2966"/>
      <c r="G68" s="2965"/>
      <c r="H68" s="2965"/>
    </row>
    <row r="69" spans="1:14" s="2673" customFormat="1">
      <c r="A69" s="2970"/>
      <c r="D69" s="2965"/>
      <c r="E69" s="2965"/>
      <c r="F69" s="2965"/>
      <c r="G69" s="2965"/>
      <c r="H69" s="2965"/>
    </row>
    <row r="70" spans="1:14" s="2673" customFormat="1">
      <c r="A70" s="2970"/>
      <c r="D70" s="2965"/>
      <c r="E70" s="2965"/>
      <c r="F70" s="2965"/>
      <c r="G70" s="2965"/>
      <c r="H70" s="2965"/>
    </row>
    <row r="71" spans="1:14" s="2673" customFormat="1">
      <c r="A71" s="2970"/>
      <c r="D71" s="2965"/>
      <c r="E71" s="2965"/>
      <c r="F71" s="2965"/>
      <c r="G71" s="2965"/>
      <c r="H71" s="2965"/>
    </row>
    <row r="72" spans="1:14" s="2673" customFormat="1">
      <c r="A72" s="2970"/>
      <c r="D72" s="2965"/>
      <c r="E72" s="2965"/>
      <c r="F72" s="2965"/>
      <c r="G72" s="2965"/>
      <c r="H72" s="2965"/>
    </row>
    <row r="73" spans="1:14" s="2673" customFormat="1">
      <c r="A73" s="2970"/>
      <c r="D73" s="2965"/>
      <c r="E73" s="2965"/>
      <c r="F73" s="2965"/>
      <c r="G73" s="2965"/>
      <c r="H73" s="2965"/>
    </row>
    <row r="74" spans="1:14" s="2673" customFormat="1">
      <c r="A74" s="2970"/>
      <c r="D74" s="2965"/>
      <c r="E74" s="2965"/>
      <c r="F74" s="2965"/>
      <c r="G74" s="2965"/>
      <c r="H74" s="2965"/>
    </row>
    <row r="75" spans="1:14" s="2673" customFormat="1">
      <c r="A75" s="2970"/>
      <c r="D75" s="2965"/>
      <c r="E75" s="2965"/>
      <c r="F75" s="2965"/>
      <c r="G75" s="2965"/>
      <c r="H75" s="2965"/>
    </row>
    <row r="76" spans="1:14" s="2673" customFormat="1">
      <c r="A76" s="2970"/>
      <c r="D76" s="2965"/>
      <c r="E76" s="2965"/>
      <c r="F76" s="2965"/>
      <c r="G76" s="2965"/>
      <c r="H76" s="2965"/>
    </row>
    <row r="77" spans="1:14" s="2673" customFormat="1">
      <c r="A77" s="2970"/>
      <c r="D77" s="2965"/>
      <c r="E77" s="2965"/>
      <c r="F77" s="2965"/>
      <c r="G77" s="2965"/>
      <c r="H77" s="2965"/>
    </row>
    <row r="78" spans="1:14" s="2673" customFormat="1">
      <c r="A78" s="2970"/>
      <c r="D78" s="2965"/>
      <c r="E78" s="2965"/>
      <c r="F78" s="2965"/>
      <c r="G78" s="2965"/>
      <c r="H78" s="2965"/>
    </row>
    <row r="79" spans="1:14" s="2673" customFormat="1">
      <c r="A79" s="2970"/>
      <c r="D79" s="2965"/>
      <c r="E79" s="2965"/>
      <c r="F79" s="2965"/>
      <c r="G79" s="2965"/>
      <c r="H79" s="2965"/>
    </row>
    <row r="80" spans="1:14" s="2673" customFormat="1">
      <c r="A80" s="2970"/>
      <c r="D80" s="2965"/>
      <c r="E80" s="2965"/>
      <c r="F80" s="2965"/>
      <c r="G80" s="2965"/>
      <c r="H80" s="2965"/>
    </row>
    <row r="81" spans="1:8" s="2673" customFormat="1">
      <c r="A81" s="2970"/>
      <c r="D81" s="2965"/>
      <c r="E81" s="2965"/>
      <c r="F81" s="2965"/>
      <c r="G81" s="2965"/>
      <c r="H81" s="2965"/>
    </row>
    <row r="82" spans="1:8" s="2673" customFormat="1">
      <c r="A82" s="2970"/>
      <c r="D82" s="2965"/>
      <c r="E82" s="2965"/>
      <c r="F82" s="2965"/>
      <c r="G82" s="2965"/>
      <c r="H82" s="2965"/>
    </row>
    <row r="83" spans="1:8" s="2673" customFormat="1">
      <c r="A83" s="2970"/>
      <c r="D83" s="2965"/>
      <c r="E83" s="2965"/>
      <c r="F83" s="2965"/>
      <c r="G83" s="2965"/>
      <c r="H83" s="2965"/>
    </row>
    <row r="84" spans="1:8" s="2673" customFormat="1">
      <c r="A84" s="2970"/>
      <c r="D84" s="2965"/>
      <c r="E84" s="2965"/>
      <c r="F84" s="2965"/>
      <c r="G84" s="2965"/>
      <c r="H84" s="2965"/>
    </row>
    <row r="85" spans="1:8" s="2673" customFormat="1">
      <c r="A85" s="2970"/>
      <c r="D85" s="2965"/>
      <c r="E85" s="2965"/>
      <c r="F85" s="2965"/>
      <c r="G85" s="2965"/>
      <c r="H85" s="2965"/>
    </row>
    <row r="86" spans="1:8" s="2673" customFormat="1">
      <c r="A86" s="2970"/>
      <c r="D86" s="2965"/>
      <c r="E86" s="2965"/>
      <c r="F86" s="2965"/>
      <c r="G86" s="2965"/>
      <c r="H86" s="2965"/>
    </row>
    <row r="87" spans="1:8" s="2673" customFormat="1">
      <c r="A87" s="2970"/>
      <c r="D87" s="2965"/>
      <c r="E87" s="2965"/>
      <c r="F87" s="2965"/>
      <c r="G87" s="2965"/>
      <c r="H87" s="2965"/>
    </row>
    <row r="88" spans="1:8" s="2673" customFormat="1">
      <c r="A88" s="2970"/>
      <c r="D88" s="2965"/>
      <c r="E88" s="2965"/>
      <c r="F88" s="2965"/>
      <c r="G88" s="2965"/>
      <c r="H88" s="2965"/>
    </row>
    <row r="89" spans="1:8" s="2673" customFormat="1">
      <c r="A89" s="2970"/>
      <c r="D89" s="2965"/>
      <c r="E89" s="2965"/>
      <c r="F89" s="2965"/>
      <c r="G89" s="2965"/>
      <c r="H89" s="2965"/>
    </row>
    <row r="90" spans="1:8" s="2673" customFormat="1">
      <c r="A90" s="2970"/>
      <c r="D90" s="2965"/>
      <c r="E90" s="2965"/>
      <c r="F90" s="2965"/>
      <c r="G90" s="2965"/>
      <c r="H90" s="2965"/>
    </row>
    <row r="91" spans="1:8" s="2673" customFormat="1">
      <c r="A91" s="2970"/>
      <c r="D91" s="2965"/>
      <c r="E91" s="2965"/>
      <c r="F91" s="2965"/>
      <c r="G91" s="2965"/>
      <c r="H91" s="2965"/>
    </row>
    <row r="92" spans="1:8" s="2673" customFormat="1">
      <c r="A92" s="2970"/>
      <c r="D92" s="2965"/>
      <c r="E92" s="2965"/>
      <c r="F92" s="2965"/>
      <c r="G92" s="2965"/>
      <c r="H92" s="2965"/>
    </row>
    <row r="93" spans="1:8" s="2673" customFormat="1">
      <c r="A93" s="2970"/>
      <c r="D93" s="2965"/>
      <c r="E93" s="2965"/>
      <c r="F93" s="2965"/>
      <c r="G93" s="2965"/>
      <c r="H93" s="2965"/>
    </row>
    <row r="94" spans="1:8" s="2673" customFormat="1">
      <c r="A94" s="2970"/>
      <c r="D94" s="2965"/>
      <c r="E94" s="2965"/>
      <c r="F94" s="2965"/>
      <c r="G94" s="2965"/>
      <c r="H94" s="2965"/>
    </row>
    <row r="95" spans="1:8" s="2673" customFormat="1">
      <c r="A95" s="2970"/>
      <c r="D95" s="2965"/>
      <c r="E95" s="2965"/>
      <c r="F95" s="2965"/>
      <c r="G95" s="2965"/>
      <c r="H95" s="2965"/>
    </row>
    <row r="96" spans="1:8" s="2673" customFormat="1">
      <c r="A96" s="2970"/>
      <c r="D96" s="2965"/>
      <c r="E96" s="2965"/>
      <c r="F96" s="2965"/>
      <c r="G96" s="2965"/>
      <c r="H96" s="2965"/>
    </row>
    <row r="97" spans="1:8" s="2673" customFormat="1">
      <c r="A97" s="2970"/>
      <c r="D97" s="2965"/>
      <c r="E97" s="2965"/>
      <c r="F97" s="2965"/>
      <c r="G97" s="2965"/>
      <c r="H97" s="2965"/>
    </row>
    <row r="98" spans="1:8" s="2673" customFormat="1">
      <c r="A98" s="2970"/>
      <c r="D98" s="2965"/>
      <c r="E98" s="2965"/>
      <c r="F98" s="2965"/>
      <c r="G98" s="2965"/>
      <c r="H98" s="2965"/>
    </row>
    <row r="99" spans="1:8" s="2673" customFormat="1">
      <c r="A99" s="2970"/>
      <c r="D99" s="2965"/>
      <c r="E99" s="2965"/>
      <c r="F99" s="2965"/>
      <c r="G99" s="2965"/>
      <c r="H99" s="2965"/>
    </row>
    <row r="100" spans="1:8" s="2673" customFormat="1">
      <c r="A100" s="2970"/>
      <c r="D100" s="2965"/>
      <c r="E100" s="2965"/>
      <c r="F100" s="2965"/>
      <c r="G100" s="2965"/>
      <c r="H100" s="2965"/>
    </row>
    <row r="101" spans="1:8" s="2673" customFormat="1">
      <c r="A101" s="2970"/>
      <c r="D101" s="2965"/>
      <c r="E101" s="2965"/>
      <c r="F101" s="2965"/>
      <c r="G101" s="2965"/>
      <c r="H101" s="2965"/>
    </row>
    <row r="102" spans="1:8" s="2673" customFormat="1">
      <c r="A102" s="2970"/>
      <c r="D102" s="2965"/>
      <c r="E102" s="2965"/>
      <c r="F102" s="2965"/>
      <c r="G102" s="2965"/>
      <c r="H102" s="2965"/>
    </row>
    <row r="103" spans="1:8" s="2673" customFormat="1">
      <c r="A103" s="2970"/>
      <c r="D103" s="2965"/>
      <c r="E103" s="2965"/>
      <c r="F103" s="2965"/>
      <c r="G103" s="2965"/>
      <c r="H103" s="2965"/>
    </row>
    <row r="104" spans="1:8" s="2673" customFormat="1">
      <c r="A104" s="2970"/>
      <c r="D104" s="2965"/>
      <c r="E104" s="2965"/>
      <c r="F104" s="2965"/>
      <c r="G104" s="2965"/>
      <c r="H104" s="2965"/>
    </row>
    <row r="105" spans="1:8" s="2673" customFormat="1">
      <c r="A105" s="2970"/>
      <c r="D105" s="2965"/>
      <c r="E105" s="2965"/>
      <c r="F105" s="2965"/>
      <c r="G105" s="2965"/>
      <c r="H105" s="2965"/>
    </row>
    <row r="106" spans="1:8" s="2673" customFormat="1">
      <c r="A106" s="2970"/>
      <c r="D106" s="2965"/>
      <c r="E106" s="2965"/>
      <c r="F106" s="2965"/>
      <c r="G106" s="2965"/>
      <c r="H106" s="2965"/>
    </row>
    <row r="107" spans="1:8" s="2673" customFormat="1">
      <c r="A107" s="2970"/>
      <c r="D107" s="2965"/>
      <c r="E107" s="2965"/>
      <c r="F107" s="2965"/>
      <c r="G107" s="2965"/>
      <c r="H107" s="2965"/>
    </row>
    <row r="108" spans="1:8" s="2673" customFormat="1">
      <c r="A108" s="2970"/>
      <c r="D108" s="2965"/>
      <c r="E108" s="2965"/>
      <c r="F108" s="2965"/>
      <c r="G108" s="2965"/>
      <c r="H108" s="2965"/>
    </row>
    <row r="109" spans="1:8" s="2673" customFormat="1">
      <c r="A109" s="2970"/>
      <c r="D109" s="2965"/>
      <c r="E109" s="2965"/>
      <c r="F109" s="2965"/>
      <c r="G109" s="2965"/>
      <c r="H109" s="2965"/>
    </row>
    <row r="110" spans="1:8" s="2673" customFormat="1">
      <c r="A110" s="2970"/>
      <c r="D110" s="2965"/>
      <c r="E110" s="2965"/>
      <c r="F110" s="2965"/>
      <c r="G110" s="2965"/>
      <c r="H110" s="2965"/>
    </row>
    <row r="111" spans="1:8" s="2673" customFormat="1">
      <c r="A111" s="2970"/>
      <c r="D111" s="2965"/>
      <c r="E111" s="2965"/>
      <c r="F111" s="2965"/>
      <c r="G111" s="2965"/>
      <c r="H111" s="2965"/>
    </row>
    <row r="112" spans="1:8" s="2673" customFormat="1">
      <c r="A112" s="2970"/>
      <c r="D112" s="2965"/>
      <c r="E112" s="2965"/>
      <c r="F112" s="2965"/>
      <c r="G112" s="2965"/>
      <c r="H112" s="2965"/>
    </row>
    <row r="113" spans="1:8" s="2673" customFormat="1">
      <c r="A113" s="2970"/>
      <c r="D113" s="2965"/>
      <c r="E113" s="2965"/>
      <c r="F113" s="2965"/>
      <c r="G113" s="2965"/>
      <c r="H113" s="2965"/>
    </row>
    <row r="114" spans="1:8" s="2673" customFormat="1">
      <c r="A114" s="2970"/>
      <c r="D114" s="2965"/>
      <c r="E114" s="2965"/>
      <c r="F114" s="2965"/>
      <c r="G114" s="2965"/>
      <c r="H114" s="2965"/>
    </row>
    <row r="115" spans="1:8" s="2673" customFormat="1">
      <c r="A115" s="2970"/>
      <c r="D115" s="2965"/>
      <c r="E115" s="2965"/>
      <c r="F115" s="2965"/>
      <c r="G115" s="2965"/>
      <c r="H115" s="2965"/>
    </row>
    <row r="116" spans="1:8" s="2673" customFormat="1">
      <c r="A116" s="2970"/>
      <c r="D116" s="2965"/>
      <c r="E116" s="2965"/>
      <c r="F116" s="2965"/>
      <c r="G116" s="2965"/>
      <c r="H116" s="2965"/>
    </row>
    <row r="117" spans="1:8" s="2673" customFormat="1">
      <c r="A117" s="2970"/>
      <c r="D117" s="2965"/>
      <c r="E117" s="2965"/>
      <c r="F117" s="2965"/>
      <c r="G117" s="2965"/>
      <c r="H117" s="2965"/>
    </row>
    <row r="118" spans="1:8" s="2673" customFormat="1">
      <c r="A118" s="2970"/>
      <c r="D118" s="2965"/>
      <c r="E118" s="2965"/>
      <c r="F118" s="2965"/>
      <c r="G118" s="2965"/>
      <c r="H118" s="2965"/>
    </row>
    <row r="119" spans="1:8" s="2673" customFormat="1">
      <c r="A119" s="2970"/>
      <c r="D119" s="2965"/>
      <c r="E119" s="2965"/>
      <c r="F119" s="2965"/>
      <c r="G119" s="2965"/>
      <c r="H119" s="2965"/>
    </row>
    <row r="120" spans="1:8" s="2673" customFormat="1">
      <c r="A120" s="2970"/>
      <c r="D120" s="2965"/>
      <c r="E120" s="2965"/>
      <c r="F120" s="2965"/>
      <c r="G120" s="2965"/>
      <c r="H120" s="2965"/>
    </row>
    <row r="121" spans="1:8" s="2673" customFormat="1">
      <c r="A121" s="2970"/>
      <c r="D121" s="2965"/>
      <c r="E121" s="2965"/>
      <c r="F121" s="2965"/>
      <c r="G121" s="2965"/>
      <c r="H121" s="2965"/>
    </row>
    <row r="122" spans="1:8" s="2673" customFormat="1">
      <c r="A122" s="2970"/>
      <c r="D122" s="2965"/>
      <c r="E122" s="2965"/>
      <c r="F122" s="2965"/>
      <c r="G122" s="2965"/>
      <c r="H122" s="2965"/>
    </row>
    <row r="123" spans="1:8" s="2673" customFormat="1">
      <c r="A123" s="2970"/>
      <c r="D123" s="2965"/>
      <c r="E123" s="2965"/>
      <c r="F123" s="2965"/>
      <c r="G123" s="2965"/>
      <c r="H123" s="2965"/>
    </row>
    <row r="124" spans="1:8" s="2673" customFormat="1">
      <c r="A124" s="2970"/>
      <c r="D124" s="2965"/>
      <c r="E124" s="2965"/>
      <c r="F124" s="2965"/>
      <c r="G124" s="2965"/>
      <c r="H124" s="2965"/>
    </row>
    <row r="125" spans="1:8" s="2673" customFormat="1">
      <c r="A125" s="2970"/>
      <c r="D125" s="2965"/>
      <c r="E125" s="2965"/>
      <c r="F125" s="2965"/>
      <c r="G125" s="2965"/>
      <c r="H125" s="2965"/>
    </row>
    <row r="126" spans="1:8" s="2673" customFormat="1">
      <c r="A126" s="2970"/>
      <c r="D126" s="2965"/>
      <c r="E126" s="2965"/>
      <c r="F126" s="2965"/>
      <c r="G126" s="2965"/>
      <c r="H126" s="2965"/>
    </row>
    <row r="127" spans="1:8" s="2673" customFormat="1">
      <c r="A127" s="2970"/>
      <c r="D127" s="2965"/>
      <c r="E127" s="2965"/>
      <c r="F127" s="2965"/>
      <c r="G127" s="2965"/>
      <c r="H127" s="2965"/>
    </row>
    <row r="128" spans="1:8" s="2673" customFormat="1">
      <c r="A128" s="2970"/>
      <c r="D128" s="2965"/>
      <c r="E128" s="2965"/>
      <c r="F128" s="2965"/>
      <c r="G128" s="2965"/>
      <c r="H128" s="2965"/>
    </row>
    <row r="129" spans="1:8" s="2673" customFormat="1">
      <c r="A129" s="2970"/>
      <c r="D129" s="2965"/>
      <c r="E129" s="2965"/>
      <c r="F129" s="2965"/>
      <c r="G129" s="2965"/>
      <c r="H129" s="2965"/>
    </row>
    <row r="130" spans="1:8" s="2673" customFormat="1">
      <c r="A130" s="2970"/>
      <c r="D130" s="2965"/>
      <c r="E130" s="2965"/>
      <c r="F130" s="2965"/>
      <c r="G130" s="2965"/>
      <c r="H130" s="2965"/>
    </row>
    <row r="131" spans="1:8" s="2673" customFormat="1">
      <c r="A131" s="2970"/>
      <c r="D131" s="2965"/>
      <c r="E131" s="2965"/>
      <c r="F131" s="2965"/>
      <c r="G131" s="2965"/>
      <c r="H131" s="2965"/>
    </row>
    <row r="132" spans="1:8" s="2673" customFormat="1">
      <c r="A132" s="2970"/>
      <c r="D132" s="2965"/>
      <c r="E132" s="2965"/>
      <c r="F132" s="2965"/>
      <c r="G132" s="2965"/>
      <c r="H132" s="2965"/>
    </row>
    <row r="133" spans="1:8" s="2673" customFormat="1">
      <c r="A133" s="2970"/>
      <c r="D133" s="2965"/>
      <c r="E133" s="2965"/>
      <c r="F133" s="2965"/>
      <c r="G133" s="2965"/>
      <c r="H133" s="2965"/>
    </row>
    <row r="134" spans="1:8" s="2673" customFormat="1">
      <c r="A134" s="2970"/>
      <c r="D134" s="2965"/>
      <c r="E134" s="2965"/>
      <c r="F134" s="2965"/>
      <c r="G134" s="2965"/>
      <c r="H134" s="2965"/>
    </row>
    <row r="135" spans="1:8" s="2673" customFormat="1">
      <c r="A135" s="2970"/>
      <c r="D135" s="2965"/>
      <c r="E135" s="2965"/>
      <c r="F135" s="2965"/>
      <c r="G135" s="2965"/>
      <c r="H135" s="2965"/>
    </row>
    <row r="136" spans="1:8" s="2673" customFormat="1">
      <c r="A136" s="2970"/>
      <c r="D136" s="2965"/>
      <c r="E136" s="2965"/>
      <c r="F136" s="2965"/>
      <c r="G136" s="2965"/>
      <c r="H136" s="2965"/>
    </row>
    <row r="137" spans="1:8" s="2673" customFormat="1">
      <c r="A137" s="2970"/>
      <c r="D137" s="2965"/>
      <c r="E137" s="2965"/>
      <c r="F137" s="2965"/>
      <c r="G137" s="2965"/>
      <c r="H137" s="2965"/>
    </row>
    <row r="138" spans="1:8" s="2673" customFormat="1">
      <c r="A138" s="2970"/>
      <c r="D138" s="2965"/>
      <c r="E138" s="2965"/>
      <c r="F138" s="2965"/>
      <c r="G138" s="2965"/>
      <c r="H138" s="2965"/>
    </row>
    <row r="139" spans="1:8" s="2673" customFormat="1">
      <c r="A139" s="2970"/>
      <c r="D139" s="2965"/>
      <c r="E139" s="2965"/>
      <c r="F139" s="2965"/>
      <c r="G139" s="2965"/>
      <c r="H139" s="2965"/>
    </row>
    <row r="140" spans="1:8" s="2673" customFormat="1">
      <c r="A140" s="2970"/>
      <c r="D140" s="2965"/>
      <c r="E140" s="2965"/>
      <c r="F140" s="2965"/>
      <c r="G140" s="2965"/>
      <c r="H140" s="2965"/>
    </row>
    <row r="141" spans="1:8" s="2673" customFormat="1">
      <c r="A141" s="2970"/>
      <c r="D141" s="2965"/>
      <c r="E141" s="2965"/>
      <c r="F141" s="2965"/>
      <c r="G141" s="2965"/>
      <c r="H141" s="2965"/>
    </row>
    <row r="142" spans="1:8" s="2673" customFormat="1">
      <c r="A142" s="2970"/>
      <c r="D142" s="2965"/>
      <c r="E142" s="2965"/>
      <c r="F142" s="2965"/>
      <c r="G142" s="2965"/>
      <c r="H142" s="2965"/>
    </row>
    <row r="143" spans="1:8" s="2673" customFormat="1">
      <c r="A143" s="2970"/>
      <c r="D143" s="2965"/>
      <c r="E143" s="2965"/>
      <c r="F143" s="2965"/>
      <c r="G143" s="2965"/>
      <c r="H143" s="2965"/>
    </row>
    <row r="144" spans="1:8" s="2673" customFormat="1">
      <c r="A144" s="2970"/>
      <c r="D144" s="2965"/>
      <c r="E144" s="2965"/>
      <c r="F144" s="2965"/>
      <c r="G144" s="2965"/>
      <c r="H144" s="2965"/>
    </row>
    <row r="145" spans="1:8" s="2673" customFormat="1">
      <c r="A145" s="2970"/>
      <c r="D145" s="2965"/>
      <c r="E145" s="2965"/>
      <c r="F145" s="2965"/>
      <c r="G145" s="2965"/>
      <c r="H145" s="2965"/>
    </row>
    <row r="146" spans="1:8" s="2673" customFormat="1">
      <c r="A146" s="2970"/>
      <c r="D146" s="2965"/>
      <c r="E146" s="2965"/>
      <c r="F146" s="2965"/>
      <c r="G146" s="2965"/>
      <c r="H146" s="2965"/>
    </row>
    <row r="147" spans="1:8" s="2673" customFormat="1">
      <c r="A147" s="2970"/>
      <c r="D147" s="2965"/>
      <c r="E147" s="2965"/>
      <c r="F147" s="2965"/>
      <c r="G147" s="2965"/>
      <c r="H147" s="2965"/>
    </row>
    <row r="148" spans="1:8" s="2673" customFormat="1">
      <c r="A148" s="2970"/>
      <c r="D148" s="2965"/>
      <c r="E148" s="2965"/>
      <c r="F148" s="2965"/>
      <c r="G148" s="2965"/>
      <c r="H148" s="2965"/>
    </row>
    <row r="149" spans="1:8" s="2673" customFormat="1">
      <c r="A149" s="2970"/>
      <c r="D149" s="2965"/>
      <c r="E149" s="2965"/>
      <c r="F149" s="2965"/>
      <c r="G149" s="2965"/>
      <c r="H149" s="2965"/>
    </row>
    <row r="150" spans="1:8" s="2673" customFormat="1">
      <c r="A150" s="2970"/>
      <c r="D150" s="2965"/>
      <c r="E150" s="2965"/>
      <c r="F150" s="2965"/>
      <c r="G150" s="2965"/>
      <c r="H150" s="2965"/>
    </row>
    <row r="151" spans="1:8" s="2673" customFormat="1">
      <c r="A151" s="2970"/>
      <c r="D151" s="2965"/>
      <c r="E151" s="2965"/>
      <c r="F151" s="2965"/>
      <c r="G151" s="2965"/>
      <c r="H151" s="2965"/>
    </row>
    <row r="152" spans="1:8" s="2673" customFormat="1">
      <c r="A152" s="2970"/>
      <c r="D152" s="2965"/>
      <c r="E152" s="2965"/>
      <c r="F152" s="2965"/>
      <c r="G152" s="2965"/>
      <c r="H152" s="2965"/>
    </row>
    <row r="153" spans="1:8" s="2673" customFormat="1">
      <c r="A153" s="2970"/>
      <c r="D153" s="2965"/>
      <c r="E153" s="2965"/>
      <c r="F153" s="2965"/>
      <c r="G153" s="2965"/>
      <c r="H153" s="2965"/>
    </row>
    <row r="154" spans="1:8" s="2673" customFormat="1">
      <c r="A154" s="2970"/>
      <c r="D154" s="2965"/>
      <c r="E154" s="2965"/>
      <c r="F154" s="2965"/>
      <c r="G154" s="2965"/>
      <c r="H154" s="2965"/>
    </row>
    <row r="155" spans="1:8" s="2673" customFormat="1">
      <c r="A155" s="2970"/>
      <c r="D155" s="2965"/>
      <c r="E155" s="2965"/>
      <c r="F155" s="2965"/>
      <c r="G155" s="2965"/>
      <c r="H155" s="2965"/>
    </row>
    <row r="156" spans="1:8" s="2673" customFormat="1">
      <c r="A156" s="2970"/>
      <c r="D156" s="2965"/>
      <c r="E156" s="2965"/>
      <c r="F156" s="2965"/>
      <c r="G156" s="2965"/>
      <c r="H156" s="2965"/>
    </row>
    <row r="157" spans="1:8" s="2673" customFormat="1">
      <c r="A157" s="2970"/>
      <c r="D157" s="2965"/>
      <c r="E157" s="2965"/>
      <c r="F157" s="2965"/>
      <c r="G157" s="2965"/>
      <c r="H157" s="2965"/>
    </row>
    <row r="158" spans="1:8">
      <c r="A158" s="2970"/>
      <c r="B158" s="2673"/>
    </row>
  </sheetData>
  <sheetProtection password="CEE9" sheet="1" objects="1" scenarios="1" formatCells="0" formatColumns="0" formatRows="0"/>
  <mergeCells count="1">
    <mergeCell ref="D2:D4"/>
  </mergeCells>
  <phoneticPr fontId="4" type="noConversion"/>
  <dataValidations count="10">
    <dataValidation type="list" allowBlank="1" showInputMessage="1" showErrorMessage="1" sqref="B11">
      <formula1>法定最高年限</formula1>
    </dataValidation>
    <dataValidation type="list" allowBlank="1" showInputMessage="1" showErrorMessage="1" sqref="E32">
      <formula1>"7%,5%,1%"</formula1>
    </dataValidation>
    <dataValidation type="list" allowBlank="1" showInputMessage="1" showErrorMessage="1" sqref="E41">
      <formula1>城镇土地纳税等级分级范围</formula1>
    </dataValidation>
    <dataValidation type="list" allowBlank="1" showInputMessage="1" showErrorMessage="1" sqref="B10">
      <formula1>地类判定</formula1>
    </dataValidation>
    <dataValidation type="list" showInputMessage="1" showErrorMessage="1" sqref="B43">
      <formula1>"365,12,1"</formula1>
    </dataValidation>
    <dataValidation type="list" allowBlank="1" showInputMessage="1" showErrorMessage="1" sqref="B29">
      <formula1>"无租约,租赁期内按合同租金,有租约不采用"</formula1>
    </dataValidation>
    <dataValidation type="list" allowBlank="1" showInputMessage="1" showErrorMessage="1" sqref="B3">
      <formula1>"万元,元"</formula1>
    </dataValidation>
    <dataValidation type="list" allowBlank="1" showInputMessage="1" showErrorMessage="1" sqref="B4">
      <formula1>"总价,楼面单价"</formula1>
    </dataValidation>
    <dataValidation type="list" allowBlank="1" showInputMessage="1" showErrorMessage="1" sqref="E3">
      <formula1>判定</formula1>
    </dataValidation>
    <dataValidation type="list" allowBlank="1" showInputMessage="1" showErrorMessage="1" sqref="D27">
      <formula1>"利息：取LPR,利息：取LPR加浮动点数"</formula1>
    </dataValidation>
  </dataValidations>
  <pageMargins left="0.70866141732283472" right="0.70866141732283472" top="0.74803149606299213" bottom="0.74803149606299213" header="0.31496062992125984" footer="0.31496062992125984"/>
  <pageSetup paperSize="9" scale="72" fitToHeight="0"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FF00"/>
    <pageSetUpPr fitToPage="1"/>
  </sheetPr>
  <dimension ref="A1:AC187"/>
  <sheetViews>
    <sheetView view="pageBreakPreview" zoomScale="70" zoomScaleNormal="80" zoomScaleSheetLayoutView="70" workbookViewId="0">
      <pane xSplit="1" ySplit="2" topLeftCell="B3" activePane="bottomRight" state="frozen"/>
      <selection activeCell="A11" sqref="A11:D11"/>
      <selection pane="topRight" activeCell="A11" sqref="A11:D11"/>
      <selection pane="bottomLeft" activeCell="A11" sqref="A11:D11"/>
      <selection pane="bottomRight" activeCell="B25" sqref="B25"/>
    </sheetView>
  </sheetViews>
  <sheetFormatPr defaultColWidth="9" defaultRowHeight="14.25"/>
  <cols>
    <col min="1" max="1" width="14.75" style="2636" customWidth="1"/>
    <col min="2" max="2" width="24.5" style="2648" customWidth="1"/>
    <col min="3" max="3" width="28.375" style="2708" customWidth="1"/>
    <col min="4" max="4" width="2.625" style="2708" customWidth="1"/>
    <col min="5" max="5" width="5.875" style="2708" customWidth="1"/>
    <col min="6" max="6" width="27" style="2648" customWidth="1"/>
    <col min="7" max="7" width="32.375" style="2709" customWidth="1"/>
    <col min="8" max="8" width="11.875" style="2705" customWidth="1"/>
    <col min="9" max="9" width="16.75" style="2706" customWidth="1"/>
    <col min="10" max="10" width="2.625" style="2705" customWidth="1"/>
    <col min="11" max="11" width="11.875" style="2705" customWidth="1"/>
    <col min="12" max="12" width="16.75" style="2706" customWidth="1"/>
    <col min="13" max="13" width="2.625" style="2705" customWidth="1"/>
    <col min="14" max="14" width="11.875" style="2705" customWidth="1"/>
    <col min="15" max="15" width="16.75" style="2706" customWidth="1"/>
    <col min="16" max="16" width="2.625" style="2705" customWidth="1"/>
    <col min="17" max="17" width="11.875" style="2705" customWidth="1"/>
    <col min="18" max="18" width="16.75" style="2707" customWidth="1"/>
    <col min="19" max="29" width="9" style="2695"/>
    <col min="30" max="16384" width="9" style="2636"/>
  </cols>
  <sheetData>
    <row r="1" spans="1:29" s="2693" customFormat="1" ht="19.5" thickBot="1">
      <c r="A1" s="3249" t="s">
        <v>1703</v>
      </c>
      <c r="B1" s="3250"/>
      <c r="C1" s="3250"/>
      <c r="D1" s="3250"/>
      <c r="E1" s="3250"/>
      <c r="F1" s="3250"/>
      <c r="G1" s="3250"/>
      <c r="H1" s="2688"/>
      <c r="I1" s="2689"/>
      <c r="J1" s="2688"/>
      <c r="K1" s="2688"/>
      <c r="L1" s="2689"/>
      <c r="M1" s="2688"/>
      <c r="N1" s="2688"/>
      <c r="O1" s="2689"/>
      <c r="P1" s="2688"/>
      <c r="Q1" s="2690"/>
      <c r="R1" s="2691"/>
      <c r="S1" s="2692"/>
      <c r="T1" s="2692"/>
      <c r="U1" s="2692"/>
      <c r="V1" s="2692"/>
      <c r="W1" s="2692"/>
      <c r="X1" s="2692"/>
      <c r="Y1" s="2692"/>
      <c r="Z1" s="2692"/>
      <c r="AA1" s="2692"/>
      <c r="AB1" s="2692"/>
      <c r="AC1" s="2692"/>
    </row>
    <row r="2" spans="1:29" s="2633" customFormat="1" ht="13.5" thickBot="1">
      <c r="A2" s="3096"/>
      <c r="B2" s="3097"/>
      <c r="C2" s="3098" t="s">
        <v>2850</v>
      </c>
      <c r="D2" s="3099"/>
      <c r="E2" s="3096"/>
      <c r="F2" s="3100"/>
      <c r="G2" s="3098" t="s">
        <v>2851</v>
      </c>
      <c r="H2" s="3101"/>
      <c r="I2" s="3101"/>
      <c r="J2" s="3101"/>
      <c r="K2" s="3101"/>
      <c r="L2" s="3101"/>
      <c r="M2" s="3101"/>
      <c r="N2" s="3101"/>
      <c r="O2" s="3101"/>
      <c r="P2" s="3101"/>
      <c r="Q2" s="3101"/>
      <c r="R2" s="3101"/>
      <c r="S2" s="3101"/>
      <c r="T2" s="3101"/>
      <c r="U2" s="3101"/>
      <c r="V2" s="3101"/>
      <c r="W2" s="3101"/>
      <c r="X2" s="3101"/>
      <c r="Y2" s="3101"/>
      <c r="Z2" s="3101"/>
      <c r="AA2" s="3101"/>
      <c r="AB2" s="3101"/>
      <c r="AC2" s="3101"/>
    </row>
    <row r="3" spans="1:29" s="2633" customFormat="1" ht="36">
      <c r="A3" s="3102" t="s">
        <v>2852</v>
      </c>
      <c r="B3" s="3103" t="s">
        <v>2853</v>
      </c>
      <c r="C3" s="3104" t="s">
        <v>2854</v>
      </c>
      <c r="D3" s="3105"/>
      <c r="E3" s="3106" t="s">
        <v>2852</v>
      </c>
      <c r="F3" s="3107" t="s">
        <v>2855</v>
      </c>
      <c r="G3" s="3108" t="s">
        <v>2856</v>
      </c>
      <c r="H3" s="3101"/>
      <c r="I3" s="3101"/>
      <c r="J3" s="3101"/>
      <c r="K3" s="3101"/>
      <c r="L3" s="3101"/>
      <c r="M3" s="3101"/>
      <c r="N3" s="3101"/>
      <c r="O3" s="3101"/>
      <c r="P3" s="3101"/>
      <c r="Q3" s="3101"/>
      <c r="R3" s="3101"/>
      <c r="S3" s="3101"/>
      <c r="T3" s="3101"/>
      <c r="U3" s="3101"/>
      <c r="V3" s="3101"/>
      <c r="W3" s="3101"/>
      <c r="X3" s="3101"/>
      <c r="Y3" s="3101"/>
      <c r="Z3" s="3101"/>
      <c r="AA3" s="3101"/>
      <c r="AB3" s="3101"/>
      <c r="AC3" s="3101"/>
    </row>
    <row r="4" spans="1:29" s="2633" customFormat="1" ht="24.75">
      <c r="A4" s="3106"/>
      <c r="B4" s="3090" t="s">
        <v>2857</v>
      </c>
      <c r="C4" s="3109" t="s">
        <v>2858</v>
      </c>
      <c r="D4" s="3105"/>
      <c r="E4" s="3110"/>
      <c r="F4" s="3092" t="s">
        <v>2859</v>
      </c>
      <c r="G4" s="3111" t="s">
        <v>2860</v>
      </c>
      <c r="H4" s="3101"/>
      <c r="I4" s="3101"/>
      <c r="J4" s="3101"/>
      <c r="K4" s="3101"/>
      <c r="L4" s="3101"/>
      <c r="M4" s="3101"/>
      <c r="N4" s="3101"/>
      <c r="O4" s="3101"/>
      <c r="P4" s="3101"/>
      <c r="Q4" s="3101"/>
      <c r="R4" s="3101"/>
      <c r="S4" s="3101"/>
      <c r="T4" s="3101"/>
      <c r="U4" s="3101"/>
      <c r="V4" s="3101"/>
      <c r="W4" s="3101"/>
      <c r="X4" s="3101"/>
      <c r="Y4" s="3101"/>
      <c r="Z4" s="3101"/>
      <c r="AA4" s="3101"/>
      <c r="AB4" s="3101"/>
      <c r="AC4" s="3101"/>
    </row>
    <row r="5" spans="1:29" s="2633" customFormat="1" ht="24.75">
      <c r="A5" s="3106"/>
      <c r="B5" s="3090" t="s">
        <v>2861</v>
      </c>
      <c r="C5" s="3109" t="s">
        <v>2862</v>
      </c>
      <c r="D5" s="3105"/>
      <c r="E5" s="3110"/>
      <c r="F5" s="3090" t="s">
        <v>2863</v>
      </c>
      <c r="G5" s="3111" t="s">
        <v>2864</v>
      </c>
      <c r="H5" s="3101"/>
      <c r="I5" s="3101"/>
      <c r="J5" s="3101"/>
      <c r="K5" s="3101"/>
      <c r="L5" s="3101"/>
      <c r="M5" s="3101"/>
      <c r="N5" s="3101"/>
      <c r="O5" s="3101"/>
      <c r="P5" s="3101"/>
      <c r="Q5" s="3101"/>
      <c r="R5" s="3101"/>
      <c r="S5" s="3101"/>
      <c r="T5" s="3101"/>
      <c r="U5" s="3101"/>
      <c r="V5" s="3101"/>
      <c r="W5" s="3101"/>
      <c r="X5" s="3101"/>
      <c r="Y5" s="3101"/>
      <c r="Z5" s="3101"/>
      <c r="AA5" s="3101"/>
      <c r="AB5" s="3101"/>
      <c r="AC5" s="3101"/>
    </row>
    <row r="6" spans="1:29" s="2633" customFormat="1" ht="36">
      <c r="A6" s="3106"/>
      <c r="B6" s="3090" t="s">
        <v>2865</v>
      </c>
      <c r="C6" s="3111" t="s">
        <v>2860</v>
      </c>
      <c r="D6" s="3105"/>
      <c r="E6" s="3110"/>
      <c r="F6" s="3090" t="s">
        <v>2866</v>
      </c>
      <c r="G6" s="3111" t="s">
        <v>2867</v>
      </c>
      <c r="H6" s="3101"/>
      <c r="I6" s="3101"/>
      <c r="J6" s="3101"/>
      <c r="K6" s="3101"/>
      <c r="L6" s="3101"/>
      <c r="M6" s="3101"/>
      <c r="N6" s="3101"/>
      <c r="O6" s="3101"/>
      <c r="P6" s="3101"/>
      <c r="Q6" s="3101"/>
      <c r="R6" s="3101"/>
      <c r="S6" s="3101"/>
      <c r="T6" s="3101"/>
      <c r="U6" s="3101"/>
      <c r="V6" s="3101"/>
      <c r="W6" s="3101"/>
      <c r="X6" s="3101"/>
      <c r="Y6" s="3101"/>
      <c r="Z6" s="3101"/>
      <c r="AA6" s="3101"/>
      <c r="AB6" s="3101"/>
      <c r="AC6" s="3101"/>
    </row>
    <row r="7" spans="1:29" s="2633" customFormat="1" ht="24.75" thickBot="1">
      <c r="A7" s="3106"/>
      <c r="B7" s="3090" t="s">
        <v>2863</v>
      </c>
      <c r="C7" s="3111" t="s">
        <v>2864</v>
      </c>
      <c r="D7" s="2979"/>
      <c r="E7" s="3112"/>
      <c r="F7" s="3113" t="s">
        <v>2868</v>
      </c>
      <c r="G7" s="3114" t="s">
        <v>2869</v>
      </c>
      <c r="H7" s="3101"/>
      <c r="I7" s="3101"/>
      <c r="J7" s="3101"/>
      <c r="K7" s="3101"/>
      <c r="L7" s="3101"/>
      <c r="M7" s="3101"/>
      <c r="N7" s="3101"/>
      <c r="O7" s="3101"/>
      <c r="P7" s="3101"/>
      <c r="Q7" s="3101"/>
      <c r="R7" s="3101"/>
      <c r="S7" s="3101"/>
      <c r="T7" s="3101"/>
      <c r="U7" s="3101"/>
      <c r="V7" s="3101"/>
      <c r="W7" s="3101"/>
      <c r="X7" s="3101"/>
      <c r="Y7" s="3101"/>
      <c r="Z7" s="3101"/>
      <c r="AA7" s="3101"/>
      <c r="AB7" s="3101"/>
      <c r="AC7" s="3101"/>
    </row>
    <row r="8" spans="1:29" s="2633" customFormat="1" ht="12.75">
      <c r="A8" s="3106"/>
      <c r="B8" s="3090" t="s">
        <v>2866</v>
      </c>
      <c r="C8" s="3111" t="s">
        <v>2867</v>
      </c>
      <c r="D8" s="2979"/>
      <c r="E8" s="2979"/>
      <c r="F8" s="2974"/>
      <c r="G8" s="2974"/>
      <c r="H8" s="3101"/>
      <c r="I8" s="3101"/>
      <c r="J8" s="3101"/>
      <c r="K8" s="3101"/>
      <c r="L8" s="3101"/>
      <c r="M8" s="3101"/>
      <c r="N8" s="3101"/>
      <c r="O8" s="3101"/>
      <c r="P8" s="3101"/>
      <c r="Q8" s="3101"/>
      <c r="R8" s="3101"/>
      <c r="S8" s="3101"/>
      <c r="T8" s="3101"/>
      <c r="U8" s="3101"/>
      <c r="V8" s="3101"/>
      <c r="W8" s="3101"/>
      <c r="X8" s="3101"/>
      <c r="Y8" s="3101"/>
      <c r="Z8" s="3101"/>
      <c r="AA8" s="3101"/>
      <c r="AB8" s="3101"/>
      <c r="AC8" s="3101"/>
    </row>
    <row r="9" spans="1:29" s="2633" customFormat="1" ht="24">
      <c r="A9" s="3106"/>
      <c r="B9" s="3090" t="s">
        <v>2870</v>
      </c>
      <c r="C9" s="3109" t="s">
        <v>2871</v>
      </c>
      <c r="D9" s="3105"/>
      <c r="E9" s="2979"/>
      <c r="F9" s="2974"/>
      <c r="G9" s="2974"/>
      <c r="H9" s="3101"/>
      <c r="I9" s="3101"/>
      <c r="J9" s="3101"/>
      <c r="K9" s="3101"/>
      <c r="L9" s="3101"/>
      <c r="M9" s="3101"/>
      <c r="N9" s="3101"/>
      <c r="O9" s="3101"/>
      <c r="P9" s="3101"/>
      <c r="Q9" s="3101"/>
      <c r="R9" s="3101"/>
      <c r="S9" s="3101"/>
      <c r="T9" s="3101"/>
      <c r="U9" s="3101"/>
      <c r="V9" s="3101"/>
      <c r="W9" s="3101"/>
      <c r="X9" s="3101"/>
      <c r="Y9" s="3101"/>
      <c r="Z9" s="3101"/>
      <c r="AA9" s="3101"/>
      <c r="AB9" s="3101"/>
      <c r="AC9" s="3101"/>
    </row>
    <row r="10" spans="1:29" s="2673" customFormat="1" ht="13.5" thickBot="1">
      <c r="A10" s="3115"/>
      <c r="B10" s="3094" t="s">
        <v>2872</v>
      </c>
      <c r="C10" s="3116"/>
      <c r="D10" s="3105"/>
      <c r="E10" s="3105"/>
      <c r="F10" s="2974"/>
      <c r="G10" s="2974"/>
      <c r="H10" s="1498"/>
      <c r="I10" s="3117"/>
      <c r="J10" s="3118"/>
      <c r="K10" s="1498"/>
      <c r="L10" s="3117"/>
      <c r="M10" s="3118"/>
      <c r="N10" s="1498"/>
      <c r="O10" s="3117"/>
      <c r="P10" s="3118"/>
      <c r="Q10" s="1498"/>
      <c r="R10" s="3117"/>
      <c r="S10" s="3101"/>
      <c r="T10" s="3101"/>
      <c r="U10" s="3101"/>
      <c r="V10" s="3101"/>
      <c r="W10" s="3101"/>
      <c r="X10" s="3101"/>
      <c r="Y10" s="3101"/>
      <c r="Z10" s="3101"/>
      <c r="AA10" s="3101"/>
      <c r="AB10" s="3101"/>
      <c r="AC10" s="3101"/>
    </row>
    <row r="11" spans="1:29" s="2673" customFormat="1" ht="12.75">
      <c r="A11" s="3119"/>
      <c r="B11" s="2979"/>
      <c r="C11" s="3105"/>
      <c r="D11" s="3105"/>
      <c r="E11" s="3105"/>
      <c r="F11" s="2979"/>
      <c r="G11" s="3120"/>
      <c r="H11" s="1498"/>
      <c r="I11" s="3117"/>
      <c r="J11" s="3118"/>
      <c r="K11" s="1498"/>
      <c r="L11" s="3117"/>
      <c r="M11" s="3118"/>
      <c r="N11" s="1498"/>
      <c r="O11" s="3117"/>
      <c r="P11" s="3118"/>
      <c r="Q11" s="1498"/>
      <c r="R11" s="3117"/>
      <c r="S11" s="3101"/>
      <c r="T11" s="3101"/>
      <c r="U11" s="3101"/>
      <c r="V11" s="3101"/>
      <c r="W11" s="3101"/>
      <c r="X11" s="3101"/>
      <c r="Y11" s="3101"/>
      <c r="Z11" s="3101"/>
      <c r="AA11" s="3101"/>
      <c r="AB11" s="3101"/>
      <c r="AC11" s="3101"/>
    </row>
    <row r="12" spans="1:29" s="2693" customFormat="1" ht="18">
      <c r="A12" s="2644"/>
      <c r="B12" s="2697"/>
      <c r="C12" s="2696"/>
      <c r="D12" s="2698"/>
      <c r="E12" s="2696"/>
      <c r="F12" s="2697"/>
      <c r="G12" s="1843"/>
      <c r="H12" s="2699"/>
      <c r="I12" s="2700"/>
      <c r="J12" s="2699"/>
      <c r="K12" s="2699"/>
      <c r="L12" s="2701"/>
      <c r="M12" s="2699"/>
      <c r="N12" s="2702"/>
      <c r="O12" s="2703"/>
      <c r="P12" s="2702"/>
      <c r="Q12" s="2702"/>
      <c r="R12" s="2691"/>
      <c r="S12" s="2692"/>
      <c r="T12" s="2692"/>
      <c r="U12" s="2692"/>
      <c r="V12" s="2692"/>
      <c r="W12" s="2692"/>
      <c r="X12" s="2692"/>
      <c r="Y12" s="2692"/>
      <c r="Z12" s="2692"/>
      <c r="AA12" s="2692"/>
      <c r="AB12" s="2692"/>
      <c r="AC12" s="2692"/>
    </row>
    <row r="13" spans="1:29" ht="19.5" thickBot="1">
      <c r="A13" s="2704" t="s">
        <v>1709</v>
      </c>
      <c r="B13" s="2698"/>
      <c r="C13" s="2698"/>
      <c r="D13" s="2694"/>
      <c r="E13" s="2698"/>
      <c r="F13" s="2698"/>
      <c r="G13" s="2698"/>
    </row>
    <row r="14" spans="1:29" s="2633" customFormat="1" ht="13.5" thickBot="1">
      <c r="A14" s="3121"/>
      <c r="B14" s="3121"/>
      <c r="C14" s="3122" t="s">
        <v>2873</v>
      </c>
      <c r="D14" s="3105"/>
      <c r="E14" s="3123"/>
      <c r="F14" s="3123"/>
      <c r="G14" s="3098" t="s">
        <v>2874</v>
      </c>
      <c r="H14" s="3124"/>
      <c r="I14" s="3125"/>
      <c r="J14" s="3124"/>
      <c r="K14" s="3124"/>
      <c r="L14" s="3125"/>
      <c r="M14" s="3124"/>
      <c r="N14" s="3124"/>
      <c r="O14" s="3125"/>
      <c r="P14" s="3124"/>
      <c r="Q14" s="3124"/>
      <c r="R14" s="3126"/>
      <c r="S14" s="3101"/>
      <c r="T14" s="3101"/>
      <c r="U14" s="3101"/>
      <c r="V14" s="3101"/>
      <c r="W14" s="3101"/>
      <c r="X14" s="3101"/>
      <c r="Y14" s="3101"/>
      <c r="Z14" s="3101"/>
      <c r="AA14" s="3101"/>
      <c r="AB14" s="3101"/>
      <c r="AC14" s="3101"/>
    </row>
    <row r="15" spans="1:29" s="2633" customFormat="1" ht="38.25">
      <c r="A15" s="3127" t="s">
        <v>2875</v>
      </c>
      <c r="B15" s="3128" t="s">
        <v>2853</v>
      </c>
      <c r="C15" s="3129" t="str">
        <f>C3</f>
        <v>估价对象周边居住用地比例、居住小区规模和社区发展完善程度，综合评价居住社区成熟度一般</v>
      </c>
      <c r="D15" s="3105"/>
      <c r="E15" s="3130" t="s">
        <v>2876</v>
      </c>
      <c r="F15" s="3128" t="s">
        <v>2877</v>
      </c>
      <c r="G15" s="3131" t="str">
        <f>G3</f>
        <v>估价对象位于XX开发区，园区建设成熟度XX，产业集聚程度XX</v>
      </c>
      <c r="H15" s="3124"/>
      <c r="I15" s="3125"/>
      <c r="J15" s="3124"/>
      <c r="K15" s="3124"/>
      <c r="L15" s="3125"/>
      <c r="M15" s="3124"/>
      <c r="N15" s="3124"/>
      <c r="O15" s="3125"/>
      <c r="P15" s="3124"/>
      <c r="Q15" s="3124"/>
      <c r="R15" s="3126"/>
      <c r="S15" s="3101"/>
      <c r="T15" s="3101"/>
      <c r="U15" s="3101"/>
      <c r="V15" s="3101"/>
      <c r="W15" s="3101"/>
      <c r="X15" s="3101"/>
      <c r="Y15" s="3101"/>
      <c r="Z15" s="3101"/>
      <c r="AA15" s="3101"/>
      <c r="AB15" s="3101"/>
      <c r="AC15" s="3101"/>
    </row>
    <row r="16" spans="1:29" s="2633" customFormat="1" ht="25.5">
      <c r="A16" s="3132"/>
      <c r="B16" s="2574" t="s">
        <v>2857</v>
      </c>
      <c r="C16" s="3133" t="str">
        <f>C4</f>
        <v>估价对象位于XX商圈，周边商业氛围成熟，人流量大，商业繁华度好</v>
      </c>
      <c r="D16" s="3105"/>
      <c r="E16" s="3134"/>
      <c r="F16" s="3091" t="s">
        <v>2859</v>
      </c>
      <c r="G16" s="3135" t="str">
        <f>G4</f>
        <v>估价对象周边道路状况、公共交通通达情况、停车便捷程度，综合评价交通便捷度较好</v>
      </c>
      <c r="H16" s="3124"/>
      <c r="I16" s="3125"/>
      <c r="J16" s="3124"/>
      <c r="K16" s="3124"/>
      <c r="L16" s="3125"/>
      <c r="M16" s="3124"/>
      <c r="N16" s="3124"/>
      <c r="O16" s="3125"/>
      <c r="P16" s="3124"/>
      <c r="Q16" s="3124"/>
      <c r="R16" s="3126"/>
      <c r="S16" s="3101"/>
      <c r="T16" s="3101"/>
      <c r="U16" s="3101"/>
      <c r="V16" s="3101"/>
      <c r="W16" s="3101"/>
      <c r="X16" s="3101"/>
      <c r="Y16" s="3101"/>
      <c r="Z16" s="3101"/>
      <c r="AA16" s="3101"/>
      <c r="AB16" s="3101"/>
      <c r="AC16" s="3101"/>
    </row>
    <row r="17" spans="1:29" s="2633" customFormat="1" ht="25.5">
      <c r="A17" s="3132"/>
      <c r="B17" s="2574" t="s">
        <v>2861</v>
      </c>
      <c r="C17" s="3133" t="str">
        <f>C5</f>
        <v>估价对象位于XX商圈，周边办公楼项目较多，入驻率高，办公集聚程度较好</v>
      </c>
      <c r="D17" s="2979"/>
      <c r="E17" s="3134"/>
      <c r="F17" s="3091" t="s">
        <v>2878</v>
      </c>
      <c r="G17" s="3136"/>
      <c r="H17" s="3124"/>
      <c r="I17" s="3125"/>
      <c r="J17" s="3124"/>
      <c r="K17" s="3124"/>
      <c r="L17" s="3125"/>
      <c r="M17" s="3124"/>
      <c r="N17" s="3124"/>
      <c r="O17" s="3125"/>
      <c r="P17" s="3124"/>
      <c r="Q17" s="3124"/>
      <c r="R17" s="3126"/>
      <c r="S17" s="3101"/>
      <c r="T17" s="3101"/>
      <c r="U17" s="3101"/>
      <c r="V17" s="3101"/>
      <c r="W17" s="3101"/>
      <c r="X17" s="3101"/>
      <c r="Y17" s="3101"/>
      <c r="Z17" s="3101"/>
      <c r="AA17" s="3101"/>
      <c r="AB17" s="3101"/>
      <c r="AC17" s="3101"/>
    </row>
    <row r="18" spans="1:29" s="2633" customFormat="1" ht="38.25">
      <c r="A18" s="3132"/>
      <c r="B18" s="3091" t="s">
        <v>2865</v>
      </c>
      <c r="C18" s="3135" t="str">
        <f>C6</f>
        <v>估价对象周边道路状况、公共交通通达情况、停车便捷程度，综合评价交通便捷度较好</v>
      </c>
      <c r="D18" s="2979"/>
      <c r="E18" s="3134"/>
      <c r="F18" s="3091" t="s">
        <v>2868</v>
      </c>
      <c r="G18" s="3135" t="str">
        <f>G7</f>
        <v>该园区内是否有污染型企业，绿化情况，卫生条件，整体环境状况判断</v>
      </c>
      <c r="H18" s="3124"/>
      <c r="I18" s="3125"/>
      <c r="J18" s="3124"/>
      <c r="K18" s="3124"/>
      <c r="L18" s="3125"/>
      <c r="M18" s="3124"/>
      <c r="N18" s="3124"/>
      <c r="O18" s="3125"/>
      <c r="P18" s="3124"/>
      <c r="Q18" s="3124"/>
      <c r="R18" s="3126"/>
      <c r="S18" s="3101"/>
      <c r="T18" s="3101"/>
      <c r="U18" s="3101"/>
      <c r="V18" s="3101"/>
      <c r="W18" s="3101"/>
      <c r="X18" s="3101"/>
      <c r="Y18" s="3101"/>
      <c r="Z18" s="3101"/>
      <c r="AA18" s="3101"/>
      <c r="AB18" s="3101"/>
      <c r="AC18" s="3101"/>
    </row>
    <row r="19" spans="1:29" s="2633" customFormat="1" ht="12.75">
      <c r="A19" s="3132"/>
      <c r="B19" s="3091" t="s">
        <v>2879</v>
      </c>
      <c r="C19" s="3136"/>
      <c r="D19" s="3105"/>
      <c r="E19" s="3134"/>
      <c r="F19" s="3090" t="s">
        <v>2863</v>
      </c>
      <c r="G19" s="3135" t="str">
        <f>G5</f>
        <v>估价对象所在区域公共配套设施齐备情况</v>
      </c>
      <c r="H19" s="3124"/>
      <c r="I19" s="3125"/>
      <c r="J19" s="3124"/>
      <c r="K19" s="3124"/>
      <c r="L19" s="3125"/>
      <c r="M19" s="3124"/>
      <c r="N19" s="3124"/>
      <c r="O19" s="3125"/>
      <c r="P19" s="3124"/>
      <c r="Q19" s="3124"/>
      <c r="R19" s="3126"/>
      <c r="S19" s="3101"/>
      <c r="T19" s="3101"/>
      <c r="U19" s="3101"/>
      <c r="V19" s="3101"/>
      <c r="W19" s="3101"/>
      <c r="X19" s="3101"/>
      <c r="Y19" s="3101"/>
      <c r="Z19" s="3101"/>
      <c r="AA19" s="3101"/>
      <c r="AB19" s="3101"/>
      <c r="AC19" s="3101"/>
    </row>
    <row r="20" spans="1:29" s="2633" customFormat="1" ht="25.5">
      <c r="A20" s="3132"/>
      <c r="B20" s="3091" t="s">
        <v>2880</v>
      </c>
      <c r="C20" s="3133" t="str">
        <f>C9</f>
        <v>区域自然环境：；人文环境；综合评价环境状况一般</v>
      </c>
      <c r="D20" s="2979"/>
      <c r="E20" s="3134"/>
      <c r="F20" s="3090" t="s">
        <v>2866</v>
      </c>
      <c r="G20" s="3135" t="str">
        <f>G6</f>
        <v>估价对象所在区域基础设施水平</v>
      </c>
      <c r="H20" s="3124"/>
      <c r="I20" s="3125"/>
      <c r="J20" s="3124"/>
      <c r="K20" s="3124"/>
      <c r="L20" s="3125"/>
      <c r="M20" s="3124"/>
      <c r="N20" s="3124"/>
      <c r="O20" s="3125"/>
      <c r="P20" s="3124"/>
      <c r="Q20" s="3124"/>
      <c r="R20" s="3126"/>
      <c r="S20" s="3101"/>
      <c r="T20" s="3101"/>
      <c r="U20" s="3101"/>
      <c r="V20" s="3101"/>
      <c r="W20" s="3101"/>
      <c r="X20" s="3101"/>
      <c r="Y20" s="3101"/>
      <c r="Z20" s="3101"/>
      <c r="AA20" s="3101"/>
      <c r="AB20" s="3101"/>
      <c r="AC20" s="3101"/>
    </row>
    <row r="21" spans="1:29" s="2633" customFormat="1" ht="25.5">
      <c r="A21" s="3132"/>
      <c r="B21" s="3090" t="s">
        <v>2863</v>
      </c>
      <c r="C21" s="3135" t="str">
        <f>C7</f>
        <v>估价对象所在区域公共配套设施齐备情况</v>
      </c>
      <c r="D21" s="3105"/>
      <c r="E21" s="3134"/>
      <c r="F21" s="3091" t="s">
        <v>2881</v>
      </c>
      <c r="G21" s="3137"/>
      <c r="H21" s="3124"/>
      <c r="I21" s="3125"/>
      <c r="J21" s="3124"/>
      <c r="K21" s="3124"/>
      <c r="L21" s="3125"/>
      <c r="M21" s="3124"/>
      <c r="N21" s="3124"/>
      <c r="O21" s="3125"/>
      <c r="P21" s="3124"/>
      <c r="Q21" s="3124"/>
      <c r="R21" s="3126"/>
      <c r="S21" s="3101"/>
      <c r="T21" s="3101"/>
      <c r="U21" s="3101"/>
      <c r="V21" s="3101"/>
      <c r="W21" s="3101"/>
      <c r="X21" s="3101"/>
      <c r="Y21" s="3101"/>
      <c r="Z21" s="3101"/>
      <c r="AA21" s="3101"/>
      <c r="AB21" s="3101"/>
      <c r="AC21" s="3101"/>
    </row>
    <row r="22" spans="1:29" s="2633" customFormat="1" ht="12.75">
      <c r="A22" s="3132"/>
      <c r="B22" s="3090" t="s">
        <v>2866</v>
      </c>
      <c r="C22" s="3135" t="str">
        <f>C8</f>
        <v>估价对象所在区域基础设施水平</v>
      </c>
      <c r="D22" s="3105"/>
      <c r="E22" s="3134"/>
      <c r="F22" s="3091" t="s">
        <v>2872</v>
      </c>
      <c r="G22" s="3138"/>
      <c r="H22" s="3124"/>
      <c r="I22" s="3125"/>
      <c r="J22" s="3124"/>
      <c r="K22" s="3124"/>
      <c r="L22" s="3125"/>
      <c r="M22" s="3124"/>
      <c r="N22" s="3124"/>
      <c r="O22" s="3125"/>
      <c r="P22" s="3124"/>
      <c r="Q22" s="3124"/>
      <c r="R22" s="3126"/>
      <c r="S22" s="3101"/>
      <c r="T22" s="3101"/>
      <c r="U22" s="3101"/>
      <c r="V22" s="3101"/>
      <c r="W22" s="3101"/>
      <c r="X22" s="3101"/>
      <c r="Y22" s="3101"/>
      <c r="Z22" s="3101"/>
      <c r="AA22" s="3101"/>
      <c r="AB22" s="3101"/>
      <c r="AC22" s="3101"/>
    </row>
    <row r="23" spans="1:29" s="3101" customFormat="1" ht="13.5" thickBot="1">
      <c r="A23" s="3132"/>
      <c r="B23" s="3091" t="s">
        <v>2881</v>
      </c>
      <c r="C23" s="3137"/>
      <c r="D23" s="3124"/>
      <c r="E23" s="3139"/>
      <c r="F23" s="3093" t="s">
        <v>2882</v>
      </c>
      <c r="G23" s="3140"/>
      <c r="H23" s="3124"/>
      <c r="I23" s="3125"/>
      <c r="J23" s="3124"/>
      <c r="K23" s="3124"/>
      <c r="L23" s="3125"/>
      <c r="M23" s="3124"/>
      <c r="N23" s="3124"/>
      <c r="O23" s="3125"/>
      <c r="P23" s="3124"/>
      <c r="Q23" s="3124"/>
      <c r="R23" s="3126"/>
    </row>
    <row r="24" spans="1:29" s="3101" customFormat="1" ht="13.5" thickBot="1">
      <c r="A24" s="3141"/>
      <c r="B24" s="3093" t="s">
        <v>2883</v>
      </c>
      <c r="C24" s="3142">
        <f>C10</f>
        <v>0</v>
      </c>
      <c r="D24" s="3124"/>
      <c r="E24" s="3143"/>
      <c r="F24" s="3143"/>
      <c r="G24" s="3144"/>
      <c r="H24" s="3124"/>
      <c r="I24" s="3125"/>
      <c r="J24" s="3124"/>
      <c r="K24" s="3124"/>
      <c r="L24" s="3125"/>
      <c r="M24" s="3124"/>
      <c r="N24" s="3124"/>
      <c r="O24" s="3125"/>
      <c r="P24" s="3124"/>
      <c r="Q24" s="3124"/>
      <c r="R24" s="3126"/>
    </row>
    <row r="25" spans="1:29" s="2695" customFormat="1">
      <c r="B25" s="2705"/>
      <c r="C25" s="2705"/>
      <c r="D25" s="2705"/>
      <c r="H25" s="2705"/>
      <c r="I25" s="2706"/>
      <c r="J25" s="2705"/>
      <c r="K25" s="2705"/>
      <c r="L25" s="2706"/>
      <c r="M25" s="2705"/>
      <c r="N25" s="2705"/>
      <c r="O25" s="2706"/>
      <c r="P25" s="2705"/>
      <c r="Q25" s="2705"/>
      <c r="R25" s="2707"/>
    </row>
    <row r="26" spans="1:29" s="2695" customFormat="1">
      <c r="B26" s="2705"/>
      <c r="C26" s="2705"/>
      <c r="D26" s="2705"/>
      <c r="H26" s="2705"/>
      <c r="I26" s="2706"/>
      <c r="J26" s="2705"/>
      <c r="K26" s="2705"/>
      <c r="L26" s="2706"/>
      <c r="M26" s="2705"/>
      <c r="N26" s="2705"/>
      <c r="O26" s="2706"/>
      <c r="P26" s="2705"/>
      <c r="Q26" s="2705"/>
      <c r="R26" s="2707"/>
    </row>
    <row r="27" spans="1:29" s="2695" customFormat="1">
      <c r="B27" s="2705"/>
      <c r="C27" s="2705"/>
      <c r="D27" s="2705"/>
      <c r="H27" s="2705"/>
      <c r="I27" s="2706"/>
      <c r="J27" s="2705"/>
      <c r="K27" s="2705"/>
      <c r="L27" s="2706"/>
      <c r="M27" s="2705"/>
      <c r="N27" s="2705"/>
      <c r="O27" s="2706"/>
      <c r="P27" s="2705"/>
      <c r="Q27" s="2705"/>
      <c r="R27" s="2707"/>
    </row>
    <row r="28" spans="1:29" s="2695" customFormat="1">
      <c r="B28" s="2705"/>
      <c r="C28" s="2705"/>
      <c r="D28" s="2705"/>
      <c r="H28" s="2705"/>
      <c r="I28" s="2706"/>
      <c r="J28" s="2705"/>
      <c r="K28" s="2705"/>
      <c r="L28" s="2706"/>
      <c r="M28" s="2705"/>
      <c r="N28" s="2705"/>
      <c r="O28" s="2706"/>
      <c r="P28" s="2705"/>
      <c r="Q28" s="2705"/>
      <c r="R28" s="2707"/>
    </row>
    <row r="29" spans="1:29" s="2695" customFormat="1">
      <c r="B29" s="2705"/>
      <c r="C29" s="2705"/>
      <c r="D29" s="2705"/>
      <c r="H29" s="2705"/>
      <c r="I29" s="2706"/>
      <c r="J29" s="2705"/>
      <c r="K29" s="2705"/>
      <c r="L29" s="2706"/>
      <c r="M29" s="2705"/>
      <c r="N29" s="2705"/>
      <c r="O29" s="2706"/>
      <c r="P29" s="2705"/>
      <c r="Q29" s="2705"/>
      <c r="R29" s="2707"/>
    </row>
    <row r="30" spans="1:29" s="2695" customFormat="1">
      <c r="B30" s="2705"/>
      <c r="C30" s="2705"/>
      <c r="D30" s="2705"/>
      <c r="H30" s="2705"/>
      <c r="I30" s="2706"/>
      <c r="J30" s="2705"/>
      <c r="K30" s="2705"/>
      <c r="L30" s="2706"/>
      <c r="M30" s="2705"/>
      <c r="N30" s="2705"/>
      <c r="O30" s="2706"/>
      <c r="P30" s="2705"/>
      <c r="Q30" s="2705"/>
      <c r="R30" s="2707"/>
    </row>
    <row r="31" spans="1:29" s="2695" customFormat="1">
      <c r="B31" s="2705"/>
      <c r="C31" s="2705"/>
      <c r="D31" s="2705"/>
      <c r="H31" s="2705"/>
      <c r="I31" s="2706"/>
      <c r="J31" s="2705"/>
      <c r="K31" s="2705"/>
      <c r="L31" s="2706"/>
      <c r="M31" s="2705"/>
      <c r="N31" s="2705"/>
      <c r="O31" s="2706"/>
      <c r="P31" s="2705"/>
      <c r="Q31" s="2705"/>
      <c r="R31" s="2707"/>
    </row>
    <row r="32" spans="1:29" s="2695" customFormat="1">
      <c r="B32" s="2705"/>
      <c r="C32" s="2705"/>
      <c r="D32" s="2705"/>
      <c r="H32" s="2705"/>
      <c r="I32" s="2706"/>
      <c r="J32" s="2705"/>
      <c r="K32" s="2705"/>
      <c r="L32" s="2706"/>
      <c r="M32" s="2705"/>
      <c r="N32" s="2705"/>
      <c r="O32" s="2706"/>
      <c r="P32" s="2705"/>
      <c r="Q32" s="2705"/>
      <c r="R32" s="2707"/>
    </row>
    <row r="33" spans="2:18" s="2695" customFormat="1">
      <c r="B33" s="2705"/>
      <c r="C33" s="2705"/>
      <c r="D33" s="2705"/>
      <c r="H33" s="2705"/>
      <c r="I33" s="2706"/>
      <c r="J33" s="2705"/>
      <c r="K33" s="2705"/>
      <c r="L33" s="2706"/>
      <c r="M33" s="2705"/>
      <c r="N33" s="2705"/>
      <c r="O33" s="2706"/>
      <c r="P33" s="2705"/>
      <c r="Q33" s="2705"/>
      <c r="R33" s="2707"/>
    </row>
    <row r="34" spans="2:18" s="2695" customFormat="1">
      <c r="B34" s="2705"/>
      <c r="C34" s="2705"/>
      <c r="D34" s="2705"/>
      <c r="H34" s="2705"/>
      <c r="I34" s="2706"/>
      <c r="J34" s="2705"/>
      <c r="K34" s="2705"/>
      <c r="L34" s="2706"/>
      <c r="M34" s="2705"/>
      <c r="N34" s="2705"/>
      <c r="O34" s="2706"/>
      <c r="P34" s="2705"/>
      <c r="Q34" s="2705"/>
      <c r="R34" s="2707"/>
    </row>
    <row r="35" spans="2:18" s="2695" customFormat="1">
      <c r="B35" s="2705"/>
      <c r="C35" s="2705"/>
      <c r="D35" s="2705"/>
      <c r="H35" s="2705"/>
      <c r="I35" s="2706"/>
      <c r="J35" s="2705"/>
      <c r="K35" s="2705"/>
      <c r="L35" s="2706"/>
      <c r="M35" s="2705"/>
      <c r="N35" s="2705"/>
      <c r="O35" s="2706"/>
      <c r="P35" s="2705"/>
      <c r="Q35" s="2705"/>
      <c r="R35" s="2707"/>
    </row>
    <row r="36" spans="2:18" s="2695" customFormat="1">
      <c r="B36" s="2705"/>
      <c r="C36" s="2705"/>
      <c r="D36" s="2705"/>
      <c r="H36" s="2705"/>
      <c r="I36" s="2706"/>
      <c r="J36" s="2705"/>
      <c r="K36" s="2705"/>
      <c r="L36" s="2706"/>
      <c r="M36" s="2705"/>
      <c r="N36" s="2705"/>
      <c r="O36" s="2706"/>
      <c r="P36" s="2705"/>
      <c r="Q36" s="2705"/>
      <c r="R36" s="2707"/>
    </row>
    <row r="37" spans="2:18" s="2695" customFormat="1">
      <c r="B37" s="2705"/>
      <c r="C37" s="2705"/>
      <c r="D37" s="2705"/>
      <c r="H37" s="2705"/>
      <c r="I37" s="2706"/>
      <c r="J37" s="2705"/>
      <c r="K37" s="2705"/>
      <c r="L37" s="2706"/>
      <c r="M37" s="2705"/>
      <c r="N37" s="2705"/>
      <c r="O37" s="2706"/>
      <c r="P37" s="2705"/>
      <c r="Q37" s="2705"/>
      <c r="R37" s="2707"/>
    </row>
    <row r="38" spans="2:18" s="2695" customFormat="1">
      <c r="B38" s="2705"/>
      <c r="C38" s="2705"/>
      <c r="D38" s="2705"/>
      <c r="E38" s="2705"/>
      <c r="F38" s="2705"/>
      <c r="G38" s="2706"/>
      <c r="H38" s="2705"/>
      <c r="I38" s="2706"/>
      <c r="J38" s="2705"/>
      <c r="K38" s="2705"/>
      <c r="L38" s="2706"/>
      <c r="M38" s="2705"/>
      <c r="N38" s="2705"/>
      <c r="O38" s="2706"/>
      <c r="P38" s="2705"/>
      <c r="Q38" s="2705"/>
      <c r="R38" s="2707"/>
    </row>
    <row r="39" spans="2:18" s="2695" customFormat="1">
      <c r="B39" s="2705"/>
      <c r="C39" s="2705"/>
      <c r="D39" s="2705"/>
      <c r="E39" s="2705"/>
      <c r="F39" s="2705"/>
      <c r="G39" s="2706"/>
      <c r="H39" s="2705"/>
      <c r="I39" s="2706"/>
      <c r="J39" s="2705"/>
      <c r="K39" s="2705"/>
      <c r="L39" s="2706"/>
      <c r="M39" s="2705"/>
      <c r="N39" s="2705"/>
      <c r="O39" s="2706"/>
      <c r="P39" s="2705"/>
      <c r="Q39" s="2705"/>
      <c r="R39" s="2707"/>
    </row>
    <row r="40" spans="2:18" s="2695" customFormat="1">
      <c r="B40" s="2705"/>
      <c r="C40" s="2705"/>
      <c r="D40" s="2705"/>
      <c r="E40" s="2705"/>
      <c r="F40" s="2705"/>
      <c r="G40" s="2706"/>
      <c r="H40" s="2705"/>
      <c r="I40" s="2706"/>
      <c r="J40" s="2705"/>
      <c r="K40" s="2705"/>
      <c r="L40" s="2706"/>
      <c r="M40" s="2705"/>
      <c r="N40" s="2705"/>
      <c r="O40" s="2706"/>
      <c r="P40" s="2705"/>
      <c r="Q40" s="2705"/>
      <c r="R40" s="2707"/>
    </row>
    <row r="41" spans="2:18" s="2695" customFormat="1">
      <c r="B41" s="2705"/>
      <c r="C41" s="2705"/>
      <c r="D41" s="2705"/>
      <c r="E41" s="2705"/>
      <c r="F41" s="2705"/>
      <c r="G41" s="2706"/>
      <c r="H41" s="2705"/>
      <c r="I41" s="2706"/>
      <c r="J41" s="2705"/>
      <c r="K41" s="2705"/>
      <c r="L41" s="2706"/>
      <c r="M41" s="2705"/>
      <c r="N41" s="2705"/>
      <c r="O41" s="2706"/>
      <c r="P41" s="2705"/>
      <c r="Q41" s="2705"/>
      <c r="R41" s="2707"/>
    </row>
    <row r="42" spans="2:18" s="2695" customFormat="1">
      <c r="B42" s="2705"/>
      <c r="C42" s="2705"/>
      <c r="D42" s="2705"/>
      <c r="E42" s="2705"/>
      <c r="F42" s="2705"/>
      <c r="G42" s="2706"/>
      <c r="H42" s="2705"/>
      <c r="I42" s="2706"/>
      <c r="J42" s="2705"/>
      <c r="K42" s="2705"/>
      <c r="L42" s="2706"/>
      <c r="M42" s="2705"/>
      <c r="N42" s="2705"/>
      <c r="O42" s="2706"/>
      <c r="P42" s="2705"/>
      <c r="Q42" s="2705"/>
      <c r="R42" s="2707"/>
    </row>
    <row r="43" spans="2:18" s="2695" customFormat="1">
      <c r="B43" s="2705"/>
      <c r="C43" s="2705"/>
      <c r="D43" s="2705"/>
      <c r="E43" s="2705"/>
      <c r="F43" s="2705"/>
      <c r="G43" s="2706"/>
      <c r="H43" s="2705"/>
      <c r="I43" s="2706"/>
      <c r="J43" s="2705"/>
      <c r="K43" s="2705"/>
      <c r="L43" s="2706"/>
      <c r="M43" s="2705"/>
      <c r="N43" s="2705"/>
      <c r="O43" s="2706"/>
      <c r="P43" s="2705"/>
      <c r="Q43" s="2705"/>
      <c r="R43" s="2707"/>
    </row>
    <row r="44" spans="2:18" s="2695" customFormat="1">
      <c r="B44" s="2705"/>
      <c r="C44" s="2705"/>
      <c r="D44" s="2705"/>
      <c r="E44" s="2705"/>
      <c r="F44" s="2705"/>
      <c r="G44" s="2706"/>
      <c r="H44" s="2705"/>
      <c r="I44" s="2706"/>
      <c r="J44" s="2705"/>
      <c r="K44" s="2705"/>
      <c r="L44" s="2706"/>
      <c r="M44" s="2705"/>
      <c r="N44" s="2705"/>
      <c r="O44" s="2706"/>
      <c r="P44" s="2705"/>
      <c r="Q44" s="2705"/>
      <c r="R44" s="2707"/>
    </row>
    <row r="45" spans="2:18" s="2695" customFormat="1">
      <c r="B45" s="2705"/>
      <c r="C45" s="2705"/>
      <c r="D45" s="2705"/>
      <c r="E45" s="2705"/>
      <c r="F45" s="2705"/>
      <c r="G45" s="2706"/>
      <c r="H45" s="2705"/>
      <c r="I45" s="2706"/>
      <c r="J45" s="2705"/>
      <c r="K45" s="2705"/>
      <c r="L45" s="2706"/>
      <c r="M45" s="2705"/>
      <c r="N45" s="2705"/>
      <c r="O45" s="2706"/>
      <c r="P45" s="2705"/>
      <c r="Q45" s="2705"/>
      <c r="R45" s="2707"/>
    </row>
    <row r="46" spans="2:18" s="2695" customFormat="1">
      <c r="B46" s="2705"/>
      <c r="C46" s="2705"/>
      <c r="D46" s="2705"/>
      <c r="E46" s="2705"/>
      <c r="F46" s="2705"/>
      <c r="G46" s="2706"/>
      <c r="H46" s="2705"/>
      <c r="I46" s="2706"/>
      <c r="J46" s="2705"/>
      <c r="K46" s="2705"/>
      <c r="L46" s="2706"/>
      <c r="M46" s="2705"/>
      <c r="N46" s="2705"/>
      <c r="O46" s="2706"/>
      <c r="P46" s="2705"/>
      <c r="Q46" s="2705"/>
      <c r="R46" s="2707"/>
    </row>
    <row r="47" spans="2:18" s="2695" customFormat="1">
      <c r="B47" s="2705"/>
      <c r="C47" s="2705"/>
      <c r="D47" s="2705"/>
      <c r="E47" s="2705"/>
      <c r="F47" s="2705"/>
      <c r="G47" s="2706"/>
      <c r="H47" s="2705"/>
      <c r="I47" s="2706"/>
      <c r="J47" s="2705"/>
      <c r="K47" s="2705"/>
      <c r="L47" s="2706"/>
      <c r="M47" s="2705"/>
      <c r="N47" s="2705"/>
      <c r="O47" s="2706"/>
      <c r="P47" s="2705"/>
      <c r="Q47" s="2705"/>
      <c r="R47" s="2707"/>
    </row>
    <row r="48" spans="2:18" s="2695" customFormat="1">
      <c r="B48" s="2705"/>
      <c r="C48" s="2705"/>
      <c r="D48" s="2705"/>
      <c r="E48" s="2705"/>
      <c r="F48" s="2705"/>
      <c r="G48" s="2706"/>
      <c r="H48" s="2705"/>
      <c r="I48" s="2706"/>
      <c r="J48" s="2705"/>
      <c r="K48" s="2705"/>
      <c r="L48" s="2706"/>
      <c r="M48" s="2705"/>
      <c r="N48" s="2705"/>
      <c r="O48" s="2706"/>
      <c r="P48" s="2705"/>
      <c r="Q48" s="2705"/>
      <c r="R48" s="2707"/>
    </row>
    <row r="49" spans="2:18" s="2695" customFormat="1">
      <c r="B49" s="2705"/>
      <c r="C49" s="2705"/>
      <c r="D49" s="2705"/>
      <c r="E49" s="2705"/>
      <c r="F49" s="2705"/>
      <c r="G49" s="2706"/>
      <c r="H49" s="2705"/>
      <c r="I49" s="2706"/>
      <c r="J49" s="2705"/>
      <c r="K49" s="2705"/>
      <c r="L49" s="2706"/>
      <c r="M49" s="2705"/>
      <c r="N49" s="2705"/>
      <c r="O49" s="2706"/>
      <c r="P49" s="2705"/>
      <c r="Q49" s="2705"/>
      <c r="R49" s="2707"/>
    </row>
    <row r="50" spans="2:18" s="2695" customFormat="1">
      <c r="B50" s="2705"/>
      <c r="C50" s="2705"/>
      <c r="D50" s="2705"/>
      <c r="E50" s="2705"/>
      <c r="F50" s="2705"/>
      <c r="G50" s="2706"/>
      <c r="H50" s="2705"/>
      <c r="I50" s="2706"/>
      <c r="J50" s="2705"/>
      <c r="K50" s="2705"/>
      <c r="L50" s="2706"/>
      <c r="M50" s="2705"/>
      <c r="N50" s="2705"/>
      <c r="O50" s="2706"/>
      <c r="P50" s="2705"/>
      <c r="Q50" s="2705"/>
      <c r="R50" s="2707"/>
    </row>
    <row r="51" spans="2:18" s="2695" customFormat="1">
      <c r="B51" s="2705"/>
      <c r="C51" s="2705"/>
      <c r="D51" s="2705"/>
      <c r="E51" s="2705"/>
      <c r="F51" s="2705"/>
      <c r="G51" s="2706"/>
      <c r="H51" s="2705"/>
      <c r="I51" s="2706"/>
      <c r="J51" s="2705"/>
      <c r="K51" s="2705"/>
      <c r="L51" s="2706"/>
      <c r="M51" s="2705"/>
      <c r="N51" s="2705"/>
      <c r="O51" s="2706"/>
      <c r="P51" s="2705"/>
      <c r="Q51" s="2705"/>
      <c r="R51" s="2707"/>
    </row>
    <row r="52" spans="2:18" s="2695" customFormat="1">
      <c r="B52" s="2705"/>
      <c r="C52" s="2705"/>
      <c r="D52" s="2705"/>
      <c r="E52" s="2705"/>
      <c r="F52" s="2705"/>
      <c r="G52" s="2706"/>
      <c r="H52" s="2705"/>
      <c r="I52" s="2706"/>
      <c r="J52" s="2705"/>
      <c r="K52" s="2705"/>
      <c r="L52" s="2706"/>
      <c r="M52" s="2705"/>
      <c r="N52" s="2705"/>
      <c r="O52" s="2706"/>
      <c r="P52" s="2705"/>
      <c r="Q52" s="2705"/>
      <c r="R52" s="2707"/>
    </row>
    <row r="53" spans="2:18" s="2695" customFormat="1">
      <c r="B53" s="2705"/>
      <c r="C53" s="2705"/>
      <c r="D53" s="2705"/>
      <c r="E53" s="2705"/>
      <c r="F53" s="2705"/>
      <c r="G53" s="2706"/>
      <c r="H53" s="2705"/>
      <c r="I53" s="2706"/>
      <c r="J53" s="2705"/>
      <c r="K53" s="2705"/>
      <c r="L53" s="2706"/>
      <c r="M53" s="2705"/>
      <c r="N53" s="2705"/>
      <c r="O53" s="2706"/>
      <c r="P53" s="2705"/>
      <c r="Q53" s="2705"/>
      <c r="R53" s="2707"/>
    </row>
    <row r="54" spans="2:18" s="2695" customFormat="1">
      <c r="B54" s="2705"/>
      <c r="C54" s="2705"/>
      <c r="D54" s="2705"/>
      <c r="E54" s="2705"/>
      <c r="F54" s="2705"/>
      <c r="G54" s="2706"/>
      <c r="H54" s="2705"/>
      <c r="I54" s="2706"/>
      <c r="J54" s="2705"/>
      <c r="K54" s="2705"/>
      <c r="L54" s="2706"/>
      <c r="M54" s="2705"/>
      <c r="N54" s="2705"/>
      <c r="O54" s="2706"/>
      <c r="P54" s="2705"/>
      <c r="Q54" s="2705"/>
      <c r="R54" s="2707"/>
    </row>
    <row r="55" spans="2:18" s="2695" customFormat="1">
      <c r="B55" s="2705"/>
      <c r="C55" s="2705"/>
      <c r="D55" s="2705"/>
      <c r="E55" s="2705"/>
      <c r="F55" s="2705"/>
      <c r="G55" s="2706"/>
      <c r="H55" s="2705"/>
      <c r="I55" s="2706"/>
      <c r="J55" s="2705"/>
      <c r="K55" s="2705"/>
      <c r="L55" s="2706"/>
      <c r="M55" s="2705"/>
      <c r="N55" s="2705"/>
      <c r="O55" s="2706"/>
      <c r="P55" s="2705"/>
      <c r="Q55" s="2705"/>
      <c r="R55" s="2707"/>
    </row>
    <row r="56" spans="2:18" s="2695" customFormat="1">
      <c r="B56" s="2705"/>
      <c r="C56" s="2705"/>
      <c r="D56" s="2705"/>
      <c r="E56" s="2705"/>
      <c r="F56" s="2705"/>
      <c r="G56" s="2706"/>
      <c r="H56" s="2705"/>
      <c r="I56" s="2706"/>
      <c r="J56" s="2705"/>
      <c r="K56" s="2705"/>
      <c r="L56" s="2706"/>
      <c r="M56" s="2705"/>
      <c r="N56" s="2705"/>
      <c r="O56" s="2706"/>
      <c r="P56" s="2705"/>
      <c r="Q56" s="2705"/>
      <c r="R56" s="2707"/>
    </row>
    <row r="57" spans="2:18" s="2695" customFormat="1">
      <c r="B57" s="2705"/>
      <c r="C57" s="2705"/>
      <c r="D57" s="2705"/>
      <c r="E57" s="2705"/>
      <c r="F57" s="2705"/>
      <c r="G57" s="2706"/>
      <c r="H57" s="2705"/>
      <c r="I57" s="2706"/>
      <c r="J57" s="2705"/>
      <c r="K57" s="2705"/>
      <c r="L57" s="2706"/>
      <c r="M57" s="2705"/>
      <c r="N57" s="2705"/>
      <c r="O57" s="2706"/>
      <c r="P57" s="2705"/>
      <c r="Q57" s="2705"/>
      <c r="R57" s="2707"/>
    </row>
    <row r="58" spans="2:18" s="2695" customFormat="1">
      <c r="B58" s="2705"/>
      <c r="C58" s="2705"/>
      <c r="D58" s="2705"/>
      <c r="E58" s="2705"/>
      <c r="F58" s="2705"/>
      <c r="G58" s="2706"/>
      <c r="H58" s="2705"/>
      <c r="I58" s="2706"/>
      <c r="J58" s="2705"/>
      <c r="K58" s="2705"/>
      <c r="L58" s="2706"/>
      <c r="M58" s="2705"/>
      <c r="N58" s="2705"/>
      <c r="O58" s="2706"/>
      <c r="P58" s="2705"/>
      <c r="Q58" s="2705"/>
      <c r="R58" s="2707"/>
    </row>
    <row r="59" spans="2:18" s="2695" customFormat="1">
      <c r="B59" s="2705"/>
      <c r="C59" s="2705"/>
      <c r="D59" s="2705"/>
      <c r="E59" s="2705"/>
      <c r="F59" s="2705"/>
      <c r="G59" s="2706"/>
      <c r="H59" s="2705"/>
      <c r="I59" s="2706"/>
      <c r="J59" s="2705"/>
      <c r="K59" s="2705"/>
      <c r="L59" s="2706"/>
      <c r="M59" s="2705"/>
      <c r="N59" s="2705"/>
      <c r="O59" s="2706"/>
      <c r="P59" s="2705"/>
      <c r="Q59" s="2705"/>
      <c r="R59" s="2707"/>
    </row>
    <row r="60" spans="2:18" s="2695" customFormat="1">
      <c r="B60" s="2705"/>
      <c r="C60" s="2705"/>
      <c r="D60" s="2705"/>
      <c r="E60" s="2705"/>
      <c r="F60" s="2705"/>
      <c r="G60" s="2706"/>
      <c r="H60" s="2705"/>
      <c r="I60" s="2706"/>
      <c r="J60" s="2705"/>
      <c r="K60" s="2705"/>
      <c r="L60" s="2706"/>
      <c r="M60" s="2705"/>
      <c r="N60" s="2705"/>
      <c r="O60" s="2706"/>
      <c r="P60" s="2705"/>
      <c r="Q60" s="2705"/>
      <c r="R60" s="2707"/>
    </row>
    <row r="61" spans="2:18" s="2695" customFormat="1">
      <c r="B61" s="2705"/>
      <c r="C61" s="2705"/>
      <c r="D61" s="2705"/>
      <c r="E61" s="2705"/>
      <c r="F61" s="2705"/>
      <c r="G61" s="2706"/>
      <c r="H61" s="2705"/>
      <c r="I61" s="2706"/>
      <c r="J61" s="2705"/>
      <c r="K61" s="2705"/>
      <c r="L61" s="2706"/>
      <c r="M61" s="2705"/>
      <c r="N61" s="2705"/>
      <c r="O61" s="2706"/>
      <c r="P61" s="2705"/>
      <c r="Q61" s="2705"/>
      <c r="R61" s="2707"/>
    </row>
    <row r="62" spans="2:18" s="2695" customFormat="1">
      <c r="B62" s="2705"/>
      <c r="C62" s="2705"/>
      <c r="D62" s="2705"/>
      <c r="E62" s="2705"/>
      <c r="F62" s="2705"/>
      <c r="G62" s="2706"/>
      <c r="H62" s="2705"/>
      <c r="I62" s="2706"/>
      <c r="J62" s="2705"/>
      <c r="K62" s="2705"/>
      <c r="L62" s="2706"/>
      <c r="M62" s="2705"/>
      <c r="N62" s="2705"/>
      <c r="O62" s="2706"/>
      <c r="P62" s="2705"/>
      <c r="Q62" s="2705"/>
      <c r="R62" s="2707"/>
    </row>
    <row r="63" spans="2:18" s="2695" customFormat="1">
      <c r="B63" s="2705"/>
      <c r="C63" s="2705"/>
      <c r="D63" s="2705"/>
      <c r="E63" s="2705"/>
      <c r="F63" s="2705"/>
      <c r="G63" s="2706"/>
      <c r="H63" s="2705"/>
      <c r="I63" s="2706"/>
      <c r="J63" s="2705"/>
      <c r="K63" s="2705"/>
      <c r="L63" s="2706"/>
      <c r="M63" s="2705"/>
      <c r="N63" s="2705"/>
      <c r="O63" s="2706"/>
      <c r="P63" s="2705"/>
      <c r="Q63" s="2705"/>
      <c r="R63" s="2707"/>
    </row>
    <row r="64" spans="2:18" s="2695" customFormat="1">
      <c r="B64" s="2705"/>
      <c r="C64" s="2705"/>
      <c r="D64" s="2705"/>
      <c r="E64" s="2705"/>
      <c r="F64" s="2705"/>
      <c r="G64" s="2706"/>
      <c r="H64" s="2705"/>
      <c r="I64" s="2706"/>
      <c r="J64" s="2705"/>
      <c r="K64" s="2705"/>
      <c r="L64" s="2706"/>
      <c r="M64" s="2705"/>
      <c r="N64" s="2705"/>
      <c r="O64" s="2706"/>
      <c r="P64" s="2705"/>
      <c r="Q64" s="2705"/>
      <c r="R64" s="2707"/>
    </row>
    <row r="65" spans="2:18" s="2695" customFormat="1">
      <c r="B65" s="2705"/>
      <c r="C65" s="2705"/>
      <c r="D65" s="2705"/>
      <c r="E65" s="2705"/>
      <c r="F65" s="2705"/>
      <c r="G65" s="2706"/>
      <c r="H65" s="2705"/>
      <c r="I65" s="2706"/>
      <c r="J65" s="2705"/>
      <c r="K65" s="2705"/>
      <c r="L65" s="2706"/>
      <c r="M65" s="2705"/>
      <c r="N65" s="2705"/>
      <c r="O65" s="2706"/>
      <c r="P65" s="2705"/>
      <c r="Q65" s="2705"/>
      <c r="R65" s="2707"/>
    </row>
    <row r="66" spans="2:18" s="2695" customFormat="1">
      <c r="B66" s="2705"/>
      <c r="C66" s="2705"/>
      <c r="D66" s="2705"/>
      <c r="E66" s="2705"/>
      <c r="F66" s="2705"/>
      <c r="G66" s="2706"/>
      <c r="H66" s="2705"/>
      <c r="I66" s="2706"/>
      <c r="J66" s="2705"/>
      <c r="K66" s="2705"/>
      <c r="L66" s="2706"/>
      <c r="M66" s="2705"/>
      <c r="N66" s="2705"/>
      <c r="O66" s="2706"/>
      <c r="P66" s="2705"/>
      <c r="Q66" s="2705"/>
      <c r="R66" s="2707"/>
    </row>
    <row r="67" spans="2:18" s="2695" customFormat="1">
      <c r="B67" s="2705"/>
      <c r="C67" s="2705"/>
      <c r="D67" s="2705"/>
      <c r="E67" s="2705"/>
      <c r="F67" s="2705"/>
      <c r="G67" s="2706"/>
      <c r="H67" s="2705"/>
      <c r="I67" s="2706"/>
      <c r="J67" s="2705"/>
      <c r="K67" s="2705"/>
      <c r="L67" s="2706"/>
      <c r="M67" s="2705"/>
      <c r="N67" s="2705"/>
      <c r="O67" s="2706"/>
      <c r="P67" s="2705"/>
      <c r="Q67" s="2705"/>
      <c r="R67" s="2707"/>
    </row>
    <row r="68" spans="2:18" s="2695" customFormat="1">
      <c r="B68" s="2705"/>
      <c r="C68" s="2705"/>
      <c r="D68" s="2705"/>
      <c r="E68" s="2705"/>
      <c r="F68" s="2705"/>
      <c r="G68" s="2706"/>
      <c r="H68" s="2705"/>
      <c r="I68" s="2706"/>
      <c r="J68" s="2705"/>
      <c r="K68" s="2705"/>
      <c r="L68" s="2706"/>
      <c r="M68" s="2705"/>
      <c r="N68" s="2705"/>
      <c r="O68" s="2706"/>
      <c r="P68" s="2705"/>
      <c r="Q68" s="2705"/>
      <c r="R68" s="2707"/>
    </row>
    <row r="69" spans="2:18" s="2695" customFormat="1">
      <c r="B69" s="2705"/>
      <c r="C69" s="2705"/>
      <c r="D69" s="2705"/>
      <c r="E69" s="2705"/>
      <c r="F69" s="2705"/>
      <c r="G69" s="2706"/>
      <c r="H69" s="2705"/>
      <c r="I69" s="2706"/>
      <c r="J69" s="2705"/>
      <c r="K69" s="2705"/>
      <c r="L69" s="2706"/>
      <c r="M69" s="2705"/>
      <c r="N69" s="2705"/>
      <c r="O69" s="2706"/>
      <c r="P69" s="2705"/>
      <c r="Q69" s="2705"/>
      <c r="R69" s="2707"/>
    </row>
    <row r="70" spans="2:18" s="2695" customFormat="1">
      <c r="B70" s="2705"/>
      <c r="C70" s="2705"/>
      <c r="D70" s="2705"/>
      <c r="E70" s="2705"/>
      <c r="F70" s="2705"/>
      <c r="G70" s="2706"/>
      <c r="H70" s="2705"/>
      <c r="I70" s="2706"/>
      <c r="J70" s="2705"/>
      <c r="K70" s="2705"/>
      <c r="L70" s="2706"/>
      <c r="M70" s="2705"/>
      <c r="N70" s="2705"/>
      <c r="O70" s="2706"/>
      <c r="P70" s="2705"/>
      <c r="Q70" s="2705"/>
      <c r="R70" s="2707"/>
    </row>
    <row r="71" spans="2:18" s="2695" customFormat="1">
      <c r="B71" s="2705"/>
      <c r="C71" s="2705"/>
      <c r="D71" s="2705"/>
      <c r="E71" s="2705"/>
      <c r="F71" s="2705"/>
      <c r="G71" s="2706"/>
      <c r="H71" s="2705"/>
      <c r="I71" s="2706"/>
      <c r="J71" s="2705"/>
      <c r="K71" s="2705"/>
      <c r="L71" s="2706"/>
      <c r="M71" s="2705"/>
      <c r="N71" s="2705"/>
      <c r="O71" s="2706"/>
      <c r="P71" s="2705"/>
      <c r="Q71" s="2705"/>
      <c r="R71" s="2707"/>
    </row>
    <row r="72" spans="2:18" s="2695" customFormat="1">
      <c r="B72" s="2705"/>
      <c r="C72" s="2705"/>
      <c r="D72" s="2705"/>
      <c r="E72" s="2705"/>
      <c r="F72" s="2705"/>
      <c r="G72" s="2706"/>
      <c r="H72" s="2705"/>
      <c r="I72" s="2706"/>
      <c r="J72" s="2705"/>
      <c r="K72" s="2705"/>
      <c r="L72" s="2706"/>
      <c r="M72" s="2705"/>
      <c r="N72" s="2705"/>
      <c r="O72" s="2706"/>
      <c r="P72" s="2705"/>
      <c r="Q72" s="2705"/>
      <c r="R72" s="2707"/>
    </row>
    <row r="73" spans="2:18" s="2695" customFormat="1">
      <c r="B73" s="2705"/>
      <c r="C73" s="2705"/>
      <c r="D73" s="2705"/>
      <c r="E73" s="2705"/>
      <c r="F73" s="2705"/>
      <c r="G73" s="2706"/>
      <c r="H73" s="2705"/>
      <c r="I73" s="2706"/>
      <c r="J73" s="2705"/>
      <c r="K73" s="2705"/>
      <c r="L73" s="2706"/>
      <c r="M73" s="2705"/>
      <c r="N73" s="2705"/>
      <c r="O73" s="2706"/>
      <c r="P73" s="2705"/>
      <c r="Q73" s="2705"/>
      <c r="R73" s="2707"/>
    </row>
    <row r="74" spans="2:18" s="2695" customFormat="1">
      <c r="B74" s="2705"/>
      <c r="C74" s="2705"/>
      <c r="D74" s="2705"/>
      <c r="E74" s="2705"/>
      <c r="F74" s="2705"/>
      <c r="G74" s="2706"/>
      <c r="H74" s="2705"/>
      <c r="I74" s="2706"/>
      <c r="J74" s="2705"/>
      <c r="K74" s="2705"/>
      <c r="L74" s="2706"/>
      <c r="M74" s="2705"/>
      <c r="N74" s="2705"/>
      <c r="O74" s="2706"/>
      <c r="P74" s="2705"/>
      <c r="Q74" s="2705"/>
      <c r="R74" s="2707"/>
    </row>
    <row r="75" spans="2:18" s="2695" customFormat="1">
      <c r="B75" s="2705"/>
      <c r="C75" s="2705"/>
      <c r="D75" s="2705"/>
      <c r="E75" s="2705"/>
      <c r="F75" s="2705"/>
      <c r="G75" s="2706"/>
      <c r="H75" s="2705"/>
      <c r="I75" s="2706"/>
      <c r="J75" s="2705"/>
      <c r="K75" s="2705"/>
      <c r="L75" s="2706"/>
      <c r="M75" s="2705"/>
      <c r="N75" s="2705"/>
      <c r="O75" s="2706"/>
      <c r="P75" s="2705"/>
      <c r="Q75" s="2705"/>
      <c r="R75" s="2707"/>
    </row>
    <row r="76" spans="2:18" s="2695" customFormat="1">
      <c r="B76" s="2705"/>
      <c r="C76" s="2705"/>
      <c r="D76" s="2705"/>
      <c r="E76" s="2705"/>
      <c r="F76" s="2705"/>
      <c r="G76" s="2706"/>
      <c r="H76" s="2705"/>
      <c r="I76" s="2706"/>
      <c r="J76" s="2705"/>
      <c r="K76" s="2705"/>
      <c r="L76" s="2706"/>
      <c r="M76" s="2705"/>
      <c r="N76" s="2705"/>
      <c r="O76" s="2706"/>
      <c r="P76" s="2705"/>
      <c r="Q76" s="2705"/>
      <c r="R76" s="2707"/>
    </row>
    <row r="77" spans="2:18" s="2695" customFormat="1">
      <c r="B77" s="2705"/>
      <c r="C77" s="2705"/>
      <c r="D77" s="2705"/>
      <c r="E77" s="2705"/>
      <c r="F77" s="2705"/>
      <c r="G77" s="2706"/>
      <c r="H77" s="2705"/>
      <c r="I77" s="2706"/>
      <c r="J77" s="2705"/>
      <c r="K77" s="2705"/>
      <c r="L77" s="2706"/>
      <c r="M77" s="2705"/>
      <c r="N77" s="2705"/>
      <c r="O77" s="2706"/>
      <c r="P77" s="2705"/>
      <c r="Q77" s="2705"/>
      <c r="R77" s="2707"/>
    </row>
    <row r="78" spans="2:18" s="2695" customFormat="1">
      <c r="B78" s="2705"/>
      <c r="C78" s="2705"/>
      <c r="D78" s="2705"/>
      <c r="E78" s="2705"/>
      <c r="F78" s="2705"/>
      <c r="G78" s="2706"/>
      <c r="H78" s="2705"/>
      <c r="I78" s="2706"/>
      <c r="J78" s="2705"/>
      <c r="K78" s="2705"/>
      <c r="L78" s="2706"/>
      <c r="M78" s="2705"/>
      <c r="N78" s="2705"/>
      <c r="O78" s="2706"/>
      <c r="P78" s="2705"/>
      <c r="Q78" s="2705"/>
      <c r="R78" s="2707"/>
    </row>
    <row r="79" spans="2:18" s="2695" customFormat="1">
      <c r="B79" s="2705"/>
      <c r="C79" s="2705"/>
      <c r="D79" s="2705"/>
      <c r="E79" s="2705"/>
      <c r="F79" s="2705"/>
      <c r="G79" s="2706"/>
      <c r="H79" s="2705"/>
      <c r="I79" s="2706"/>
      <c r="J79" s="2705"/>
      <c r="K79" s="2705"/>
      <c r="L79" s="2706"/>
      <c r="M79" s="2705"/>
      <c r="N79" s="2705"/>
      <c r="O79" s="2706"/>
      <c r="P79" s="2705"/>
      <c r="Q79" s="2705"/>
      <c r="R79" s="2707"/>
    </row>
    <row r="80" spans="2:18" s="2695" customFormat="1">
      <c r="B80" s="2705"/>
      <c r="C80" s="2705"/>
      <c r="D80" s="2705"/>
      <c r="E80" s="2705"/>
      <c r="F80" s="2705"/>
      <c r="G80" s="2706"/>
      <c r="H80" s="2705"/>
      <c r="I80" s="2706"/>
      <c r="J80" s="2705"/>
      <c r="K80" s="2705"/>
      <c r="L80" s="2706"/>
      <c r="M80" s="2705"/>
      <c r="N80" s="2705"/>
      <c r="O80" s="2706"/>
      <c r="P80" s="2705"/>
      <c r="Q80" s="2705"/>
      <c r="R80" s="2707"/>
    </row>
    <row r="81" spans="2:18" s="2695" customFormat="1">
      <c r="B81" s="2705"/>
      <c r="C81" s="2705"/>
      <c r="D81" s="2705"/>
      <c r="E81" s="2705"/>
      <c r="F81" s="2705"/>
      <c r="G81" s="2706"/>
      <c r="H81" s="2705"/>
      <c r="I81" s="2706"/>
      <c r="J81" s="2705"/>
      <c r="K81" s="2705"/>
      <c r="L81" s="2706"/>
      <c r="M81" s="2705"/>
      <c r="N81" s="2705"/>
      <c r="O81" s="2706"/>
      <c r="P81" s="2705"/>
      <c r="Q81" s="2705"/>
      <c r="R81" s="2707"/>
    </row>
    <row r="82" spans="2:18" s="2695" customFormat="1">
      <c r="B82" s="2705"/>
      <c r="C82" s="2705"/>
      <c r="D82" s="2705"/>
      <c r="E82" s="2705"/>
      <c r="F82" s="2705"/>
      <c r="G82" s="2706"/>
      <c r="H82" s="2705"/>
      <c r="I82" s="2706"/>
      <c r="J82" s="2705"/>
      <c r="K82" s="2705"/>
      <c r="L82" s="2706"/>
      <c r="M82" s="2705"/>
      <c r="N82" s="2705"/>
      <c r="O82" s="2706"/>
      <c r="P82" s="2705"/>
      <c r="Q82" s="2705"/>
      <c r="R82" s="2707"/>
    </row>
    <row r="83" spans="2:18" s="2695" customFormat="1">
      <c r="B83" s="2705"/>
      <c r="C83" s="2705"/>
      <c r="D83" s="2705"/>
      <c r="E83" s="2705"/>
      <c r="F83" s="2705"/>
      <c r="G83" s="2706"/>
      <c r="H83" s="2705"/>
      <c r="I83" s="2706"/>
      <c r="J83" s="2705"/>
      <c r="K83" s="2705"/>
      <c r="L83" s="2706"/>
      <c r="M83" s="2705"/>
      <c r="N83" s="2705"/>
      <c r="O83" s="2706"/>
      <c r="P83" s="2705"/>
      <c r="Q83" s="2705"/>
      <c r="R83" s="2707"/>
    </row>
    <row r="84" spans="2:18" s="2695" customFormat="1">
      <c r="B84" s="2705"/>
      <c r="C84" s="2705"/>
      <c r="D84" s="2705"/>
      <c r="E84" s="2705"/>
      <c r="F84" s="2705"/>
      <c r="G84" s="2706"/>
      <c r="H84" s="2705"/>
      <c r="I84" s="2706"/>
      <c r="J84" s="2705"/>
      <c r="K84" s="2705"/>
      <c r="L84" s="2706"/>
      <c r="M84" s="2705"/>
      <c r="N84" s="2705"/>
      <c r="O84" s="2706"/>
      <c r="P84" s="2705"/>
      <c r="Q84" s="2705"/>
      <c r="R84" s="2707"/>
    </row>
    <row r="85" spans="2:18" s="2695" customFormat="1">
      <c r="B85" s="2705"/>
      <c r="C85" s="2705"/>
      <c r="D85" s="2705"/>
      <c r="E85" s="2705"/>
      <c r="F85" s="2705"/>
      <c r="G85" s="2706"/>
      <c r="H85" s="2705"/>
      <c r="I85" s="2706"/>
      <c r="J85" s="2705"/>
      <c r="K85" s="2705"/>
      <c r="L85" s="2706"/>
      <c r="M85" s="2705"/>
      <c r="N85" s="2705"/>
      <c r="O85" s="2706"/>
      <c r="P85" s="2705"/>
      <c r="Q85" s="2705"/>
      <c r="R85" s="2707"/>
    </row>
    <row r="86" spans="2:18" s="2695" customFormat="1">
      <c r="B86" s="2705"/>
      <c r="C86" s="2705"/>
      <c r="D86" s="2705"/>
      <c r="E86" s="2705"/>
      <c r="F86" s="2705"/>
      <c r="G86" s="2706"/>
      <c r="H86" s="2705"/>
      <c r="I86" s="2706"/>
      <c r="J86" s="2705"/>
      <c r="K86" s="2705"/>
      <c r="L86" s="2706"/>
      <c r="M86" s="2705"/>
      <c r="N86" s="2705"/>
      <c r="O86" s="2706"/>
      <c r="P86" s="2705"/>
      <c r="Q86" s="2705"/>
      <c r="R86" s="2707"/>
    </row>
    <row r="87" spans="2:18" s="2695" customFormat="1">
      <c r="B87" s="2705"/>
      <c r="C87" s="2705"/>
      <c r="D87" s="2705"/>
      <c r="E87" s="2705"/>
      <c r="F87" s="2705"/>
      <c r="G87" s="2706"/>
      <c r="H87" s="2705"/>
      <c r="I87" s="2706"/>
      <c r="J87" s="2705"/>
      <c r="K87" s="2705"/>
      <c r="L87" s="2706"/>
      <c r="M87" s="2705"/>
      <c r="N87" s="2705"/>
      <c r="O87" s="2706"/>
      <c r="P87" s="2705"/>
      <c r="Q87" s="2705"/>
      <c r="R87" s="2707"/>
    </row>
    <row r="88" spans="2:18" s="2695" customFormat="1">
      <c r="B88" s="2705"/>
      <c r="C88" s="2705"/>
      <c r="D88" s="2705"/>
      <c r="E88" s="2705"/>
      <c r="F88" s="2705"/>
      <c r="G88" s="2706"/>
      <c r="H88" s="2705"/>
      <c r="I88" s="2706"/>
      <c r="J88" s="2705"/>
      <c r="K88" s="2705"/>
      <c r="L88" s="2706"/>
      <c r="M88" s="2705"/>
      <c r="N88" s="2705"/>
      <c r="O88" s="2706"/>
      <c r="P88" s="2705"/>
      <c r="Q88" s="2705"/>
      <c r="R88" s="2707"/>
    </row>
    <row r="89" spans="2:18" s="2695" customFormat="1">
      <c r="B89" s="2705"/>
      <c r="C89" s="2705"/>
      <c r="D89" s="2705"/>
      <c r="E89" s="2705"/>
      <c r="F89" s="2705"/>
      <c r="G89" s="2706"/>
      <c r="H89" s="2705"/>
      <c r="I89" s="2706"/>
      <c r="J89" s="2705"/>
      <c r="K89" s="2705"/>
      <c r="L89" s="2706"/>
      <c r="M89" s="2705"/>
      <c r="N89" s="2705"/>
      <c r="O89" s="2706"/>
      <c r="P89" s="2705"/>
      <c r="Q89" s="2705"/>
      <c r="R89" s="2707"/>
    </row>
    <row r="90" spans="2:18" s="2695" customFormat="1">
      <c r="B90" s="2705"/>
      <c r="C90" s="2705"/>
      <c r="D90" s="2705"/>
      <c r="E90" s="2705"/>
      <c r="F90" s="2705"/>
      <c r="G90" s="2706"/>
      <c r="H90" s="2705"/>
      <c r="I90" s="2706"/>
      <c r="J90" s="2705"/>
      <c r="K90" s="2705"/>
      <c r="L90" s="2706"/>
      <c r="M90" s="2705"/>
      <c r="N90" s="2705"/>
      <c r="O90" s="2706"/>
      <c r="P90" s="2705"/>
      <c r="Q90" s="2705"/>
      <c r="R90" s="2707"/>
    </row>
    <row r="91" spans="2:18" s="2695" customFormat="1">
      <c r="B91" s="2705"/>
      <c r="C91" s="2705"/>
      <c r="D91" s="2705"/>
      <c r="E91" s="2705"/>
      <c r="F91" s="2705"/>
      <c r="G91" s="2706"/>
      <c r="H91" s="2705"/>
      <c r="I91" s="2706"/>
      <c r="J91" s="2705"/>
      <c r="K91" s="2705"/>
      <c r="L91" s="2706"/>
      <c r="M91" s="2705"/>
      <c r="N91" s="2705"/>
      <c r="O91" s="2706"/>
      <c r="P91" s="2705"/>
      <c r="Q91" s="2705"/>
      <c r="R91" s="2707"/>
    </row>
    <row r="92" spans="2:18" s="2695" customFormat="1">
      <c r="B92" s="2705"/>
      <c r="C92" s="2705"/>
      <c r="D92" s="2705"/>
      <c r="E92" s="2705"/>
      <c r="F92" s="2705"/>
      <c r="G92" s="2706"/>
      <c r="H92" s="2705"/>
      <c r="I92" s="2706"/>
      <c r="J92" s="2705"/>
      <c r="K92" s="2705"/>
      <c r="L92" s="2706"/>
      <c r="M92" s="2705"/>
      <c r="N92" s="2705"/>
      <c r="O92" s="2706"/>
      <c r="P92" s="2705"/>
      <c r="Q92" s="2705"/>
      <c r="R92" s="2707"/>
    </row>
    <row r="93" spans="2:18" s="2695" customFormat="1">
      <c r="B93" s="2705"/>
      <c r="C93" s="2705"/>
      <c r="D93" s="2705"/>
      <c r="E93" s="2705"/>
      <c r="F93" s="2705"/>
      <c r="G93" s="2706"/>
      <c r="H93" s="2705"/>
      <c r="I93" s="2706"/>
      <c r="J93" s="2705"/>
      <c r="K93" s="2705"/>
      <c r="L93" s="2706"/>
      <c r="M93" s="2705"/>
      <c r="N93" s="2705"/>
      <c r="O93" s="2706"/>
      <c r="P93" s="2705"/>
      <c r="Q93" s="2705"/>
      <c r="R93" s="2707"/>
    </row>
    <row r="94" spans="2:18" s="2695" customFormat="1">
      <c r="B94" s="2705"/>
      <c r="C94" s="2705"/>
      <c r="D94" s="2705"/>
      <c r="E94" s="2705"/>
      <c r="F94" s="2705"/>
      <c r="G94" s="2706"/>
      <c r="H94" s="2705"/>
      <c r="I94" s="2706"/>
      <c r="J94" s="2705"/>
      <c r="K94" s="2705"/>
      <c r="L94" s="2706"/>
      <c r="M94" s="2705"/>
      <c r="N94" s="2705"/>
      <c r="O94" s="2706"/>
      <c r="P94" s="2705"/>
      <c r="Q94" s="2705"/>
      <c r="R94" s="2707"/>
    </row>
    <row r="95" spans="2:18" s="2695" customFormat="1">
      <c r="B95" s="2705"/>
      <c r="C95" s="2705"/>
      <c r="D95" s="2705"/>
      <c r="E95" s="2705"/>
      <c r="F95" s="2705"/>
      <c r="G95" s="2706"/>
      <c r="H95" s="2705"/>
      <c r="I95" s="2706"/>
      <c r="J95" s="2705"/>
      <c r="K95" s="2705"/>
      <c r="L95" s="2706"/>
      <c r="M95" s="2705"/>
      <c r="N95" s="2705"/>
      <c r="O95" s="2706"/>
      <c r="P95" s="2705"/>
      <c r="Q95" s="2705"/>
      <c r="R95" s="2707"/>
    </row>
    <row r="96" spans="2:18" s="2695" customFormat="1">
      <c r="B96" s="2705"/>
      <c r="C96" s="2705"/>
      <c r="D96" s="2705"/>
      <c r="E96" s="2705"/>
      <c r="F96" s="2705"/>
      <c r="G96" s="2706"/>
      <c r="H96" s="2705"/>
      <c r="I96" s="2706"/>
      <c r="J96" s="2705"/>
      <c r="K96" s="2705"/>
      <c r="L96" s="2706"/>
      <c r="M96" s="2705"/>
      <c r="N96" s="2705"/>
      <c r="O96" s="2706"/>
      <c r="P96" s="2705"/>
      <c r="Q96" s="2705"/>
      <c r="R96" s="2707"/>
    </row>
    <row r="97" spans="2:18" s="2695" customFormat="1">
      <c r="B97" s="2705"/>
      <c r="C97" s="2705"/>
      <c r="D97" s="2705"/>
      <c r="E97" s="2705"/>
      <c r="F97" s="2705"/>
      <c r="G97" s="2706"/>
      <c r="H97" s="2705"/>
      <c r="I97" s="2706"/>
      <c r="J97" s="2705"/>
      <c r="K97" s="2705"/>
      <c r="L97" s="2706"/>
      <c r="M97" s="2705"/>
      <c r="N97" s="2705"/>
      <c r="O97" s="2706"/>
      <c r="P97" s="2705"/>
      <c r="Q97" s="2705"/>
      <c r="R97" s="2707"/>
    </row>
    <row r="98" spans="2:18" s="2695" customFormat="1">
      <c r="B98" s="2705"/>
      <c r="C98" s="2705"/>
      <c r="D98" s="2705"/>
      <c r="E98" s="2705"/>
      <c r="F98" s="2705"/>
      <c r="G98" s="2706"/>
      <c r="H98" s="2705"/>
      <c r="I98" s="2706"/>
      <c r="J98" s="2705"/>
      <c r="K98" s="2705"/>
      <c r="L98" s="2706"/>
      <c r="M98" s="2705"/>
      <c r="N98" s="2705"/>
      <c r="O98" s="2706"/>
      <c r="P98" s="2705"/>
      <c r="Q98" s="2705"/>
      <c r="R98" s="2707"/>
    </row>
    <row r="99" spans="2:18" s="2695" customFormat="1">
      <c r="B99" s="2705"/>
      <c r="C99" s="2705"/>
      <c r="D99" s="2705"/>
      <c r="E99" s="2705"/>
      <c r="F99" s="2705"/>
      <c r="G99" s="2706"/>
      <c r="H99" s="2705"/>
      <c r="I99" s="2706"/>
      <c r="J99" s="2705"/>
      <c r="K99" s="2705"/>
      <c r="L99" s="2706"/>
      <c r="M99" s="2705"/>
      <c r="N99" s="2705"/>
      <c r="O99" s="2706"/>
      <c r="P99" s="2705"/>
      <c r="Q99" s="2705"/>
      <c r="R99" s="2707"/>
    </row>
    <row r="100" spans="2:18" s="2695" customFormat="1">
      <c r="B100" s="2705"/>
      <c r="C100" s="2705"/>
      <c r="D100" s="2705"/>
      <c r="E100" s="2705"/>
      <c r="F100" s="2705"/>
      <c r="G100" s="2706"/>
      <c r="H100" s="2705"/>
      <c r="I100" s="2706"/>
      <c r="J100" s="2705"/>
      <c r="K100" s="2705"/>
      <c r="L100" s="2706"/>
      <c r="M100" s="2705"/>
      <c r="N100" s="2705"/>
      <c r="O100" s="2706"/>
      <c r="P100" s="2705"/>
      <c r="Q100" s="2705"/>
      <c r="R100" s="2707"/>
    </row>
    <row r="101" spans="2:18" s="2695" customFormat="1">
      <c r="B101" s="2705"/>
      <c r="C101" s="2705"/>
      <c r="D101" s="2705"/>
      <c r="E101" s="2705"/>
      <c r="F101" s="2705"/>
      <c r="G101" s="2706"/>
      <c r="H101" s="2705"/>
      <c r="I101" s="2706"/>
      <c r="J101" s="2705"/>
      <c r="K101" s="2705"/>
      <c r="L101" s="2706"/>
      <c r="M101" s="2705"/>
      <c r="N101" s="2705"/>
      <c r="O101" s="2706"/>
      <c r="P101" s="2705"/>
      <c r="Q101" s="2705"/>
      <c r="R101" s="2707"/>
    </row>
    <row r="102" spans="2:18" s="2695" customFormat="1">
      <c r="B102" s="2705"/>
      <c r="C102" s="2705"/>
      <c r="D102" s="2705"/>
      <c r="E102" s="2705"/>
      <c r="F102" s="2705"/>
      <c r="G102" s="2706"/>
      <c r="H102" s="2705"/>
      <c r="I102" s="2706"/>
      <c r="J102" s="2705"/>
      <c r="K102" s="2705"/>
      <c r="L102" s="2706"/>
      <c r="M102" s="2705"/>
      <c r="N102" s="2705"/>
      <c r="O102" s="2706"/>
      <c r="P102" s="2705"/>
      <c r="Q102" s="2705"/>
      <c r="R102" s="2707"/>
    </row>
    <row r="103" spans="2:18" s="2695" customFormat="1">
      <c r="B103" s="2705"/>
      <c r="C103" s="2705"/>
      <c r="D103" s="2705"/>
      <c r="E103" s="2705"/>
      <c r="F103" s="2705"/>
      <c r="G103" s="2706"/>
      <c r="H103" s="2705"/>
      <c r="I103" s="2706"/>
      <c r="J103" s="2705"/>
      <c r="K103" s="2705"/>
      <c r="L103" s="2706"/>
      <c r="M103" s="2705"/>
      <c r="N103" s="2705"/>
      <c r="O103" s="2706"/>
      <c r="P103" s="2705"/>
      <c r="Q103" s="2705"/>
      <c r="R103" s="2707"/>
    </row>
    <row r="104" spans="2:18" s="2695" customFormat="1">
      <c r="B104" s="2705"/>
      <c r="C104" s="2705"/>
      <c r="D104" s="2705"/>
      <c r="E104" s="2705"/>
      <c r="F104" s="2705"/>
      <c r="G104" s="2706"/>
      <c r="H104" s="2705"/>
      <c r="I104" s="2706"/>
      <c r="J104" s="2705"/>
      <c r="K104" s="2705"/>
      <c r="L104" s="2706"/>
      <c r="M104" s="2705"/>
      <c r="N104" s="2705"/>
      <c r="O104" s="2706"/>
      <c r="P104" s="2705"/>
      <c r="Q104" s="2705"/>
      <c r="R104" s="2707"/>
    </row>
    <row r="105" spans="2:18" s="2695" customFormat="1">
      <c r="B105" s="2705"/>
      <c r="C105" s="2705"/>
      <c r="D105" s="2705"/>
      <c r="E105" s="2705"/>
      <c r="F105" s="2705"/>
      <c r="G105" s="2706"/>
      <c r="H105" s="2705"/>
      <c r="I105" s="2706"/>
      <c r="J105" s="2705"/>
      <c r="K105" s="2705"/>
      <c r="L105" s="2706"/>
      <c r="M105" s="2705"/>
      <c r="N105" s="2705"/>
      <c r="O105" s="2706"/>
      <c r="P105" s="2705"/>
      <c r="Q105" s="2705"/>
      <c r="R105" s="2707"/>
    </row>
    <row r="106" spans="2:18" s="2695" customFormat="1">
      <c r="B106" s="2705"/>
      <c r="C106" s="2705"/>
      <c r="D106" s="2705"/>
      <c r="E106" s="2705"/>
      <c r="F106" s="2705"/>
      <c r="G106" s="2706"/>
      <c r="H106" s="2705"/>
      <c r="I106" s="2706"/>
      <c r="J106" s="2705"/>
      <c r="K106" s="2705"/>
      <c r="L106" s="2706"/>
      <c r="M106" s="2705"/>
      <c r="N106" s="2705"/>
      <c r="O106" s="2706"/>
      <c r="P106" s="2705"/>
      <c r="Q106" s="2705"/>
      <c r="R106" s="2707"/>
    </row>
    <row r="107" spans="2:18" s="2695" customFormat="1">
      <c r="B107" s="2705"/>
      <c r="C107" s="2705"/>
      <c r="D107" s="2705"/>
      <c r="E107" s="2705"/>
      <c r="F107" s="2705"/>
      <c r="G107" s="2706"/>
      <c r="H107" s="2705"/>
      <c r="I107" s="2706"/>
      <c r="J107" s="2705"/>
      <c r="K107" s="2705"/>
      <c r="L107" s="2706"/>
      <c r="M107" s="2705"/>
      <c r="N107" s="2705"/>
      <c r="O107" s="2706"/>
      <c r="P107" s="2705"/>
      <c r="Q107" s="2705"/>
      <c r="R107" s="2707"/>
    </row>
    <row r="108" spans="2:18" s="2695" customFormat="1">
      <c r="B108" s="2705"/>
      <c r="C108" s="2705"/>
      <c r="D108" s="2705"/>
      <c r="E108" s="2705"/>
      <c r="F108" s="2705"/>
      <c r="G108" s="2706"/>
      <c r="H108" s="2705"/>
      <c r="I108" s="2706"/>
      <c r="J108" s="2705"/>
      <c r="K108" s="2705"/>
      <c r="L108" s="2706"/>
      <c r="M108" s="2705"/>
      <c r="N108" s="2705"/>
      <c r="O108" s="2706"/>
      <c r="P108" s="2705"/>
      <c r="Q108" s="2705"/>
      <c r="R108" s="2707"/>
    </row>
    <row r="109" spans="2:18" s="2695" customFormat="1">
      <c r="B109" s="2705"/>
      <c r="C109" s="2705"/>
      <c r="D109" s="2705"/>
      <c r="E109" s="2705"/>
      <c r="F109" s="2705"/>
      <c r="G109" s="2706"/>
      <c r="H109" s="2705"/>
      <c r="I109" s="2706"/>
      <c r="J109" s="2705"/>
      <c r="K109" s="2705"/>
      <c r="L109" s="2706"/>
      <c r="M109" s="2705"/>
      <c r="N109" s="2705"/>
      <c r="O109" s="2706"/>
      <c r="P109" s="2705"/>
      <c r="Q109" s="2705"/>
      <c r="R109" s="2707"/>
    </row>
    <row r="110" spans="2:18" s="2695" customFormat="1">
      <c r="B110" s="2705"/>
      <c r="C110" s="2705"/>
      <c r="D110" s="2705"/>
      <c r="E110" s="2705"/>
      <c r="F110" s="2705"/>
      <c r="G110" s="2706"/>
      <c r="H110" s="2705"/>
      <c r="I110" s="2706"/>
      <c r="J110" s="2705"/>
      <c r="K110" s="2705"/>
      <c r="L110" s="2706"/>
      <c r="M110" s="2705"/>
      <c r="N110" s="2705"/>
      <c r="O110" s="2706"/>
      <c r="P110" s="2705"/>
      <c r="Q110" s="2705"/>
      <c r="R110" s="2707"/>
    </row>
    <row r="111" spans="2:18" s="2695" customFormat="1">
      <c r="B111" s="2705"/>
      <c r="C111" s="2705"/>
      <c r="D111" s="2705"/>
      <c r="E111" s="2705"/>
      <c r="F111" s="2705"/>
      <c r="G111" s="2706"/>
      <c r="H111" s="2705"/>
      <c r="I111" s="2706"/>
      <c r="J111" s="2705"/>
      <c r="K111" s="2705"/>
      <c r="L111" s="2706"/>
      <c r="M111" s="2705"/>
      <c r="N111" s="2705"/>
      <c r="O111" s="2706"/>
      <c r="P111" s="2705"/>
      <c r="Q111" s="2705"/>
      <c r="R111" s="2707"/>
    </row>
    <row r="112" spans="2:18" s="2695" customFormat="1">
      <c r="B112" s="2705"/>
      <c r="C112" s="2705"/>
      <c r="D112" s="2705"/>
      <c r="E112" s="2705"/>
      <c r="F112" s="2705"/>
      <c r="G112" s="2706"/>
      <c r="H112" s="2705"/>
      <c r="I112" s="2706"/>
      <c r="J112" s="2705"/>
      <c r="K112" s="2705"/>
      <c r="L112" s="2706"/>
      <c r="M112" s="2705"/>
      <c r="N112" s="2705"/>
      <c r="O112" s="2706"/>
      <c r="P112" s="2705"/>
      <c r="Q112" s="2705"/>
      <c r="R112" s="2707"/>
    </row>
    <row r="113" spans="2:18" s="2695" customFormat="1">
      <c r="B113" s="2705"/>
      <c r="C113" s="2705"/>
      <c r="D113" s="2705"/>
      <c r="E113" s="2705"/>
      <c r="F113" s="2705"/>
      <c r="G113" s="2706"/>
      <c r="H113" s="2705"/>
      <c r="I113" s="2706"/>
      <c r="J113" s="2705"/>
      <c r="K113" s="2705"/>
      <c r="L113" s="2706"/>
      <c r="M113" s="2705"/>
      <c r="N113" s="2705"/>
      <c r="O113" s="2706"/>
      <c r="P113" s="2705"/>
      <c r="Q113" s="2705"/>
      <c r="R113" s="2707"/>
    </row>
    <row r="114" spans="2:18" s="2695" customFormat="1">
      <c r="B114" s="2705"/>
      <c r="C114" s="2705"/>
      <c r="D114" s="2705"/>
      <c r="E114" s="2705"/>
      <c r="F114" s="2705"/>
      <c r="G114" s="2706"/>
      <c r="H114" s="2705"/>
      <c r="I114" s="2706"/>
      <c r="J114" s="2705"/>
      <c r="K114" s="2705"/>
      <c r="L114" s="2706"/>
      <c r="M114" s="2705"/>
      <c r="N114" s="2705"/>
      <c r="O114" s="2706"/>
      <c r="P114" s="2705"/>
      <c r="Q114" s="2705"/>
      <c r="R114" s="2707"/>
    </row>
    <row r="115" spans="2:18" s="2695" customFormat="1">
      <c r="B115" s="2705"/>
      <c r="C115" s="2705"/>
      <c r="D115" s="2705"/>
      <c r="E115" s="2705"/>
      <c r="F115" s="2705"/>
      <c r="G115" s="2706"/>
      <c r="H115" s="2705"/>
      <c r="I115" s="2706"/>
      <c r="J115" s="2705"/>
      <c r="K115" s="2705"/>
      <c r="L115" s="2706"/>
      <c r="M115" s="2705"/>
      <c r="N115" s="2705"/>
      <c r="O115" s="2706"/>
      <c r="P115" s="2705"/>
      <c r="Q115" s="2705"/>
      <c r="R115" s="2707"/>
    </row>
    <row r="116" spans="2:18" s="2695" customFormat="1">
      <c r="B116" s="2705"/>
      <c r="C116" s="2705"/>
      <c r="D116" s="2705"/>
      <c r="E116" s="2705"/>
      <c r="F116" s="2705"/>
      <c r="G116" s="2706"/>
      <c r="H116" s="2705"/>
      <c r="I116" s="2706"/>
      <c r="J116" s="2705"/>
      <c r="K116" s="2705"/>
      <c r="L116" s="2706"/>
      <c r="M116" s="2705"/>
      <c r="N116" s="2705"/>
      <c r="O116" s="2706"/>
      <c r="P116" s="2705"/>
      <c r="Q116" s="2705"/>
      <c r="R116" s="2707"/>
    </row>
    <row r="117" spans="2:18" s="2695" customFormat="1">
      <c r="B117" s="2705"/>
      <c r="C117" s="2705"/>
      <c r="D117" s="2705"/>
      <c r="E117" s="2705"/>
      <c r="F117" s="2705"/>
      <c r="G117" s="2706"/>
      <c r="H117" s="2705"/>
      <c r="I117" s="2706"/>
      <c r="J117" s="2705"/>
      <c r="K117" s="2705"/>
      <c r="L117" s="2706"/>
      <c r="M117" s="2705"/>
      <c r="N117" s="2705"/>
      <c r="O117" s="2706"/>
      <c r="P117" s="2705"/>
      <c r="Q117" s="2705"/>
      <c r="R117" s="2707"/>
    </row>
    <row r="118" spans="2:18" s="2695" customFormat="1">
      <c r="B118" s="2705"/>
      <c r="C118" s="2705"/>
      <c r="D118" s="2705"/>
      <c r="E118" s="2705"/>
      <c r="F118" s="2705"/>
      <c r="G118" s="2706"/>
      <c r="H118" s="2705"/>
      <c r="I118" s="2706"/>
      <c r="J118" s="2705"/>
      <c r="K118" s="2705"/>
      <c r="L118" s="2706"/>
      <c r="M118" s="2705"/>
      <c r="N118" s="2705"/>
      <c r="O118" s="2706"/>
      <c r="P118" s="2705"/>
      <c r="Q118" s="2705"/>
      <c r="R118" s="2707"/>
    </row>
    <row r="119" spans="2:18" s="2695" customFormat="1">
      <c r="B119" s="2705"/>
      <c r="C119" s="2705"/>
      <c r="D119" s="2705"/>
      <c r="E119" s="2705"/>
      <c r="F119" s="2705"/>
      <c r="G119" s="2706"/>
      <c r="H119" s="2705"/>
      <c r="I119" s="2706"/>
      <c r="J119" s="2705"/>
      <c r="K119" s="2705"/>
      <c r="L119" s="2706"/>
      <c r="M119" s="2705"/>
      <c r="N119" s="2705"/>
      <c r="O119" s="2706"/>
      <c r="P119" s="2705"/>
      <c r="Q119" s="2705"/>
      <c r="R119" s="2707"/>
    </row>
    <row r="120" spans="2:18" s="2695" customFormat="1">
      <c r="B120" s="2705"/>
      <c r="C120" s="2705"/>
      <c r="D120" s="2705"/>
      <c r="E120" s="2705"/>
      <c r="F120" s="2705"/>
      <c r="G120" s="2706"/>
      <c r="H120" s="2705"/>
      <c r="I120" s="2706"/>
      <c r="J120" s="2705"/>
      <c r="K120" s="2705"/>
      <c r="L120" s="2706"/>
      <c r="M120" s="2705"/>
      <c r="N120" s="2705"/>
      <c r="O120" s="2706"/>
      <c r="P120" s="2705"/>
      <c r="Q120" s="2705"/>
      <c r="R120" s="2707"/>
    </row>
    <row r="121" spans="2:18" s="2695" customFormat="1">
      <c r="B121" s="2705"/>
      <c r="C121" s="2705"/>
      <c r="D121" s="2705"/>
      <c r="E121" s="2705"/>
      <c r="F121" s="2705"/>
      <c r="G121" s="2706"/>
      <c r="H121" s="2705"/>
      <c r="I121" s="2706"/>
      <c r="J121" s="2705"/>
      <c r="K121" s="2705"/>
      <c r="L121" s="2706"/>
      <c r="M121" s="2705"/>
      <c r="N121" s="2705"/>
      <c r="O121" s="2706"/>
      <c r="P121" s="2705"/>
      <c r="Q121" s="2705"/>
      <c r="R121" s="2707"/>
    </row>
    <row r="122" spans="2:18" s="2695" customFormat="1">
      <c r="B122" s="2705"/>
      <c r="C122" s="2705"/>
      <c r="D122" s="2705"/>
      <c r="E122" s="2705"/>
      <c r="F122" s="2705"/>
      <c r="G122" s="2706"/>
      <c r="H122" s="2705"/>
      <c r="I122" s="2706"/>
      <c r="J122" s="2705"/>
      <c r="K122" s="2705"/>
      <c r="L122" s="2706"/>
      <c r="M122" s="2705"/>
      <c r="N122" s="2705"/>
      <c r="O122" s="2706"/>
      <c r="P122" s="2705"/>
      <c r="Q122" s="2705"/>
      <c r="R122" s="2707"/>
    </row>
    <row r="123" spans="2:18" s="2695" customFormat="1">
      <c r="B123" s="2705"/>
      <c r="C123" s="2705"/>
      <c r="D123" s="2705"/>
      <c r="E123" s="2705"/>
      <c r="F123" s="2705"/>
      <c r="G123" s="2706"/>
      <c r="H123" s="2705"/>
      <c r="I123" s="2706"/>
      <c r="J123" s="2705"/>
      <c r="K123" s="2705"/>
      <c r="L123" s="2706"/>
      <c r="M123" s="2705"/>
      <c r="N123" s="2705"/>
      <c r="O123" s="2706"/>
      <c r="P123" s="2705"/>
      <c r="Q123" s="2705"/>
      <c r="R123" s="2707"/>
    </row>
    <row r="124" spans="2:18" s="2695" customFormat="1">
      <c r="B124" s="2705"/>
      <c r="C124" s="2705"/>
      <c r="D124" s="2705"/>
      <c r="E124" s="2705"/>
      <c r="F124" s="2705"/>
      <c r="G124" s="2706"/>
      <c r="H124" s="2705"/>
      <c r="I124" s="2706"/>
      <c r="J124" s="2705"/>
      <c r="K124" s="2705"/>
      <c r="L124" s="2706"/>
      <c r="M124" s="2705"/>
      <c r="N124" s="2705"/>
      <c r="O124" s="2706"/>
      <c r="P124" s="2705"/>
      <c r="Q124" s="2705"/>
      <c r="R124" s="2707"/>
    </row>
    <row r="125" spans="2:18" s="2695" customFormat="1">
      <c r="B125" s="2705"/>
      <c r="C125" s="2705"/>
      <c r="D125" s="2705"/>
      <c r="E125" s="2705"/>
      <c r="F125" s="2705"/>
      <c r="G125" s="2706"/>
      <c r="H125" s="2705"/>
      <c r="I125" s="2706"/>
      <c r="J125" s="2705"/>
      <c r="K125" s="2705"/>
      <c r="L125" s="2706"/>
      <c r="M125" s="2705"/>
      <c r="N125" s="2705"/>
      <c r="O125" s="2706"/>
      <c r="P125" s="2705"/>
      <c r="Q125" s="2705"/>
      <c r="R125" s="2707"/>
    </row>
    <row r="126" spans="2:18" s="2695" customFormat="1">
      <c r="B126" s="2705"/>
      <c r="C126" s="2705"/>
      <c r="D126" s="2705"/>
      <c r="E126" s="2705"/>
      <c r="F126" s="2705"/>
      <c r="G126" s="2706"/>
      <c r="H126" s="2705"/>
      <c r="I126" s="2706"/>
      <c r="J126" s="2705"/>
      <c r="K126" s="2705"/>
      <c r="L126" s="2706"/>
      <c r="M126" s="2705"/>
      <c r="N126" s="2705"/>
      <c r="O126" s="2706"/>
      <c r="P126" s="2705"/>
      <c r="Q126" s="2705"/>
      <c r="R126" s="2707"/>
    </row>
    <row r="127" spans="2:18" s="2695" customFormat="1">
      <c r="B127" s="2705"/>
      <c r="C127" s="2705"/>
      <c r="D127" s="2705"/>
      <c r="E127" s="2705"/>
      <c r="F127" s="2705"/>
      <c r="G127" s="2706"/>
      <c r="H127" s="2705"/>
      <c r="I127" s="2706"/>
      <c r="J127" s="2705"/>
      <c r="K127" s="2705"/>
      <c r="L127" s="2706"/>
      <c r="M127" s="2705"/>
      <c r="N127" s="2705"/>
      <c r="O127" s="2706"/>
      <c r="P127" s="2705"/>
      <c r="Q127" s="2705"/>
      <c r="R127" s="2707"/>
    </row>
    <row r="128" spans="2:18" s="2695" customFormat="1">
      <c r="B128" s="2705"/>
      <c r="C128" s="2705"/>
      <c r="D128" s="2705"/>
      <c r="E128" s="2705"/>
      <c r="F128" s="2705"/>
      <c r="G128" s="2706"/>
      <c r="H128" s="2705"/>
      <c r="I128" s="2706"/>
      <c r="J128" s="2705"/>
      <c r="K128" s="2705"/>
      <c r="L128" s="2706"/>
      <c r="M128" s="2705"/>
      <c r="N128" s="2705"/>
      <c r="O128" s="2706"/>
      <c r="P128" s="2705"/>
      <c r="Q128" s="2705"/>
      <c r="R128" s="2707"/>
    </row>
    <row r="129" spans="2:18" s="2695" customFormat="1">
      <c r="B129" s="2705"/>
      <c r="C129" s="2705"/>
      <c r="D129" s="2705"/>
      <c r="E129" s="2705"/>
      <c r="F129" s="2705"/>
      <c r="G129" s="2706"/>
      <c r="H129" s="2705"/>
      <c r="I129" s="2706"/>
      <c r="J129" s="2705"/>
      <c r="K129" s="2705"/>
      <c r="L129" s="2706"/>
      <c r="M129" s="2705"/>
      <c r="N129" s="2705"/>
      <c r="O129" s="2706"/>
      <c r="P129" s="2705"/>
      <c r="Q129" s="2705"/>
      <c r="R129" s="2707"/>
    </row>
    <row r="130" spans="2:18" s="2695" customFormat="1">
      <c r="B130" s="2705"/>
      <c r="C130" s="2705"/>
      <c r="D130" s="2705"/>
      <c r="E130" s="2705"/>
      <c r="F130" s="2705"/>
      <c r="G130" s="2706"/>
      <c r="H130" s="2705"/>
      <c r="I130" s="2706"/>
      <c r="J130" s="2705"/>
      <c r="K130" s="2705"/>
      <c r="L130" s="2706"/>
      <c r="M130" s="2705"/>
      <c r="N130" s="2705"/>
      <c r="O130" s="2706"/>
      <c r="P130" s="2705"/>
      <c r="Q130" s="2705"/>
      <c r="R130" s="2707"/>
    </row>
    <row r="131" spans="2:18" s="2695" customFormat="1">
      <c r="B131" s="2705"/>
      <c r="C131" s="2705"/>
      <c r="D131" s="2705"/>
      <c r="E131" s="2705"/>
      <c r="F131" s="2705"/>
      <c r="G131" s="2706"/>
      <c r="H131" s="2705"/>
      <c r="I131" s="2706"/>
      <c r="J131" s="2705"/>
      <c r="K131" s="2705"/>
      <c r="L131" s="2706"/>
      <c r="M131" s="2705"/>
      <c r="N131" s="2705"/>
      <c r="O131" s="2706"/>
      <c r="P131" s="2705"/>
      <c r="Q131" s="2705"/>
      <c r="R131" s="2707"/>
    </row>
    <row r="132" spans="2:18" s="2695" customFormat="1">
      <c r="B132" s="2705"/>
      <c r="C132" s="2705"/>
      <c r="D132" s="2705"/>
      <c r="E132" s="2705"/>
      <c r="F132" s="2705"/>
      <c r="G132" s="2706"/>
      <c r="H132" s="2705"/>
      <c r="I132" s="2706"/>
      <c r="J132" s="2705"/>
      <c r="K132" s="2705"/>
      <c r="L132" s="2706"/>
      <c r="M132" s="2705"/>
      <c r="N132" s="2705"/>
      <c r="O132" s="2706"/>
      <c r="P132" s="2705"/>
      <c r="Q132" s="2705"/>
      <c r="R132" s="2707"/>
    </row>
    <row r="133" spans="2:18" s="2695" customFormat="1">
      <c r="B133" s="2705"/>
      <c r="C133" s="2705"/>
      <c r="D133" s="2705"/>
      <c r="E133" s="2705"/>
      <c r="F133" s="2705"/>
      <c r="G133" s="2706"/>
      <c r="H133" s="2705"/>
      <c r="I133" s="2706"/>
      <c r="J133" s="2705"/>
      <c r="K133" s="2705"/>
      <c r="L133" s="2706"/>
      <c r="M133" s="2705"/>
      <c r="N133" s="2705"/>
      <c r="O133" s="2706"/>
      <c r="P133" s="2705"/>
      <c r="Q133" s="2705"/>
      <c r="R133" s="2707"/>
    </row>
    <row r="134" spans="2:18" s="2695" customFormat="1">
      <c r="B134" s="2705"/>
      <c r="C134" s="2705"/>
      <c r="D134" s="2705"/>
      <c r="E134" s="2705"/>
      <c r="F134" s="2705"/>
      <c r="G134" s="2706"/>
      <c r="H134" s="2705"/>
      <c r="I134" s="2706"/>
      <c r="J134" s="2705"/>
      <c r="K134" s="2705"/>
      <c r="L134" s="2706"/>
      <c r="M134" s="2705"/>
      <c r="N134" s="2705"/>
      <c r="O134" s="2706"/>
      <c r="P134" s="2705"/>
      <c r="Q134" s="2705"/>
      <c r="R134" s="2707"/>
    </row>
    <row r="135" spans="2:18" s="2695" customFormat="1">
      <c r="B135" s="2705"/>
      <c r="C135" s="2705"/>
      <c r="D135" s="2705"/>
      <c r="E135" s="2705"/>
      <c r="F135" s="2705"/>
      <c r="G135" s="2706"/>
      <c r="H135" s="2705"/>
      <c r="I135" s="2706"/>
      <c r="J135" s="2705"/>
      <c r="K135" s="2705"/>
      <c r="L135" s="2706"/>
      <c r="M135" s="2705"/>
      <c r="N135" s="2705"/>
      <c r="O135" s="2706"/>
      <c r="P135" s="2705"/>
      <c r="Q135" s="2705"/>
      <c r="R135" s="2707"/>
    </row>
    <row r="136" spans="2:18" s="2695" customFormat="1">
      <c r="B136" s="2705"/>
      <c r="C136" s="2705"/>
      <c r="D136" s="2705"/>
      <c r="E136" s="2705"/>
      <c r="F136" s="2705"/>
      <c r="G136" s="2706"/>
      <c r="H136" s="2705"/>
      <c r="I136" s="2706"/>
      <c r="J136" s="2705"/>
      <c r="K136" s="2705"/>
      <c r="L136" s="2706"/>
      <c r="M136" s="2705"/>
      <c r="N136" s="2705"/>
      <c r="O136" s="2706"/>
      <c r="P136" s="2705"/>
      <c r="Q136" s="2705"/>
      <c r="R136" s="2707"/>
    </row>
    <row r="137" spans="2:18" s="2695" customFormat="1">
      <c r="B137" s="2705"/>
      <c r="C137" s="2705"/>
      <c r="D137" s="2705"/>
      <c r="E137" s="2705"/>
      <c r="F137" s="2705"/>
      <c r="G137" s="2706"/>
      <c r="H137" s="2705"/>
      <c r="I137" s="2706"/>
      <c r="J137" s="2705"/>
      <c r="K137" s="2705"/>
      <c r="L137" s="2706"/>
      <c r="M137" s="2705"/>
      <c r="N137" s="2705"/>
      <c r="O137" s="2706"/>
      <c r="P137" s="2705"/>
      <c r="Q137" s="2705"/>
      <c r="R137" s="2707"/>
    </row>
    <row r="138" spans="2:18" s="2695" customFormat="1">
      <c r="B138" s="2705"/>
      <c r="C138" s="2705"/>
      <c r="D138" s="2705"/>
      <c r="E138" s="2705"/>
      <c r="F138" s="2705"/>
      <c r="G138" s="2706"/>
      <c r="H138" s="2705"/>
      <c r="I138" s="2706"/>
      <c r="J138" s="2705"/>
      <c r="K138" s="2705"/>
      <c r="L138" s="2706"/>
      <c r="M138" s="2705"/>
      <c r="N138" s="2705"/>
      <c r="O138" s="2706"/>
      <c r="P138" s="2705"/>
      <c r="Q138" s="2705"/>
      <c r="R138" s="2707"/>
    </row>
    <row r="139" spans="2:18" s="2695" customFormat="1">
      <c r="B139" s="2705"/>
      <c r="C139" s="2705"/>
      <c r="D139" s="2705"/>
      <c r="E139" s="2705"/>
      <c r="F139" s="2705"/>
      <c r="G139" s="2706"/>
      <c r="H139" s="2705"/>
      <c r="I139" s="2706"/>
      <c r="J139" s="2705"/>
      <c r="K139" s="2705"/>
      <c r="L139" s="2706"/>
      <c r="M139" s="2705"/>
      <c r="N139" s="2705"/>
      <c r="O139" s="2706"/>
      <c r="P139" s="2705"/>
      <c r="Q139" s="2705"/>
      <c r="R139" s="2707"/>
    </row>
    <row r="140" spans="2:18" s="2695" customFormat="1">
      <c r="B140" s="2705"/>
      <c r="C140" s="2705"/>
      <c r="D140" s="2705"/>
      <c r="E140" s="2705"/>
      <c r="F140" s="2705"/>
      <c r="G140" s="2706"/>
      <c r="H140" s="2705"/>
      <c r="I140" s="2706"/>
      <c r="J140" s="2705"/>
      <c r="K140" s="2705"/>
      <c r="L140" s="2706"/>
      <c r="M140" s="2705"/>
      <c r="N140" s="2705"/>
      <c r="O140" s="2706"/>
      <c r="P140" s="2705"/>
      <c r="Q140" s="2705"/>
      <c r="R140" s="2707"/>
    </row>
    <row r="141" spans="2:18" s="2695" customFormat="1">
      <c r="B141" s="2705"/>
      <c r="C141" s="2705"/>
      <c r="D141" s="2705"/>
      <c r="E141" s="2705"/>
      <c r="F141" s="2705"/>
      <c r="G141" s="2706"/>
      <c r="H141" s="2705"/>
      <c r="I141" s="2706"/>
      <c r="J141" s="2705"/>
      <c r="K141" s="2705"/>
      <c r="L141" s="2706"/>
      <c r="M141" s="2705"/>
      <c r="N141" s="2705"/>
      <c r="O141" s="2706"/>
      <c r="P141" s="2705"/>
      <c r="Q141" s="2705"/>
      <c r="R141" s="2707"/>
    </row>
    <row r="142" spans="2:18" s="2695" customFormat="1">
      <c r="B142" s="2705"/>
      <c r="C142" s="2705"/>
      <c r="D142" s="2705"/>
      <c r="E142" s="2705"/>
      <c r="F142" s="2705"/>
      <c r="G142" s="2706"/>
      <c r="H142" s="2705"/>
      <c r="I142" s="2706"/>
      <c r="J142" s="2705"/>
      <c r="K142" s="2705"/>
      <c r="L142" s="2706"/>
      <c r="M142" s="2705"/>
      <c r="N142" s="2705"/>
      <c r="O142" s="2706"/>
      <c r="P142" s="2705"/>
      <c r="Q142" s="2705"/>
      <c r="R142" s="2707"/>
    </row>
    <row r="143" spans="2:18" s="2695" customFormat="1">
      <c r="B143" s="2705"/>
      <c r="C143" s="2705"/>
      <c r="D143" s="2705"/>
      <c r="E143" s="2705"/>
      <c r="F143" s="2705"/>
      <c r="G143" s="2706"/>
      <c r="H143" s="2705"/>
      <c r="I143" s="2706"/>
      <c r="J143" s="2705"/>
      <c r="K143" s="2705"/>
      <c r="L143" s="2706"/>
      <c r="M143" s="2705"/>
      <c r="N143" s="2705"/>
      <c r="O143" s="2706"/>
      <c r="P143" s="2705"/>
      <c r="Q143" s="2705"/>
      <c r="R143" s="2707"/>
    </row>
    <row r="144" spans="2:18" s="2695" customFormat="1">
      <c r="B144" s="2705"/>
      <c r="C144" s="2705"/>
      <c r="D144" s="2705"/>
      <c r="E144" s="2705"/>
      <c r="F144" s="2705"/>
      <c r="G144" s="2706"/>
      <c r="H144" s="2705"/>
      <c r="I144" s="2706"/>
      <c r="J144" s="2705"/>
      <c r="K144" s="2705"/>
      <c r="L144" s="2706"/>
      <c r="M144" s="2705"/>
      <c r="N144" s="2705"/>
      <c r="O144" s="2706"/>
      <c r="P144" s="2705"/>
      <c r="Q144" s="2705"/>
      <c r="R144" s="2707"/>
    </row>
    <row r="145" spans="2:18" s="2695" customFormat="1">
      <c r="B145" s="2705"/>
      <c r="C145" s="2705"/>
      <c r="D145" s="2705"/>
      <c r="E145" s="2705"/>
      <c r="F145" s="2705"/>
      <c r="G145" s="2706"/>
      <c r="H145" s="2705"/>
      <c r="I145" s="2706"/>
      <c r="J145" s="2705"/>
      <c r="K145" s="2705"/>
      <c r="L145" s="2706"/>
      <c r="M145" s="2705"/>
      <c r="N145" s="2705"/>
      <c r="O145" s="2706"/>
      <c r="P145" s="2705"/>
      <c r="Q145" s="2705"/>
      <c r="R145" s="2707"/>
    </row>
    <row r="146" spans="2:18" s="2695" customFormat="1">
      <c r="B146" s="2705"/>
      <c r="C146" s="2705"/>
      <c r="D146" s="2705"/>
      <c r="E146" s="2705"/>
      <c r="F146" s="2705"/>
      <c r="G146" s="2706"/>
      <c r="H146" s="2705"/>
      <c r="I146" s="2706"/>
      <c r="J146" s="2705"/>
      <c r="K146" s="2705"/>
      <c r="L146" s="2706"/>
      <c r="M146" s="2705"/>
      <c r="N146" s="2705"/>
      <c r="O146" s="2706"/>
      <c r="P146" s="2705"/>
      <c r="Q146" s="2705"/>
      <c r="R146" s="2707"/>
    </row>
    <row r="147" spans="2:18" s="2695" customFormat="1">
      <c r="B147" s="2705"/>
      <c r="C147" s="2705"/>
      <c r="D147" s="2705"/>
      <c r="E147" s="2705"/>
      <c r="F147" s="2705"/>
      <c r="G147" s="2706"/>
      <c r="H147" s="2705"/>
      <c r="I147" s="2706"/>
      <c r="J147" s="2705"/>
      <c r="K147" s="2705"/>
      <c r="L147" s="2706"/>
      <c r="M147" s="2705"/>
      <c r="N147" s="2705"/>
      <c r="O147" s="2706"/>
      <c r="P147" s="2705"/>
      <c r="Q147" s="2705"/>
      <c r="R147" s="2707"/>
    </row>
    <row r="148" spans="2:18" s="2695" customFormat="1">
      <c r="B148" s="2705"/>
      <c r="C148" s="2705"/>
      <c r="D148" s="2705"/>
      <c r="E148" s="2705"/>
      <c r="F148" s="2705"/>
      <c r="G148" s="2706"/>
      <c r="H148" s="2705"/>
      <c r="I148" s="2706"/>
      <c r="J148" s="2705"/>
      <c r="K148" s="2705"/>
      <c r="L148" s="2706"/>
      <c r="M148" s="2705"/>
      <c r="N148" s="2705"/>
      <c r="O148" s="2706"/>
      <c r="P148" s="2705"/>
      <c r="Q148" s="2705"/>
      <c r="R148" s="2707"/>
    </row>
    <row r="149" spans="2:18" s="2695" customFormat="1">
      <c r="B149" s="2705"/>
      <c r="C149" s="2705"/>
      <c r="D149" s="2705"/>
      <c r="E149" s="2705"/>
      <c r="F149" s="2705"/>
      <c r="G149" s="2706"/>
      <c r="H149" s="2705"/>
      <c r="I149" s="2706"/>
      <c r="J149" s="2705"/>
      <c r="K149" s="2705"/>
      <c r="L149" s="2706"/>
      <c r="M149" s="2705"/>
      <c r="N149" s="2705"/>
      <c r="O149" s="2706"/>
      <c r="P149" s="2705"/>
      <c r="Q149" s="2705"/>
      <c r="R149" s="2707"/>
    </row>
    <row r="150" spans="2:18" s="2695" customFormat="1">
      <c r="B150" s="2705"/>
      <c r="C150" s="2705"/>
      <c r="D150" s="2705"/>
      <c r="E150" s="2705"/>
      <c r="F150" s="2705"/>
      <c r="G150" s="2706"/>
      <c r="H150" s="2705"/>
      <c r="I150" s="2706"/>
      <c r="J150" s="2705"/>
      <c r="K150" s="2705"/>
      <c r="L150" s="2706"/>
      <c r="M150" s="2705"/>
      <c r="N150" s="2705"/>
      <c r="O150" s="2706"/>
      <c r="P150" s="2705"/>
      <c r="Q150" s="2705"/>
      <c r="R150" s="2707"/>
    </row>
    <row r="151" spans="2:18" s="2695" customFormat="1">
      <c r="B151" s="2705"/>
      <c r="C151" s="2705"/>
      <c r="D151" s="2705"/>
      <c r="E151" s="2705"/>
      <c r="F151" s="2705"/>
      <c r="G151" s="2706"/>
      <c r="H151" s="2705"/>
      <c r="I151" s="2706"/>
      <c r="J151" s="2705"/>
      <c r="K151" s="2705"/>
      <c r="L151" s="2706"/>
      <c r="M151" s="2705"/>
      <c r="N151" s="2705"/>
      <c r="O151" s="2706"/>
      <c r="P151" s="2705"/>
      <c r="Q151" s="2705"/>
      <c r="R151" s="2707"/>
    </row>
    <row r="152" spans="2:18" s="2695" customFormat="1">
      <c r="B152" s="2705"/>
      <c r="C152" s="2705"/>
      <c r="D152" s="2705"/>
      <c r="E152" s="2705"/>
      <c r="F152" s="2705"/>
      <c r="G152" s="2706"/>
      <c r="H152" s="2705"/>
      <c r="I152" s="2706"/>
      <c r="J152" s="2705"/>
      <c r="K152" s="2705"/>
      <c r="L152" s="2706"/>
      <c r="M152" s="2705"/>
      <c r="N152" s="2705"/>
      <c r="O152" s="2706"/>
      <c r="P152" s="2705"/>
      <c r="Q152" s="2705"/>
      <c r="R152" s="2707"/>
    </row>
    <row r="153" spans="2:18" s="2695" customFormat="1">
      <c r="B153" s="2705"/>
      <c r="C153" s="2705"/>
      <c r="D153" s="2705"/>
      <c r="E153" s="2705"/>
      <c r="F153" s="2705"/>
      <c r="G153" s="2706"/>
      <c r="H153" s="2705"/>
      <c r="I153" s="2706"/>
      <c r="J153" s="2705"/>
      <c r="K153" s="2705"/>
      <c r="L153" s="2706"/>
      <c r="M153" s="2705"/>
      <c r="N153" s="2705"/>
      <c r="O153" s="2706"/>
      <c r="P153" s="2705"/>
      <c r="Q153" s="2705"/>
      <c r="R153" s="2707"/>
    </row>
    <row r="154" spans="2:18" s="2695" customFormat="1">
      <c r="B154" s="2705"/>
      <c r="C154" s="2705"/>
      <c r="D154" s="2705"/>
      <c r="E154" s="2705"/>
      <c r="F154" s="2705"/>
      <c r="G154" s="2706"/>
      <c r="H154" s="2705"/>
      <c r="I154" s="2706"/>
      <c r="J154" s="2705"/>
      <c r="K154" s="2705"/>
      <c r="L154" s="2706"/>
      <c r="M154" s="2705"/>
      <c r="N154" s="2705"/>
      <c r="O154" s="2706"/>
      <c r="P154" s="2705"/>
      <c r="Q154" s="2705"/>
      <c r="R154" s="2707"/>
    </row>
    <row r="155" spans="2:18" s="2695" customFormat="1">
      <c r="B155" s="2705"/>
      <c r="C155" s="2705"/>
      <c r="D155" s="2705"/>
      <c r="E155" s="2705"/>
      <c r="F155" s="2705"/>
      <c r="G155" s="2706"/>
      <c r="H155" s="2705"/>
      <c r="I155" s="2706"/>
      <c r="J155" s="2705"/>
      <c r="K155" s="2705"/>
      <c r="L155" s="2706"/>
      <c r="M155" s="2705"/>
      <c r="N155" s="2705"/>
      <c r="O155" s="2706"/>
      <c r="P155" s="2705"/>
      <c r="Q155" s="2705"/>
      <c r="R155" s="2707"/>
    </row>
    <row r="156" spans="2:18" s="2695" customFormat="1">
      <c r="B156" s="2705"/>
      <c r="C156" s="2705"/>
      <c r="D156" s="2705"/>
      <c r="E156" s="2705"/>
      <c r="F156" s="2705"/>
      <c r="G156" s="2706"/>
      <c r="H156" s="2705"/>
      <c r="I156" s="2706"/>
      <c r="J156" s="2705"/>
      <c r="K156" s="2705"/>
      <c r="L156" s="2706"/>
      <c r="M156" s="2705"/>
      <c r="N156" s="2705"/>
      <c r="O156" s="2706"/>
      <c r="P156" s="2705"/>
      <c r="Q156" s="2705"/>
      <c r="R156" s="2707"/>
    </row>
    <row r="157" spans="2:18" s="2695" customFormat="1">
      <c r="B157" s="2705"/>
      <c r="C157" s="2705"/>
      <c r="D157" s="2705"/>
      <c r="E157" s="2705"/>
      <c r="F157" s="2705"/>
      <c r="G157" s="2706"/>
      <c r="H157" s="2705"/>
      <c r="I157" s="2706"/>
      <c r="J157" s="2705"/>
      <c r="K157" s="2705"/>
      <c r="L157" s="2706"/>
      <c r="M157" s="2705"/>
      <c r="N157" s="2705"/>
      <c r="O157" s="2706"/>
      <c r="P157" s="2705"/>
      <c r="Q157" s="2705"/>
      <c r="R157" s="2707"/>
    </row>
    <row r="158" spans="2:18" s="2695" customFormat="1">
      <c r="B158" s="2705"/>
      <c r="C158" s="2705"/>
      <c r="D158" s="2705"/>
      <c r="E158" s="2705"/>
      <c r="F158" s="2705"/>
      <c r="G158" s="2706"/>
      <c r="H158" s="2705"/>
      <c r="I158" s="2706"/>
      <c r="J158" s="2705"/>
      <c r="K158" s="2705"/>
      <c r="L158" s="2706"/>
      <c r="M158" s="2705"/>
      <c r="N158" s="2705"/>
      <c r="O158" s="2706"/>
      <c r="P158" s="2705"/>
      <c r="Q158" s="2705"/>
      <c r="R158" s="2707"/>
    </row>
    <row r="159" spans="2:18" s="2695" customFormat="1">
      <c r="B159" s="2705"/>
      <c r="C159" s="2705"/>
      <c r="D159" s="2705"/>
      <c r="E159" s="2705"/>
      <c r="F159" s="2705"/>
      <c r="G159" s="2706"/>
      <c r="H159" s="2705"/>
      <c r="I159" s="2706"/>
      <c r="J159" s="2705"/>
      <c r="K159" s="2705"/>
      <c r="L159" s="2706"/>
      <c r="M159" s="2705"/>
      <c r="N159" s="2705"/>
      <c r="O159" s="2706"/>
      <c r="P159" s="2705"/>
      <c r="Q159" s="2705"/>
      <c r="R159" s="2707"/>
    </row>
    <row r="160" spans="2:18" s="2695" customFormat="1">
      <c r="B160" s="2705"/>
      <c r="C160" s="2705"/>
      <c r="D160" s="2705"/>
      <c r="E160" s="2705"/>
      <c r="F160" s="2705"/>
      <c r="G160" s="2706"/>
      <c r="H160" s="2705"/>
      <c r="I160" s="2706"/>
      <c r="J160" s="2705"/>
      <c r="K160" s="2705"/>
      <c r="L160" s="2706"/>
      <c r="M160" s="2705"/>
      <c r="N160" s="2705"/>
      <c r="O160" s="2706"/>
      <c r="P160" s="2705"/>
      <c r="Q160" s="2705"/>
      <c r="R160" s="2707"/>
    </row>
    <row r="161" spans="2:18" s="2695" customFormat="1">
      <c r="B161" s="2705"/>
      <c r="C161" s="2705"/>
      <c r="D161" s="2705"/>
      <c r="E161" s="2705"/>
      <c r="F161" s="2705"/>
      <c r="G161" s="2706"/>
      <c r="H161" s="2705"/>
      <c r="I161" s="2706"/>
      <c r="J161" s="2705"/>
      <c r="K161" s="2705"/>
      <c r="L161" s="2706"/>
      <c r="M161" s="2705"/>
      <c r="N161" s="2705"/>
      <c r="O161" s="2706"/>
      <c r="P161" s="2705"/>
      <c r="Q161" s="2705"/>
      <c r="R161" s="2707"/>
    </row>
    <row r="162" spans="2:18" s="2695" customFormat="1">
      <c r="B162" s="2705"/>
      <c r="C162" s="2705"/>
      <c r="D162" s="2705"/>
      <c r="E162" s="2705"/>
      <c r="F162" s="2705"/>
      <c r="G162" s="2706"/>
      <c r="H162" s="2705"/>
      <c r="I162" s="2706"/>
      <c r="J162" s="2705"/>
      <c r="K162" s="2705"/>
      <c r="L162" s="2706"/>
      <c r="M162" s="2705"/>
      <c r="N162" s="2705"/>
      <c r="O162" s="2706"/>
      <c r="P162" s="2705"/>
      <c r="Q162" s="2705"/>
      <c r="R162" s="2707"/>
    </row>
    <row r="163" spans="2:18" s="2695" customFormat="1">
      <c r="B163" s="2705"/>
      <c r="C163" s="2705"/>
      <c r="D163" s="2705"/>
      <c r="E163" s="2705"/>
      <c r="F163" s="2705"/>
      <c r="G163" s="2706"/>
      <c r="H163" s="2705"/>
      <c r="I163" s="2706"/>
      <c r="J163" s="2705"/>
      <c r="K163" s="2705"/>
      <c r="L163" s="2706"/>
      <c r="M163" s="2705"/>
      <c r="N163" s="2705"/>
      <c r="O163" s="2706"/>
      <c r="P163" s="2705"/>
      <c r="Q163" s="2705"/>
      <c r="R163" s="2707"/>
    </row>
    <row r="164" spans="2:18" s="2695" customFormat="1">
      <c r="B164" s="2705"/>
      <c r="C164" s="2705"/>
      <c r="D164" s="2705"/>
      <c r="E164" s="2705"/>
      <c r="F164" s="2705"/>
      <c r="G164" s="2706"/>
      <c r="H164" s="2705"/>
      <c r="I164" s="2706"/>
      <c r="J164" s="2705"/>
      <c r="K164" s="2705"/>
      <c r="L164" s="2706"/>
      <c r="M164" s="2705"/>
      <c r="N164" s="2705"/>
      <c r="O164" s="2706"/>
      <c r="P164" s="2705"/>
      <c r="Q164" s="2705"/>
      <c r="R164" s="2707"/>
    </row>
    <row r="165" spans="2:18" s="2695" customFormat="1">
      <c r="B165" s="2705"/>
      <c r="C165" s="2705"/>
      <c r="D165" s="2705"/>
      <c r="E165" s="2705"/>
      <c r="F165" s="2705"/>
      <c r="G165" s="2706"/>
      <c r="H165" s="2705"/>
      <c r="I165" s="2706"/>
      <c r="J165" s="2705"/>
      <c r="K165" s="2705"/>
      <c r="L165" s="2706"/>
      <c r="M165" s="2705"/>
      <c r="N165" s="2705"/>
      <c r="O165" s="2706"/>
      <c r="P165" s="2705"/>
      <c r="Q165" s="2705"/>
      <c r="R165" s="2707"/>
    </row>
    <row r="166" spans="2:18" s="2695" customFormat="1">
      <c r="B166" s="2705"/>
      <c r="C166" s="2705"/>
      <c r="D166" s="2705"/>
      <c r="E166" s="2705"/>
      <c r="F166" s="2705"/>
      <c r="G166" s="2706"/>
      <c r="H166" s="2705"/>
      <c r="I166" s="2706"/>
      <c r="J166" s="2705"/>
      <c r="K166" s="2705"/>
      <c r="L166" s="2706"/>
      <c r="M166" s="2705"/>
      <c r="N166" s="2705"/>
      <c r="O166" s="2706"/>
      <c r="P166" s="2705"/>
      <c r="Q166" s="2705"/>
      <c r="R166" s="2707"/>
    </row>
    <row r="167" spans="2:18" s="2695" customFormat="1">
      <c r="B167" s="2705"/>
      <c r="C167" s="2705"/>
      <c r="D167" s="2705"/>
      <c r="E167" s="2705"/>
      <c r="F167" s="2705"/>
      <c r="G167" s="2706"/>
      <c r="H167" s="2705"/>
      <c r="I167" s="2706"/>
      <c r="J167" s="2705"/>
      <c r="K167" s="2705"/>
      <c r="L167" s="2706"/>
      <c r="M167" s="2705"/>
      <c r="N167" s="2705"/>
      <c r="O167" s="2706"/>
      <c r="P167" s="2705"/>
      <c r="Q167" s="2705"/>
      <c r="R167" s="2707"/>
    </row>
    <row r="168" spans="2:18" s="2695" customFormat="1">
      <c r="B168" s="2705"/>
      <c r="C168" s="2705"/>
      <c r="D168" s="2705"/>
      <c r="E168" s="2705"/>
      <c r="F168" s="2705"/>
      <c r="G168" s="2706"/>
      <c r="H168" s="2705"/>
      <c r="I168" s="2706"/>
      <c r="J168" s="2705"/>
      <c r="K168" s="2705"/>
      <c r="L168" s="2706"/>
      <c r="M168" s="2705"/>
      <c r="N168" s="2705"/>
      <c r="O168" s="2706"/>
      <c r="P168" s="2705"/>
      <c r="Q168" s="2705"/>
      <c r="R168" s="2707"/>
    </row>
    <row r="169" spans="2:18" s="2695" customFormat="1">
      <c r="B169" s="2705"/>
      <c r="C169" s="2705"/>
      <c r="D169" s="2705"/>
      <c r="E169" s="2705"/>
      <c r="F169" s="2705"/>
      <c r="G169" s="2706"/>
      <c r="H169" s="2705"/>
      <c r="I169" s="2706"/>
      <c r="J169" s="2705"/>
      <c r="K169" s="2705"/>
      <c r="L169" s="2706"/>
      <c r="M169" s="2705"/>
      <c r="N169" s="2705"/>
      <c r="O169" s="2706"/>
      <c r="P169" s="2705"/>
      <c r="Q169" s="2705"/>
      <c r="R169" s="2707"/>
    </row>
    <row r="170" spans="2:18" s="2695" customFormat="1">
      <c r="B170" s="2705"/>
      <c r="C170" s="2705"/>
      <c r="D170" s="2705"/>
      <c r="E170" s="2705"/>
      <c r="F170" s="2705"/>
      <c r="G170" s="2706"/>
      <c r="H170" s="2705"/>
      <c r="I170" s="2706"/>
      <c r="J170" s="2705"/>
      <c r="K170" s="2705"/>
      <c r="L170" s="2706"/>
      <c r="M170" s="2705"/>
      <c r="N170" s="2705"/>
      <c r="O170" s="2706"/>
      <c r="P170" s="2705"/>
      <c r="Q170" s="2705"/>
      <c r="R170" s="2707"/>
    </row>
    <row r="171" spans="2:18" s="2695" customFormat="1">
      <c r="B171" s="2705"/>
      <c r="C171" s="2705"/>
      <c r="D171" s="2705"/>
      <c r="E171" s="2705"/>
      <c r="F171" s="2705"/>
      <c r="G171" s="2706"/>
      <c r="H171" s="2705"/>
      <c r="I171" s="2706"/>
      <c r="J171" s="2705"/>
      <c r="K171" s="2705"/>
      <c r="L171" s="2706"/>
      <c r="M171" s="2705"/>
      <c r="N171" s="2705"/>
      <c r="O171" s="2706"/>
      <c r="P171" s="2705"/>
      <c r="Q171" s="2705"/>
      <c r="R171" s="2707"/>
    </row>
    <row r="172" spans="2:18" s="2695" customFormat="1">
      <c r="B172" s="2705"/>
      <c r="C172" s="2705"/>
      <c r="D172" s="2705"/>
      <c r="E172" s="2705"/>
      <c r="F172" s="2705"/>
      <c r="G172" s="2706"/>
      <c r="H172" s="2705"/>
      <c r="I172" s="2706"/>
      <c r="J172" s="2705"/>
      <c r="K172" s="2705"/>
      <c r="L172" s="2706"/>
      <c r="M172" s="2705"/>
      <c r="N172" s="2705"/>
      <c r="O172" s="2706"/>
      <c r="P172" s="2705"/>
      <c r="Q172" s="2705"/>
      <c r="R172" s="2707"/>
    </row>
    <row r="173" spans="2:18" s="2695" customFormat="1">
      <c r="B173" s="2705"/>
      <c r="C173" s="2705"/>
      <c r="D173" s="2705"/>
      <c r="E173" s="2705"/>
      <c r="F173" s="2705"/>
      <c r="G173" s="2706"/>
      <c r="H173" s="2705"/>
      <c r="I173" s="2706"/>
      <c r="J173" s="2705"/>
      <c r="K173" s="2705"/>
      <c r="L173" s="2706"/>
      <c r="M173" s="2705"/>
      <c r="N173" s="2705"/>
      <c r="O173" s="2706"/>
      <c r="P173" s="2705"/>
      <c r="Q173" s="2705"/>
      <c r="R173" s="2707"/>
    </row>
    <row r="174" spans="2:18" s="2695" customFormat="1">
      <c r="B174" s="2705"/>
      <c r="C174" s="2705"/>
      <c r="D174" s="2705"/>
      <c r="E174" s="2705"/>
      <c r="F174" s="2705"/>
      <c r="G174" s="2706"/>
      <c r="H174" s="2705"/>
      <c r="I174" s="2706"/>
      <c r="J174" s="2705"/>
      <c r="K174" s="2705"/>
      <c r="L174" s="2706"/>
      <c r="M174" s="2705"/>
      <c r="N174" s="2705"/>
      <c r="O174" s="2706"/>
      <c r="P174" s="2705"/>
      <c r="Q174" s="2705"/>
      <c r="R174" s="2707"/>
    </row>
    <row r="175" spans="2:18" s="2695" customFormat="1">
      <c r="B175" s="2705"/>
      <c r="C175" s="2705"/>
      <c r="D175" s="2705"/>
      <c r="E175" s="2705"/>
      <c r="F175" s="2705"/>
      <c r="G175" s="2706"/>
      <c r="H175" s="2705"/>
      <c r="I175" s="2706"/>
      <c r="J175" s="2705"/>
      <c r="K175" s="2705"/>
      <c r="L175" s="2706"/>
      <c r="M175" s="2705"/>
      <c r="N175" s="2705"/>
      <c r="O175" s="2706"/>
      <c r="P175" s="2705"/>
      <c r="Q175" s="2705"/>
      <c r="R175" s="2707"/>
    </row>
    <row r="176" spans="2:18" s="2695" customFormat="1">
      <c r="B176" s="2705"/>
      <c r="C176" s="2705"/>
      <c r="D176" s="2705"/>
      <c r="E176" s="2705"/>
      <c r="F176" s="2705"/>
      <c r="G176" s="2706"/>
      <c r="H176" s="2705"/>
      <c r="I176" s="2706"/>
      <c r="J176" s="2705"/>
      <c r="K176" s="2705"/>
      <c r="L176" s="2706"/>
      <c r="M176" s="2705"/>
      <c r="N176" s="2705"/>
      <c r="O176" s="2706"/>
      <c r="P176" s="2705"/>
      <c r="Q176" s="2705"/>
      <c r="R176" s="2707"/>
    </row>
    <row r="177" spans="1:18" s="2695" customFormat="1">
      <c r="B177" s="2705"/>
      <c r="C177" s="2705"/>
      <c r="D177" s="2705"/>
      <c r="E177" s="2705"/>
      <c r="F177" s="2705"/>
      <c r="G177" s="2706"/>
      <c r="H177" s="2705"/>
      <c r="I177" s="2706"/>
      <c r="J177" s="2705"/>
      <c r="K177" s="2705"/>
      <c r="L177" s="2706"/>
      <c r="M177" s="2705"/>
      <c r="N177" s="2705"/>
      <c r="O177" s="2706"/>
      <c r="P177" s="2705"/>
      <c r="Q177" s="2705"/>
      <c r="R177" s="2707"/>
    </row>
    <row r="178" spans="1:18" s="2695" customFormat="1">
      <c r="B178" s="2705"/>
      <c r="C178" s="2705"/>
      <c r="D178" s="2705"/>
      <c r="E178" s="2705"/>
      <c r="F178" s="2705"/>
      <c r="G178" s="2706"/>
      <c r="H178" s="2705"/>
      <c r="I178" s="2706"/>
      <c r="J178" s="2705"/>
      <c r="K178" s="2705"/>
      <c r="L178" s="2706"/>
      <c r="M178" s="2705"/>
      <c r="N178" s="2705"/>
      <c r="O178" s="2706"/>
      <c r="P178" s="2705"/>
      <c r="Q178" s="2705"/>
      <c r="R178" s="2707"/>
    </row>
    <row r="179" spans="1:18" s="2695" customFormat="1">
      <c r="B179" s="2705"/>
      <c r="C179" s="2705"/>
      <c r="D179" s="2705"/>
      <c r="E179" s="2705"/>
      <c r="F179" s="2705"/>
      <c r="G179" s="2706"/>
      <c r="H179" s="2705"/>
      <c r="I179" s="2706"/>
      <c r="J179" s="2705"/>
      <c r="K179" s="2705"/>
      <c r="L179" s="2706"/>
      <c r="M179" s="2705"/>
      <c r="N179" s="2705"/>
      <c r="O179" s="2706"/>
      <c r="P179" s="2705"/>
      <c r="Q179" s="2705"/>
      <c r="R179" s="2707"/>
    </row>
    <row r="180" spans="1:18" s="2695" customFormat="1">
      <c r="B180" s="2705"/>
      <c r="C180" s="2705"/>
      <c r="D180" s="2705"/>
      <c r="E180" s="2705"/>
      <c r="F180" s="2705"/>
      <c r="G180" s="2706"/>
      <c r="H180" s="2705"/>
      <c r="I180" s="2706"/>
      <c r="J180" s="2705"/>
      <c r="K180" s="2705"/>
      <c r="L180" s="2706"/>
      <c r="M180" s="2705"/>
      <c r="N180" s="2705"/>
      <c r="O180" s="2706"/>
      <c r="P180" s="2705"/>
      <c r="Q180" s="2705"/>
      <c r="R180" s="2707"/>
    </row>
    <row r="181" spans="1:18" s="2695" customFormat="1">
      <c r="B181" s="2705"/>
      <c r="C181" s="2705"/>
      <c r="D181" s="2705"/>
      <c r="E181" s="2705"/>
      <c r="F181" s="2705"/>
      <c r="G181" s="2706"/>
      <c r="H181" s="2705"/>
      <c r="I181" s="2706"/>
      <c r="J181" s="2705"/>
      <c r="K181" s="2705"/>
      <c r="L181" s="2706"/>
      <c r="M181" s="2705"/>
      <c r="N181" s="2705"/>
      <c r="O181" s="2706"/>
      <c r="P181" s="2705"/>
      <c r="Q181" s="2705"/>
      <c r="R181" s="2707"/>
    </row>
    <row r="182" spans="1:18" s="2695" customFormat="1">
      <c r="B182" s="2705"/>
      <c r="C182" s="2705"/>
      <c r="D182" s="2705"/>
      <c r="E182" s="2705"/>
      <c r="F182" s="2705"/>
      <c r="G182" s="2706"/>
      <c r="H182" s="2705"/>
      <c r="I182" s="2706"/>
      <c r="J182" s="2705"/>
      <c r="K182" s="2705"/>
      <c r="L182" s="2706"/>
      <c r="M182" s="2705"/>
      <c r="N182" s="2705"/>
      <c r="O182" s="2706"/>
      <c r="P182" s="2705"/>
      <c r="Q182" s="2705"/>
      <c r="R182" s="2707"/>
    </row>
    <row r="183" spans="1:18" s="2695" customFormat="1">
      <c r="B183" s="2705"/>
      <c r="C183" s="2705"/>
      <c r="D183" s="2705"/>
      <c r="E183" s="2705"/>
      <c r="F183" s="2705"/>
      <c r="G183" s="2706"/>
      <c r="H183" s="2705"/>
      <c r="I183" s="2706"/>
      <c r="J183" s="2705"/>
      <c r="K183" s="2705"/>
      <c r="L183" s="2706"/>
      <c r="M183" s="2705"/>
      <c r="N183" s="2705"/>
      <c r="O183" s="2706"/>
      <c r="P183" s="2705"/>
      <c r="Q183" s="2705"/>
      <c r="R183" s="2707"/>
    </row>
    <row r="184" spans="1:18" s="2695" customFormat="1">
      <c r="B184" s="2705"/>
      <c r="C184" s="2705"/>
      <c r="D184" s="2705"/>
      <c r="E184" s="2705"/>
      <c r="F184" s="2705"/>
      <c r="G184" s="2706"/>
      <c r="H184" s="2705"/>
      <c r="I184" s="2706"/>
      <c r="J184" s="2705"/>
      <c r="K184" s="2705"/>
      <c r="L184" s="2706"/>
      <c r="M184" s="2705"/>
      <c r="N184" s="2705"/>
      <c r="O184" s="2706"/>
      <c r="P184" s="2705"/>
      <c r="Q184" s="2705"/>
      <c r="R184" s="2707"/>
    </row>
    <row r="185" spans="1:18" s="2695" customFormat="1">
      <c r="B185" s="2705"/>
      <c r="C185" s="2705"/>
      <c r="D185" s="2705"/>
      <c r="E185" s="2705"/>
      <c r="F185" s="2705"/>
      <c r="G185" s="2706"/>
      <c r="H185" s="2705"/>
      <c r="I185" s="2706"/>
      <c r="J185" s="2705"/>
      <c r="K185" s="2705"/>
      <c r="L185" s="2706"/>
      <c r="M185" s="2705"/>
      <c r="N185" s="2705"/>
      <c r="O185" s="2706"/>
      <c r="P185" s="2705"/>
      <c r="Q185" s="2705"/>
      <c r="R185" s="2707"/>
    </row>
    <row r="186" spans="1:18">
      <c r="A186" s="2695"/>
      <c r="B186" s="2705"/>
      <c r="C186" s="2705"/>
      <c r="E186" s="2705"/>
      <c r="F186" s="2705"/>
      <c r="G186" s="2706"/>
    </row>
    <row r="187" spans="1:18">
      <c r="A187" s="2695"/>
      <c r="B187" s="2705"/>
      <c r="C187" s="2705"/>
      <c r="E187" s="2705"/>
      <c r="F187" s="2705"/>
      <c r="G187" s="2706"/>
    </row>
  </sheetData>
  <sheetProtection password="CEE9" sheet="1" objects="1" scenarios="1" formatCells="0" formatColumns="0" formatRows="0"/>
  <mergeCells count="1">
    <mergeCell ref="A1:G1"/>
  </mergeCells>
  <phoneticPr fontId="20" type="noConversion"/>
  <dataValidations count="1">
    <dataValidation type="list" allowBlank="1" showInputMessage="1" showErrorMessage="1" sqref="C23 G21">
      <formula1>临街状况</formula1>
    </dataValidation>
  </dataValidations>
  <pageMargins left="0.7" right="0.7" top="0.75" bottom="0.75" header="0.3" footer="0.3"/>
  <pageSetup paperSize="9" scale="65"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23"/>
  <sheetViews>
    <sheetView view="pageBreakPreview" zoomScale="80" zoomScaleNormal="100" zoomScaleSheetLayoutView="80" workbookViewId="0">
      <selection activeCell="I36" sqref="I36"/>
    </sheetView>
  </sheetViews>
  <sheetFormatPr defaultColWidth="14.625" defaultRowHeight="13.5"/>
  <cols>
    <col min="1" max="1" width="24.375" style="2583" customWidth="1"/>
    <col min="2" max="16384" width="14.625" style="2583"/>
  </cols>
  <sheetData>
    <row r="1" spans="1:9" ht="16.5">
      <c r="A1" s="2581" t="s">
        <v>1212</v>
      </c>
      <c r="B1" s="2581">
        <f>SUM(B14:B23)</f>
        <v>841.27</v>
      </c>
      <c r="C1" s="1634"/>
      <c r="D1" s="1634"/>
      <c r="E1" s="1634"/>
      <c r="F1" s="1634"/>
      <c r="G1" s="2582"/>
    </row>
    <row r="2" spans="1:9" ht="16.5">
      <c r="A2" s="2581" t="s">
        <v>1213</v>
      </c>
      <c r="B2" s="2581">
        <f>SUM(C14:C23)</f>
        <v>0</v>
      </c>
      <c r="C2" s="1634"/>
      <c r="D2" s="1634"/>
      <c r="E2" s="1634"/>
      <c r="F2" s="1634"/>
      <c r="G2" s="2582"/>
    </row>
    <row r="3" spans="1:9" ht="16.5">
      <c r="A3" s="2581" t="s">
        <v>1214</v>
      </c>
      <c r="B3" s="2584">
        <f>项目基本情况!D2</f>
        <v>44334</v>
      </c>
      <c r="C3" s="1634"/>
      <c r="D3" s="1634"/>
      <c r="E3" s="1634"/>
      <c r="F3" s="1634"/>
      <c r="G3" s="2582"/>
    </row>
    <row r="4" spans="1:9" ht="33">
      <c r="A4" s="2581" t="s">
        <v>1215</v>
      </c>
      <c r="B4" s="2581" t="s">
        <v>1216</v>
      </c>
      <c r="C4" s="2581" t="s">
        <v>1217</v>
      </c>
      <c r="D4" s="2581" t="s">
        <v>1218</v>
      </c>
      <c r="E4" s="1634"/>
      <c r="F4" s="2582"/>
      <c r="G4" s="2582"/>
    </row>
    <row r="5" spans="1:9" ht="16.5">
      <c r="A5" s="2581" t="s">
        <v>1219</v>
      </c>
      <c r="B5" s="2581">
        <f ca="1">SUM(D14:D23)</f>
        <v>2708</v>
      </c>
      <c r="C5" s="2581">
        <f ca="1">ROUND(B5*10000/$B$1,0)</f>
        <v>32189</v>
      </c>
      <c r="D5" s="2581" t="e">
        <f ca="1">ROUND(B5*10000/$B$2,0)</f>
        <v>#DIV/0!</v>
      </c>
      <c r="E5" s="1634"/>
      <c r="F5" s="2582"/>
      <c r="G5" s="2582"/>
    </row>
    <row r="6" spans="1:9" ht="16.5">
      <c r="A6" s="2581" t="s">
        <v>1220</v>
      </c>
      <c r="B6" s="2581">
        <f ca="1">SUM(G14:G23)</f>
        <v>2708</v>
      </c>
      <c r="C6" s="2581">
        <f t="shared" ref="C6:C8" ca="1" si="0">ROUND(B6*10000/$B$1,0)</f>
        <v>32189</v>
      </c>
      <c r="D6" s="2581" t="e">
        <f t="shared" ref="D6:D8" ca="1" si="1">ROUND(B6*10000/$B$2,0)</f>
        <v>#DIV/0!</v>
      </c>
      <c r="E6" s="1634"/>
      <c r="F6" s="2582"/>
      <c r="G6" s="2582"/>
    </row>
    <row r="7" spans="1:9" ht="16.5">
      <c r="A7" s="2581" t="s">
        <v>1221</v>
      </c>
      <c r="B7" s="2581">
        <f>SUM(H14:H23)</f>
        <v>0</v>
      </c>
      <c r="C7" s="2581">
        <f>ROUND(B7*10000/$B$1,0)</f>
        <v>0</v>
      </c>
      <c r="D7" s="2581" t="e">
        <f t="shared" si="1"/>
        <v>#DIV/0!</v>
      </c>
      <c r="E7" s="1634"/>
      <c r="F7" s="2582"/>
      <c r="G7" s="2582"/>
    </row>
    <row r="8" spans="1:9" ht="16.5">
      <c r="A8" s="2581" t="s">
        <v>1222</v>
      </c>
      <c r="B8" s="2581">
        <f>SUM(I14:I23)</f>
        <v>0</v>
      </c>
      <c r="C8" s="2581">
        <f t="shared" si="0"/>
        <v>0</v>
      </c>
      <c r="D8" s="2581" t="e">
        <f t="shared" si="1"/>
        <v>#DIV/0!</v>
      </c>
      <c r="E8" s="1634"/>
      <c r="F8" s="2582"/>
      <c r="G8" s="2582"/>
    </row>
    <row r="9" spans="1:9" ht="16.5">
      <c r="A9" s="2581" t="s">
        <v>1223</v>
      </c>
      <c r="B9" s="2585"/>
      <c r="C9" s="1634"/>
      <c r="D9" s="1634"/>
      <c r="E9" s="1634"/>
      <c r="F9" s="2582"/>
      <c r="G9" s="2582"/>
    </row>
    <row r="10" spans="1:9" ht="16.5">
      <c r="A10" s="2581" t="s">
        <v>1224</v>
      </c>
      <c r="B10" s="2585"/>
      <c r="C10" s="1634"/>
      <c r="D10" s="1634"/>
      <c r="E10" s="1634"/>
      <c r="F10" s="2582"/>
      <c r="G10" s="2582"/>
    </row>
    <row r="11" spans="1:9" ht="16.5">
      <c r="A11" s="2581" t="s">
        <v>1240</v>
      </c>
      <c r="B11" s="2585"/>
      <c r="C11" s="1634"/>
      <c r="D11" s="1634"/>
      <c r="E11" s="1634"/>
      <c r="F11" s="2582"/>
      <c r="G11" s="2582"/>
    </row>
    <row r="12" spans="1:9" ht="16.5">
      <c r="A12" s="1634"/>
      <c r="B12" s="1634"/>
      <c r="C12" s="1634"/>
      <c r="D12" s="1634"/>
      <c r="E12" s="1634"/>
      <c r="F12" s="2582"/>
      <c r="G12" s="2582"/>
    </row>
    <row r="13" spans="1:9" ht="33">
      <c r="A13" s="2586" t="s">
        <v>1239</v>
      </c>
      <c r="B13" s="2587" t="s">
        <v>1212</v>
      </c>
      <c r="C13" s="2587" t="s">
        <v>1213</v>
      </c>
      <c r="D13" s="2587" t="s">
        <v>1225</v>
      </c>
      <c r="E13" s="2581" t="s">
        <v>1217</v>
      </c>
      <c r="F13" s="2581" t="s">
        <v>1218</v>
      </c>
      <c r="G13" s="2587" t="s">
        <v>1226</v>
      </c>
      <c r="H13" s="2587" t="s">
        <v>1227</v>
      </c>
      <c r="I13" s="2587" t="s">
        <v>1228</v>
      </c>
    </row>
    <row r="14" spans="1:9" ht="16.5">
      <c r="A14" s="2884" t="s">
        <v>1238</v>
      </c>
      <c r="B14" s="2914">
        <f>项目基本情况!C12</f>
        <v>841.27</v>
      </c>
      <c r="C14" s="2914">
        <f>项目基本情况!C13</f>
        <v>0</v>
      </c>
      <c r="D14" s="2914">
        <f ca="1">IF('数据-取费表'!B3="万元",IF(A14="估价对象1（结果表）",结果表!H121,'结果表 (1修多)'!H125),IF(A14="估价对象1（结果表）",结果表!H121,'结果表 (1修多)'!H125)/10000)</f>
        <v>2708</v>
      </c>
      <c r="E14" s="2914">
        <f ca="1">ROUND(D14*10000/B14,0)</f>
        <v>32189</v>
      </c>
      <c r="F14" s="2914" t="e">
        <f ca="1">ROUND(D14*10000/C14,0)</f>
        <v>#DIV/0!</v>
      </c>
      <c r="G14" s="2914">
        <f ca="1">IF('数据-取费表'!B3="万元",IF(A14="估价对象1（结果表）",结果表!D125,'结果表 (1修多)'!D129),IF(A14="估价对象1（结果表）",结果表!D125,'结果表 (1修多)'!D129)/10000)</f>
        <v>2708</v>
      </c>
      <c r="H14" s="2914" t="str">
        <f>IF('数据-取费表'!B3="万元",IF(A14="估价对象1（结果表）",结果表!D127,'结果表 (1修多)'!D131),IF(A14="估价对象1（结果表）",结果表!D127,'结果表 (1修多)'!D131)/10000)</f>
        <v>——</v>
      </c>
      <c r="I14" s="2914" t="str">
        <f>IF('数据-取费表'!B3="万元",IF(A14="估价对象1（结果表）",结果表!D129,'结果表 (1修多)'!D133),IF(A14="估价对象1（结果表）",结果表!D129,'结果表 (1修多)'!D133)/10000)</f>
        <v>——</v>
      </c>
    </row>
    <row r="15" spans="1:9" ht="16.5">
      <c r="A15" s="2588" t="s">
        <v>1229</v>
      </c>
      <c r="B15" s="2589"/>
      <c r="C15" s="2589"/>
      <c r="D15" s="2589"/>
      <c r="E15" s="2914" t="e">
        <f t="shared" ref="E15:E23" si="2">ROUND(D15*10000/B15,0)</f>
        <v>#DIV/0!</v>
      </c>
      <c r="F15" s="2914" t="e">
        <f t="shared" ref="F15:F23" si="3">ROUND(D15*10000/C15,0)</f>
        <v>#DIV/0!</v>
      </c>
      <c r="G15" s="1305"/>
      <c r="H15" s="1305"/>
      <c r="I15" s="2589"/>
    </row>
    <row r="16" spans="1:9" ht="16.5">
      <c r="A16" s="2588" t="s">
        <v>1230</v>
      </c>
      <c r="B16" s="2589"/>
      <c r="C16" s="2589"/>
      <c r="D16" s="2589"/>
      <c r="E16" s="2914" t="e">
        <f t="shared" si="2"/>
        <v>#DIV/0!</v>
      </c>
      <c r="F16" s="2914" t="e">
        <f t="shared" si="3"/>
        <v>#DIV/0!</v>
      </c>
      <c r="G16" s="1305"/>
      <c r="H16" s="1305"/>
      <c r="I16" s="2589"/>
    </row>
    <row r="17" spans="1:9" ht="16.5">
      <c r="A17" s="2588" t="s">
        <v>1231</v>
      </c>
      <c r="B17" s="2589"/>
      <c r="C17" s="2589"/>
      <c r="D17" s="2589"/>
      <c r="E17" s="2914" t="e">
        <f t="shared" si="2"/>
        <v>#DIV/0!</v>
      </c>
      <c r="F17" s="2914" t="e">
        <f t="shared" si="3"/>
        <v>#DIV/0!</v>
      </c>
      <c r="G17" s="1305"/>
      <c r="H17" s="1305"/>
      <c r="I17" s="2589"/>
    </row>
    <row r="18" spans="1:9" ht="16.5">
      <c r="A18" s="2588" t="s">
        <v>1232</v>
      </c>
      <c r="B18" s="2589"/>
      <c r="C18" s="2589"/>
      <c r="D18" s="2589"/>
      <c r="E18" s="2914" t="e">
        <f t="shared" si="2"/>
        <v>#DIV/0!</v>
      </c>
      <c r="F18" s="2914" t="e">
        <f t="shared" si="3"/>
        <v>#DIV/0!</v>
      </c>
      <c r="G18" s="2589"/>
      <c r="H18" s="2589"/>
      <c r="I18" s="2589"/>
    </row>
    <row r="19" spans="1:9" ht="16.5">
      <c r="A19" s="2588" t="s">
        <v>1233</v>
      </c>
      <c r="B19" s="2589"/>
      <c r="C19" s="2589"/>
      <c r="D19" s="2589"/>
      <c r="E19" s="2914" t="e">
        <f t="shared" si="2"/>
        <v>#DIV/0!</v>
      </c>
      <c r="F19" s="2914" t="e">
        <f t="shared" si="3"/>
        <v>#DIV/0!</v>
      </c>
      <c r="G19" s="2589"/>
      <c r="H19" s="2589"/>
      <c r="I19" s="2589"/>
    </row>
    <row r="20" spans="1:9" ht="16.5">
      <c r="A20" s="2588" t="s">
        <v>1234</v>
      </c>
      <c r="B20" s="2589"/>
      <c r="C20" s="2589"/>
      <c r="D20" s="2589"/>
      <c r="E20" s="2914" t="e">
        <f t="shared" si="2"/>
        <v>#DIV/0!</v>
      </c>
      <c r="F20" s="2914" t="e">
        <f t="shared" si="3"/>
        <v>#DIV/0!</v>
      </c>
      <c r="G20" s="2589"/>
      <c r="H20" s="2589"/>
      <c r="I20" s="2589"/>
    </row>
    <row r="21" spans="1:9" ht="16.5">
      <c r="A21" s="2588" t="s">
        <v>1235</v>
      </c>
      <c r="B21" s="2589"/>
      <c r="C21" s="2589"/>
      <c r="D21" s="2589"/>
      <c r="E21" s="2914" t="e">
        <f t="shared" si="2"/>
        <v>#DIV/0!</v>
      </c>
      <c r="F21" s="2914" t="e">
        <f t="shared" si="3"/>
        <v>#DIV/0!</v>
      </c>
      <c r="G21" s="2589"/>
      <c r="H21" s="2589"/>
      <c r="I21" s="2589"/>
    </row>
    <row r="22" spans="1:9" ht="16.5">
      <c r="A22" s="2588" t="s">
        <v>1236</v>
      </c>
      <c r="B22" s="2589"/>
      <c r="C22" s="2589"/>
      <c r="D22" s="2589"/>
      <c r="E22" s="2914" t="e">
        <f t="shared" si="2"/>
        <v>#DIV/0!</v>
      </c>
      <c r="F22" s="2914" t="e">
        <f t="shared" si="3"/>
        <v>#DIV/0!</v>
      </c>
      <c r="G22" s="2589"/>
      <c r="H22" s="2589"/>
      <c r="I22" s="2589"/>
    </row>
    <row r="23" spans="1:9" ht="16.5">
      <c r="A23" s="2588" t="s">
        <v>1237</v>
      </c>
      <c r="B23" s="2589"/>
      <c r="C23" s="2589"/>
      <c r="D23" s="2589"/>
      <c r="E23" s="2915" t="e">
        <f t="shared" si="2"/>
        <v>#DIV/0!</v>
      </c>
      <c r="F23" s="2915" t="e">
        <f t="shared" si="3"/>
        <v>#DIV/0!</v>
      </c>
      <c r="G23" s="2589"/>
      <c r="H23" s="2589"/>
      <c r="I23" s="2589"/>
    </row>
  </sheetData>
  <sheetProtection password="CEE9" sheet="1" objects="1" scenarios="1" formatCells="0" formatColumns="0" formatRows="0"/>
  <phoneticPr fontId="146" type="noConversion"/>
  <dataValidations count="1">
    <dataValidation type="list" allowBlank="1" showInputMessage="1" showErrorMessage="1" sqref="A14">
      <formula1>"估价对象1（结果表）,估价对象1（结果表1修多）"</formula1>
    </dataValidation>
  </dataValidations>
  <pageMargins left="0.7" right="0.7" top="0.75" bottom="0.75" header="0.3" footer="0.3"/>
  <pageSetup paperSize="9" scale="94"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FF0000"/>
  </sheetPr>
  <dimension ref="A1:AJ516"/>
  <sheetViews>
    <sheetView view="pageBreakPreview" zoomScale="80" zoomScaleNormal="100" zoomScaleSheetLayoutView="80" zoomScalePageLayoutView="80" workbookViewId="0">
      <selection activeCell="A55" sqref="A55:C55"/>
    </sheetView>
  </sheetViews>
  <sheetFormatPr defaultColWidth="12.625" defaultRowHeight="21.75" customHeight="1"/>
  <cols>
    <col min="1" max="2" width="12.625" style="1462"/>
    <col min="3" max="4" width="12.625" style="1462" customWidth="1"/>
    <col min="5" max="9" width="12.625" style="1462"/>
    <col min="10" max="10" width="3.625" style="2840" customWidth="1"/>
    <col min="11" max="12" width="12.625" style="659" customWidth="1"/>
    <col min="13" max="13" width="12.625" style="659"/>
    <col min="14" max="14" width="14.125" style="659" bestFit="1" customWidth="1"/>
    <col min="15" max="27" width="12.625" style="659"/>
    <col min="28" max="36" width="12.625" style="1308"/>
    <col min="37" max="16384" width="12.625" style="1462"/>
  </cols>
  <sheetData>
    <row r="1" spans="1:15" ht="21.75" customHeight="1">
      <c r="A1" s="1460" t="s">
        <v>1710</v>
      </c>
      <c r="B1" s="1461"/>
      <c r="C1" s="1461"/>
      <c r="D1" s="1461"/>
      <c r="E1" s="1461"/>
      <c r="F1" s="1461"/>
      <c r="G1" s="1461"/>
      <c r="H1" s="1461"/>
      <c r="I1" s="1461"/>
    </row>
    <row r="2" spans="1:15" ht="21.75" customHeight="1">
      <c r="A2" s="3306" t="str">
        <f>项目基本情况!B1</f>
        <v>北京市房地产抵押价值预评估</v>
      </c>
      <c r="B2" s="3306"/>
      <c r="C2" s="3306"/>
      <c r="D2" s="3306"/>
      <c r="E2" s="3306"/>
      <c r="F2" s="3306"/>
      <c r="G2" s="3306"/>
      <c r="H2" s="3306"/>
      <c r="I2" s="3306"/>
      <c r="J2" s="2841"/>
    </row>
    <row r="3" spans="1:15" ht="12.75">
      <c r="A3" s="3309" t="s">
        <v>1711</v>
      </c>
      <c r="B3" s="3310"/>
      <c r="C3" s="3310"/>
      <c r="D3" s="3310"/>
      <c r="E3" s="3310"/>
      <c r="F3" s="3310"/>
      <c r="G3" s="3310"/>
      <c r="H3" s="3310"/>
      <c r="I3" s="3310"/>
      <c r="J3" s="2842"/>
    </row>
    <row r="4" spans="1:15" ht="14.25">
      <c r="A4" s="2710" t="s">
        <v>1712</v>
      </c>
      <c r="B4" s="2710" t="s">
        <v>1713</v>
      </c>
      <c r="C4" s="2711"/>
      <c r="D4" s="2711"/>
      <c r="E4" s="3255" t="s">
        <v>1714</v>
      </c>
      <c r="F4" s="3293"/>
      <c r="G4" s="3293"/>
      <c r="H4" s="3293"/>
      <c r="I4" s="3294"/>
      <c r="J4" s="2843"/>
      <c r="L4" s="1461" t="str">
        <f>IF(ISNUMBER(FIND("比较法",结果表!C4)),"比较法",IF(ISNUMBER(FIND("成本法",结果表!C4)),"成本法",IF(ISNUMBER(FIND("假设开发法",结果表!C4)),"假设开发法",IF(ISNUMBER(FIND("收益法",结果表!C4)),"收益法","基准地价系数修正法"))))</f>
        <v>基准地价系数修正法</v>
      </c>
      <c r="M4" s="1461" t="str">
        <f>IF(ISNUMBER(FIND("比较法",结果表!D4)),"比较法",IF(ISNUMBER(FIND("成本法",结果表!D4)),"成本法",IF(ISNUMBER(FIND("假设开发法",结果表!D4)),"假设开发法",IF(ISNUMBER(FIND("收益法",结果表!D4)),"收益法","基准地价系数修正法"))))</f>
        <v>基准地价系数修正法</v>
      </c>
      <c r="N4" s="1461"/>
      <c r="O4" s="1461"/>
    </row>
    <row r="5" spans="1:15" ht="12.75">
      <c r="A5" s="3286" t="s">
        <v>1715</v>
      </c>
      <c r="B5" s="3286">
        <v>25</v>
      </c>
      <c r="C5" s="3295"/>
      <c r="D5" s="3308"/>
      <c r="E5" s="12" t="s">
        <v>1716</v>
      </c>
      <c r="F5" s="2089"/>
      <c r="G5" s="2089"/>
      <c r="H5" s="2089"/>
      <c r="I5" s="2084"/>
      <c r="J5" s="2843"/>
    </row>
    <row r="6" spans="1:15" ht="12.75">
      <c r="A6" s="3286"/>
      <c r="B6" s="3286"/>
      <c r="C6" s="3311"/>
      <c r="D6" s="3308"/>
      <c r="E6" s="12" t="s">
        <v>1717</v>
      </c>
      <c r="F6" s="2089"/>
      <c r="G6" s="2089"/>
      <c r="H6" s="2089"/>
      <c r="I6" s="2084"/>
      <c r="J6" s="2843"/>
    </row>
    <row r="7" spans="1:15" ht="12.75">
      <c r="A7" s="3286"/>
      <c r="B7" s="3286"/>
      <c r="C7" s="3296"/>
      <c r="D7" s="3308"/>
      <c r="E7" s="12" t="s">
        <v>1718</v>
      </c>
      <c r="F7" s="2089"/>
      <c r="G7" s="2089"/>
      <c r="H7" s="2089"/>
      <c r="I7" s="2084"/>
      <c r="J7" s="2843"/>
    </row>
    <row r="8" spans="1:15" ht="12.75">
      <c r="A8" s="3286" t="s">
        <v>1719</v>
      </c>
      <c r="B8" s="3286">
        <v>15</v>
      </c>
      <c r="C8" s="3295"/>
      <c r="D8" s="3308"/>
      <c r="E8" s="12" t="s">
        <v>1720</v>
      </c>
      <c r="F8" s="2089"/>
      <c r="G8" s="2089"/>
      <c r="H8" s="2089"/>
      <c r="I8" s="2084"/>
      <c r="J8" s="2843"/>
    </row>
    <row r="9" spans="1:15" ht="12.75">
      <c r="A9" s="3286"/>
      <c r="B9" s="3286"/>
      <c r="C9" s="3296"/>
      <c r="D9" s="3308"/>
      <c r="E9" s="12" t="s">
        <v>1721</v>
      </c>
      <c r="F9" s="2089"/>
      <c r="G9" s="2089"/>
      <c r="H9" s="2089"/>
      <c r="I9" s="2084"/>
      <c r="J9" s="2843"/>
    </row>
    <row r="10" spans="1:15" ht="12.75">
      <c r="A10" s="3286" t="s">
        <v>1722</v>
      </c>
      <c r="B10" s="3286">
        <v>15</v>
      </c>
      <c r="C10" s="3295"/>
      <c r="D10" s="3308"/>
      <c r="E10" s="12" t="s">
        <v>1723</v>
      </c>
      <c r="F10" s="2089"/>
      <c r="G10" s="2089"/>
      <c r="H10" s="2089"/>
      <c r="I10" s="2084"/>
      <c r="J10" s="2843"/>
    </row>
    <row r="11" spans="1:15" ht="12.75">
      <c r="A11" s="3286"/>
      <c r="B11" s="3286"/>
      <c r="C11" s="3296"/>
      <c r="D11" s="3308"/>
      <c r="E11" s="12" t="s">
        <v>1724</v>
      </c>
      <c r="F11" s="2089"/>
      <c r="G11" s="2089"/>
      <c r="H11" s="2089"/>
      <c r="I11" s="2084"/>
      <c r="J11" s="2843"/>
    </row>
    <row r="12" spans="1:15" ht="12.75">
      <c r="A12" s="3286" t="s">
        <v>1725</v>
      </c>
      <c r="B12" s="3286">
        <v>15</v>
      </c>
      <c r="C12" s="3295"/>
      <c r="D12" s="3308"/>
      <c r="E12" s="12" t="s">
        <v>1726</v>
      </c>
      <c r="F12" s="2089"/>
      <c r="G12" s="2089"/>
      <c r="H12" s="2089"/>
      <c r="I12" s="2084"/>
      <c r="J12" s="2843"/>
    </row>
    <row r="13" spans="1:15" ht="12.75">
      <c r="A13" s="3286"/>
      <c r="B13" s="3286"/>
      <c r="C13" s="3296"/>
      <c r="D13" s="3308"/>
      <c r="E13" s="12" t="s">
        <v>1727</v>
      </c>
      <c r="F13" s="2089"/>
      <c r="G13" s="2089"/>
      <c r="H13" s="2089"/>
      <c r="I13" s="2084"/>
      <c r="J13" s="2843"/>
    </row>
    <row r="14" spans="1:15" ht="12.75">
      <c r="A14" s="3286" t="s">
        <v>1728</v>
      </c>
      <c r="B14" s="3286">
        <v>30</v>
      </c>
      <c r="C14" s="3295"/>
      <c r="D14" s="3308"/>
      <c r="E14" s="12" t="s">
        <v>1729</v>
      </c>
      <c r="F14" s="2089"/>
      <c r="G14" s="2089"/>
      <c r="H14" s="2089"/>
      <c r="I14" s="2084"/>
      <c r="J14" s="2843"/>
    </row>
    <row r="15" spans="1:15" ht="12.75">
      <c r="A15" s="3286"/>
      <c r="B15" s="3286"/>
      <c r="C15" s="3311"/>
      <c r="D15" s="3308"/>
      <c r="E15" s="12" t="s">
        <v>1730</v>
      </c>
      <c r="F15" s="2089"/>
      <c r="G15" s="2089"/>
      <c r="H15" s="2089"/>
      <c r="I15" s="2084"/>
      <c r="J15" s="2843"/>
    </row>
    <row r="16" spans="1:15" ht="12.75">
      <c r="A16" s="3286"/>
      <c r="B16" s="3286"/>
      <c r="C16" s="3296"/>
      <c r="D16" s="3308"/>
      <c r="E16" s="12" t="s">
        <v>1731</v>
      </c>
      <c r="F16" s="2089"/>
      <c r="G16" s="2089"/>
      <c r="H16" s="2089"/>
      <c r="I16" s="2084"/>
      <c r="J16" s="2843"/>
    </row>
    <row r="17" spans="1:36" ht="15">
      <c r="A17" s="2712" t="s">
        <v>1732</v>
      </c>
      <c r="B17" s="2094"/>
      <c r="C17" s="2713">
        <f>SUM(C5:C16)</f>
        <v>0</v>
      </c>
      <c r="D17" s="2713">
        <f>SUM(D5:D16)</f>
        <v>0</v>
      </c>
      <c r="E17" s="2563"/>
      <c r="F17" s="2563"/>
      <c r="G17" s="2563"/>
      <c r="H17" s="2563"/>
      <c r="I17" s="2563"/>
      <c r="J17" s="2844"/>
    </row>
    <row r="18" spans="1:36" ht="30" customHeight="1" thickBot="1">
      <c r="A18" s="2714" t="s">
        <v>1733</v>
      </c>
      <c r="B18" s="2715"/>
      <c r="C18" s="2716" t="e">
        <f>ROUND(C17/SUM(C17:D17),2)</f>
        <v>#DIV/0!</v>
      </c>
      <c r="D18" s="2716" t="e">
        <f>1-C18</f>
        <v>#DIV/0!</v>
      </c>
      <c r="E18" s="3304" t="s">
        <v>2818</v>
      </c>
      <c r="F18" s="3305"/>
      <c r="G18" s="3305"/>
      <c r="H18" s="3305"/>
      <c r="I18" s="3305"/>
      <c r="J18" s="2844"/>
    </row>
    <row r="19" spans="1:36" ht="15">
      <c r="A19" s="2717" t="s">
        <v>1734</v>
      </c>
      <c r="B19" s="2718" t="s">
        <v>1735</v>
      </c>
      <c r="C19" s="2719" t="e">
        <f ca="1">SUMIF(INDIRECT("'"&amp;C4&amp;"'"&amp;"!A:A"),结果表!B19,INDIRECT("'"&amp;C4&amp;"'"&amp;"!B:B"))</f>
        <v>#REF!</v>
      </c>
      <c r="D19" s="2720" t="e">
        <f ca="1">SUMIF(INDIRECT("'"&amp;D4&amp;"'"&amp;"!A:A"),结果表!B19,INDIRECT("'"&amp;D4&amp;"'"&amp;"!B:B"))</f>
        <v>#REF!</v>
      </c>
      <c r="E19" s="2717" t="s">
        <v>1736</v>
      </c>
      <c r="F19" s="2718" t="s">
        <v>1735</v>
      </c>
      <c r="G19" s="2721" t="e">
        <f ca="1">ROUND(C19*$C$18+D19*$D$18,0)</f>
        <v>#REF!</v>
      </c>
      <c r="H19" s="2722" t="str">
        <f>'数据-取费表'!B3</f>
        <v>万元</v>
      </c>
      <c r="I19" s="2770"/>
      <c r="J19" s="2845"/>
    </row>
    <row r="20" spans="1:36" ht="15">
      <c r="A20" s="2723"/>
      <c r="B20" s="1694" t="s">
        <v>1737</v>
      </c>
      <c r="C20" s="1919" t="e">
        <f ca="1">SUMIF(INDIRECT("'"&amp;C4&amp;"'"&amp;"!A:A"),结果表!B20,INDIRECT("'"&amp;C4&amp;"'"&amp;"!B:B"))</f>
        <v>#REF!</v>
      </c>
      <c r="D20" s="1922" t="e">
        <f ca="1">SUMIF(INDIRECT("'"&amp;D4&amp;"'"&amp;"!A:A"),结果表!B20,INDIRECT("'"&amp;D4&amp;"'"&amp;"!B:B"))</f>
        <v>#REF!</v>
      </c>
      <c r="E20" s="2723"/>
      <c r="F20" s="1694" t="s">
        <v>1737</v>
      </c>
      <c r="G20" s="2093" t="e">
        <f ca="1">ROUND(C20*$C$18+D20*$D$18,0)</f>
        <v>#REF!</v>
      </c>
      <c r="H20" s="2724" t="s">
        <v>1738</v>
      </c>
      <c r="I20" s="2563"/>
      <c r="J20" s="2844"/>
    </row>
    <row r="21" spans="1:36" ht="15" customHeight="1" thickBot="1">
      <c r="A21" s="2725"/>
      <c r="B21" s="2726"/>
      <c r="C21" s="2726"/>
      <c r="D21" s="2727"/>
      <c r="E21" s="2725"/>
      <c r="F21" s="2726"/>
      <c r="G21" s="2728"/>
      <c r="H21" s="2729"/>
      <c r="I21" s="2563"/>
      <c r="J21" s="2844"/>
    </row>
    <row r="22" spans="1:36" ht="15" thickBot="1">
      <c r="A22" s="2730" t="s">
        <v>1739</v>
      </c>
      <c r="B22" s="2731"/>
      <c r="C22" s="2645"/>
      <c r="D22" s="2732" t="e">
        <f ca="1">IF(C19&lt;D19,D19/C19-1,C19/D19-1)</f>
        <v>#REF!</v>
      </c>
      <c r="E22" s="947"/>
      <c r="F22" s="947"/>
      <c r="G22" s="947"/>
      <c r="H22" s="947"/>
      <c r="I22" s="947"/>
      <c r="J22" s="2844"/>
    </row>
    <row r="23" spans="1:36" ht="13.5" thickBot="1">
      <c r="A23" s="2563"/>
      <c r="B23" s="2563"/>
      <c r="C23" s="2563"/>
      <c r="D23" s="2563"/>
      <c r="E23" s="947"/>
      <c r="F23" s="947"/>
      <c r="G23" s="947"/>
      <c r="H23" s="947"/>
      <c r="I23" s="947"/>
      <c r="J23" s="2844"/>
    </row>
    <row r="24" spans="1:36" ht="21.75" customHeight="1">
      <c r="A24" s="3297" t="s">
        <v>1740</v>
      </c>
      <c r="B24" s="2718" t="s">
        <v>1735</v>
      </c>
      <c r="C24" s="2721">
        <f>D30</f>
        <v>0</v>
      </c>
      <c r="D24" s="2674"/>
      <c r="E24" s="947"/>
      <c r="F24" s="947"/>
      <c r="G24" s="947"/>
      <c r="H24" s="947"/>
      <c r="I24" s="947"/>
      <c r="J24" s="2844"/>
    </row>
    <row r="25" spans="1:36" ht="21.75" customHeight="1">
      <c r="A25" s="3314"/>
      <c r="B25" s="1694" t="s">
        <v>1737</v>
      </c>
      <c r="C25" s="2733">
        <f>IF(B30=0,0,C30)</f>
        <v>0</v>
      </c>
      <c r="D25" s="2734"/>
      <c r="E25" s="947"/>
      <c r="F25" s="947"/>
      <c r="G25" s="947"/>
      <c r="H25" s="947"/>
      <c r="I25" s="947"/>
      <c r="J25" s="2844"/>
    </row>
    <row r="26" spans="1:36" ht="13.5" customHeight="1">
      <c r="A26" s="2735" t="s">
        <v>1741</v>
      </c>
      <c r="B26" s="2736" t="s">
        <v>1742</v>
      </c>
      <c r="C26" s="2736" t="s">
        <v>1743</v>
      </c>
      <c r="D26" s="2737" t="s">
        <v>1744</v>
      </c>
      <c r="E26" s="947"/>
      <c r="F26" s="947"/>
      <c r="G26" s="947"/>
      <c r="H26" s="947"/>
      <c r="I26" s="947"/>
      <c r="J26" s="2844"/>
    </row>
    <row r="27" spans="1:36" ht="14.25">
      <c r="A27" s="2738"/>
      <c r="B27" s="2736">
        <v>0</v>
      </c>
      <c r="C27" s="2736">
        <v>0</v>
      </c>
      <c r="D27" s="2737">
        <f>ROUND(C27*B27/10000,0)</f>
        <v>0</v>
      </c>
      <c r="E27" s="947"/>
      <c r="F27" s="947"/>
      <c r="G27" s="947"/>
      <c r="H27" s="947"/>
      <c r="I27" s="947"/>
      <c r="J27" s="2844"/>
    </row>
    <row r="28" spans="1:36" ht="14.25">
      <c r="A28" s="2735"/>
      <c r="B28" s="2736"/>
      <c r="C28" s="2736"/>
      <c r="D28" s="2737">
        <f t="shared" ref="D28:D29" si="0">ROUND(C28*B28/10000,0)</f>
        <v>0</v>
      </c>
      <c r="E28" s="947"/>
      <c r="F28" s="947"/>
      <c r="G28" s="947"/>
      <c r="H28" s="947"/>
      <c r="I28" s="947"/>
      <c r="J28" s="2844"/>
    </row>
    <row r="29" spans="1:36" ht="14.25">
      <c r="A29" s="2735"/>
      <c r="B29" s="2736"/>
      <c r="C29" s="2736"/>
      <c r="D29" s="2737">
        <f t="shared" si="0"/>
        <v>0</v>
      </c>
      <c r="E29" s="947"/>
      <c r="F29" s="947"/>
      <c r="G29" s="947"/>
      <c r="H29" s="947"/>
      <c r="I29" s="947"/>
      <c r="J29" s="2844"/>
    </row>
    <row r="30" spans="1:36" ht="15" thickBot="1">
      <c r="A30" s="2772" t="s">
        <v>1745</v>
      </c>
      <c r="B30" s="2772"/>
      <c r="C30" s="2772"/>
      <c r="D30" s="2772"/>
      <c r="E30" s="2739" t="s">
        <v>2822</v>
      </c>
      <c r="F30" s="2563"/>
      <c r="G30" s="2563"/>
      <c r="H30" s="2563"/>
      <c r="I30" s="2563"/>
      <c r="J30" s="2844"/>
    </row>
    <row r="31" spans="1:36" s="2837" customFormat="1" ht="26.45" customHeight="1" thickTop="1" thickBot="1">
      <c r="A31" s="2832"/>
      <c r="B31" s="2833"/>
      <c r="C31" s="2833"/>
      <c r="D31" s="2833"/>
      <c r="E31" s="2833"/>
      <c r="F31" s="2833"/>
      <c r="G31" s="2833"/>
      <c r="H31" s="2833"/>
      <c r="I31" s="2834" t="s">
        <v>2823</v>
      </c>
      <c r="J31" s="2846"/>
      <c r="K31" s="2835"/>
      <c r="L31" s="2835"/>
      <c r="M31" s="2835"/>
      <c r="N31" s="2835"/>
      <c r="O31" s="2835"/>
      <c r="P31" s="2835"/>
      <c r="Q31" s="2835"/>
      <c r="R31" s="2835"/>
      <c r="S31" s="2835"/>
      <c r="T31" s="2835"/>
      <c r="U31" s="2835"/>
      <c r="V31" s="2835"/>
      <c r="W31" s="2835"/>
      <c r="X31" s="2835"/>
      <c r="Y31" s="2835"/>
      <c r="Z31" s="2835"/>
      <c r="AA31" s="2835"/>
      <c r="AB31" s="2836"/>
      <c r="AC31" s="2836"/>
      <c r="AD31" s="2836"/>
      <c r="AE31" s="2836"/>
      <c r="AF31" s="2836"/>
      <c r="AG31" s="2836"/>
      <c r="AH31" s="2836"/>
      <c r="AI31" s="2836"/>
      <c r="AJ31" s="2836"/>
    </row>
    <row r="32" spans="1:36" s="2831" customFormat="1" ht="16.5" thickTop="1" thickBot="1">
      <c r="A32" s="2825" t="s">
        <v>1746</v>
      </c>
      <c r="B32" s="2826" t="str">
        <f>'数据-取费表'!B4</f>
        <v>总价</v>
      </c>
      <c r="C32" s="2827" t="e">
        <f ca="1">IF(B32="总价",G19-C24,G20-C25)</f>
        <v>#REF!</v>
      </c>
      <c r="D32" s="2828" t="str">
        <f>IF(B32="楼面单价","元/平方米",H19)</f>
        <v>万元</v>
      </c>
      <c r="E32" s="2975"/>
      <c r="F32" s="2975"/>
      <c r="G32" s="2975"/>
      <c r="H32" s="2975"/>
      <c r="I32" s="2975"/>
      <c r="J32" s="2847"/>
      <c r="K32" s="2829"/>
      <c r="L32" s="2829"/>
      <c r="M32" s="2829"/>
      <c r="N32" s="2829"/>
      <c r="O32" s="2829"/>
      <c r="P32" s="2829"/>
      <c r="Q32" s="2829"/>
      <c r="R32" s="2829"/>
      <c r="S32" s="2829"/>
      <c r="T32" s="2829"/>
      <c r="U32" s="2829"/>
      <c r="V32" s="2829"/>
      <c r="W32" s="2829"/>
      <c r="X32" s="2829"/>
      <c r="Y32" s="2829"/>
      <c r="Z32" s="2829"/>
      <c r="AA32" s="2829"/>
      <c r="AB32" s="2830"/>
      <c r="AC32" s="2830"/>
      <c r="AD32" s="2830"/>
      <c r="AE32" s="2830"/>
      <c r="AF32" s="2830"/>
      <c r="AG32" s="2830"/>
      <c r="AH32" s="2830"/>
      <c r="AI32" s="2830"/>
      <c r="AJ32" s="2830"/>
    </row>
    <row r="33" spans="1:17" ht="15">
      <c r="A33" s="2740" t="s">
        <v>1747</v>
      </c>
      <c r="B33" s="255"/>
      <c r="C33" s="2741"/>
      <c r="D33" s="2742"/>
      <c r="E33" s="2743" t="s">
        <v>1748</v>
      </c>
      <c r="F33" s="2744" t="str">
        <f>IF(B32="楼面单价","取值（单价）","取值（总价）")</f>
        <v>取值（总价）</v>
      </c>
      <c r="G33" s="947"/>
      <c r="H33" s="947"/>
      <c r="I33" s="947"/>
      <c r="J33" s="2844"/>
    </row>
    <row r="34" spans="1:17" ht="15">
      <c r="A34" s="1466"/>
      <c r="B34" s="2745" t="s">
        <v>1749</v>
      </c>
      <c r="C34" s="2746" t="e">
        <f ca="1">IF(D33="自定义",F34,C32-C35)</f>
        <v>#REF!</v>
      </c>
      <c r="D34" s="2747">
        <f ca="1">IF(D33="自定义",ROUND(C34/C32,3),1-D35)</f>
        <v>0.83499999999999996</v>
      </c>
      <c r="E34" s="1435" t="s">
        <v>1750</v>
      </c>
      <c r="F34" s="2748">
        <v>2000</v>
      </c>
      <c r="G34" s="947"/>
      <c r="H34" s="947"/>
      <c r="I34" s="947"/>
      <c r="J34" s="2844"/>
    </row>
    <row r="35" spans="1:17" ht="15.75" thickBot="1">
      <c r="A35" s="1467"/>
      <c r="B35" s="2749" t="s">
        <v>1751</v>
      </c>
      <c r="C35" s="2750" t="e">
        <f ca="1">IF(D33="自定义",F35,ROUND(C32*D35,0))</f>
        <v>#REF!</v>
      </c>
      <c r="D35" s="2751">
        <f ca="1">IF(D33="自定义",ROUND(C35/C32,3),IF(D33="成本法成本比率",成本法!C56,IF(D33="收益法收益比率",收益法!J38,收益法!J41)))</f>
        <v>0.16500000000000001</v>
      </c>
      <c r="E35" s="2752" t="s">
        <v>1752</v>
      </c>
      <c r="F35" s="2753">
        <v>4460</v>
      </c>
      <c r="G35" s="947"/>
      <c r="H35" s="947"/>
      <c r="I35" s="947"/>
      <c r="J35" s="2844"/>
    </row>
    <row r="36" spans="1:17" ht="15.75" thickBot="1">
      <c r="A36" s="3297" t="s">
        <v>1753</v>
      </c>
      <c r="B36" s="1468" t="s">
        <v>1754</v>
      </c>
      <c r="C36" s="2754">
        <v>0</v>
      </c>
      <c r="D36" s="2755"/>
      <c r="E36" s="1680"/>
      <c r="F36" s="1680"/>
      <c r="G36" s="947"/>
      <c r="H36" s="947"/>
      <c r="I36" s="947"/>
      <c r="J36" s="2844"/>
    </row>
    <row r="37" spans="1:17" ht="15.75" thickBot="1">
      <c r="A37" s="3298"/>
      <c r="B37" s="2094" t="s">
        <v>1755</v>
      </c>
      <c r="C37" s="2756">
        <v>0</v>
      </c>
      <c r="D37" s="1311"/>
      <c r="E37" s="1311"/>
      <c r="F37" s="1680"/>
      <c r="G37" s="1311"/>
      <c r="H37" s="1311"/>
      <c r="I37" s="1311"/>
      <c r="J37" s="2848"/>
    </row>
    <row r="38" spans="1:17" ht="15.75" thickBot="1">
      <c r="A38" s="3299"/>
      <c r="B38" s="1469" t="s">
        <v>1756</v>
      </c>
      <c r="C38" s="2757">
        <v>0</v>
      </c>
      <c r="D38" s="2758" t="s">
        <v>1757</v>
      </c>
      <c r="E38" s="1311"/>
      <c r="F38" s="1680"/>
      <c r="G38" s="1311"/>
      <c r="H38" s="1311"/>
      <c r="I38" s="1311"/>
      <c r="J38" s="2848"/>
    </row>
    <row r="39" spans="1:17" ht="15">
      <c r="A39" s="2723" t="s">
        <v>1758</v>
      </c>
      <c r="B39" s="2759" t="s">
        <v>1742</v>
      </c>
      <c r="C39" s="2760" t="s">
        <v>1743</v>
      </c>
      <c r="D39" s="2760" t="s">
        <v>1759</v>
      </c>
      <c r="E39" s="2761" t="s">
        <v>1744</v>
      </c>
      <c r="F39" s="1680"/>
      <c r="G39" s="1311"/>
      <c r="H39" s="1311"/>
      <c r="I39" s="1311"/>
      <c r="J39" s="2848"/>
    </row>
    <row r="40" spans="1:17" ht="14.25">
      <c r="A40" s="2762" t="s">
        <v>1760</v>
      </c>
      <c r="B40" s="2763"/>
      <c r="C40" s="2764"/>
      <c r="D40" s="2764"/>
      <c r="E40" s="2765"/>
      <c r="F40" s="1680"/>
      <c r="G40" s="1311"/>
      <c r="H40" s="1311"/>
      <c r="I40" s="1311"/>
      <c r="J40" s="2848"/>
    </row>
    <row r="41" spans="1:17" ht="14.25">
      <c r="A41" s="2762" t="s">
        <v>1761</v>
      </c>
      <c r="B41" s="2763"/>
      <c r="C41" s="2764"/>
      <c r="D41" s="2764"/>
      <c r="E41" s="2765"/>
      <c r="F41" s="1680"/>
      <c r="G41" s="1311"/>
      <c r="H41" s="1311"/>
      <c r="I41" s="1311"/>
      <c r="J41" s="2848"/>
    </row>
    <row r="42" spans="1:17" ht="15" thickBot="1">
      <c r="A42" s="2766"/>
      <c r="B42" s="2767"/>
      <c r="C42" s="2768"/>
      <c r="D42" s="2768"/>
      <c r="E42" s="2753"/>
      <c r="F42" s="1680"/>
      <c r="G42" s="1311"/>
      <c r="H42" s="1311"/>
      <c r="I42" s="1311"/>
      <c r="J42" s="2848"/>
    </row>
    <row r="43" spans="1:17" ht="12.75">
      <c r="A43" s="2974"/>
      <c r="B43" s="2974"/>
      <c r="C43" s="2974"/>
      <c r="D43" s="2974"/>
      <c r="E43" s="2974"/>
      <c r="F43" s="2973"/>
      <c r="G43" s="2973"/>
      <c r="H43" s="2973"/>
      <c r="I43" s="2661"/>
      <c r="J43" s="2849"/>
    </row>
    <row r="44" spans="1:17" ht="18.75">
      <c r="A44" s="1471" t="s">
        <v>1762</v>
      </c>
      <c r="B44" s="1472"/>
      <c r="C44" s="1472"/>
      <c r="D44" s="1473"/>
      <c r="E44" s="1473"/>
      <c r="F44" s="1474"/>
      <c r="G44" s="1474"/>
      <c r="H44" s="1474"/>
      <c r="I44" s="2838" t="s">
        <v>2817</v>
      </c>
      <c r="J44" s="2850"/>
      <c r="K44" s="1475" t="s">
        <v>1763</v>
      </c>
      <c r="L44" s="1476"/>
      <c r="M44" s="1476"/>
      <c r="N44" s="1476"/>
      <c r="O44" s="1476"/>
      <c r="P44" s="1476"/>
      <c r="Q44" s="1308"/>
    </row>
    <row r="45" spans="1:17" ht="14.25" customHeight="1" thickBot="1">
      <c r="A45" s="3301" t="s">
        <v>1764</v>
      </c>
      <c r="B45" s="3302"/>
      <c r="C45" s="3261"/>
      <c r="D45" s="246" t="e">
        <f ca="1">ROUND(I102*F45,0)</f>
        <v>#REF!</v>
      </c>
      <c r="E45" s="1542" t="s">
        <v>1765</v>
      </c>
      <c r="F45" s="2561">
        <v>1</v>
      </c>
      <c r="G45" s="2562" t="s">
        <v>1766</v>
      </c>
      <c r="H45" s="947"/>
      <c r="I45" s="947"/>
      <c r="J45" s="2844"/>
      <c r="K45" s="3355" t="s">
        <v>2747</v>
      </c>
      <c r="L45" s="3355"/>
      <c r="M45" s="3355"/>
      <c r="N45" s="3355"/>
      <c r="O45" s="3355"/>
      <c r="P45" s="3355"/>
      <c r="Q45" s="1308"/>
    </row>
    <row r="46" spans="1:17" ht="14.25" customHeight="1">
      <c r="A46" s="3290" t="s">
        <v>1768</v>
      </c>
      <c r="B46" s="3291"/>
      <c r="C46" s="3291"/>
      <c r="D46" s="3291"/>
      <c r="E46" s="3291"/>
      <c r="F46" s="3291"/>
      <c r="G46" s="3292"/>
      <c r="H46" s="2976"/>
      <c r="I46" s="947"/>
      <c r="J46" s="2844"/>
      <c r="K46" s="2536">
        <v>1</v>
      </c>
      <c r="L46" s="3356" t="s">
        <v>2748</v>
      </c>
      <c r="M46" s="3356"/>
      <c r="N46" s="3357" t="str">
        <f>项目基本情况!B1</f>
        <v>北京市房地产抵押价值预评估</v>
      </c>
      <c r="O46" s="3357"/>
      <c r="P46" s="3357"/>
      <c r="Q46" s="1308"/>
    </row>
    <row r="47" spans="1:17" ht="12" customHeight="1">
      <c r="A47" s="38" t="s">
        <v>1770</v>
      </c>
      <c r="B47" s="39"/>
      <c r="C47" s="40"/>
      <c r="D47" s="1099" t="s">
        <v>1771</v>
      </c>
      <c r="E47" s="235" t="s">
        <v>1772</v>
      </c>
      <c r="F47" s="41" t="s">
        <v>1773</v>
      </c>
      <c r="G47" s="2564" t="s">
        <v>1774</v>
      </c>
      <c r="H47" s="2976"/>
      <c r="I47" s="947"/>
      <c r="J47" s="2844"/>
      <c r="K47" s="2536">
        <v>2</v>
      </c>
      <c r="L47" s="3356" t="s">
        <v>2749</v>
      </c>
      <c r="M47" s="3356"/>
      <c r="N47" s="3358">
        <f>'数据-取费表'!B2</f>
        <v>44334</v>
      </c>
      <c r="O47" s="3358"/>
      <c r="P47" s="3358"/>
      <c r="Q47" s="1308"/>
    </row>
    <row r="48" spans="1:17" ht="25.5">
      <c r="A48" s="3300" t="s">
        <v>1776</v>
      </c>
      <c r="B48" s="3254"/>
      <c r="C48" s="3254"/>
      <c r="D48" s="12" t="e">
        <f ca="1">IF(H48="情况1",0,IF(H48="情况2",D52,IF(H48="情况3",D53,IF(H48="情况4",D54))))</f>
        <v>#REF!</v>
      </c>
      <c r="E48" s="2092" t="str">
        <f>IF(H48="情况4","(销售额-原购置价)×税（费）率","销售额×税（费）率")</f>
        <v>销售额×税（费）率</v>
      </c>
      <c r="F48" s="2565">
        <f>IF(H48="情况1","免征",'数据-取费表'!E29)</f>
        <v>5.6000000000000001E-2</v>
      </c>
      <c r="G48" s="2566" t="s">
        <v>1777</v>
      </c>
      <c r="H48" s="2567" t="s">
        <v>1778</v>
      </c>
      <c r="I48" s="2976"/>
      <c r="J48" s="2851"/>
      <c r="K48" s="2536">
        <v>3</v>
      </c>
      <c r="L48" s="3356" t="s">
        <v>2750</v>
      </c>
      <c r="M48" s="3356"/>
      <c r="N48" s="3357" t="e">
        <f ca="1">I102</f>
        <v>#REF!</v>
      </c>
      <c r="O48" s="3357"/>
      <c r="P48" s="3357"/>
      <c r="Q48" s="1308"/>
    </row>
    <row r="49" spans="1:17" ht="25.5" customHeight="1">
      <c r="A49" s="2091" t="s">
        <v>1780</v>
      </c>
      <c r="B49" s="3293" t="s">
        <v>1781</v>
      </c>
      <c r="C49" s="3293"/>
      <c r="D49" s="2568">
        <v>0</v>
      </c>
      <c r="E49" s="261" t="s">
        <v>1782</v>
      </c>
      <c r="F49" s="2569" t="s">
        <v>48</v>
      </c>
      <c r="G49" s="3350"/>
      <c r="H49" s="2570" t="s">
        <v>2824</v>
      </c>
      <c r="I49" s="2571"/>
      <c r="J49" s="2852"/>
      <c r="K49" s="2536">
        <v>4</v>
      </c>
      <c r="L49" s="3356" t="str">
        <f>IF(项目基本情况!F5="房地产抵押价值","房地产抵押价值","抵押担保权已注销时的房地产抵押价值")</f>
        <v>抵押担保权已注销时的房地产抵押价值</v>
      </c>
      <c r="M49" s="3356"/>
      <c r="N49" s="3357" t="str">
        <f>IF(项目基本情况!F5="房地产抵押价值",I110,I112)</f>
        <v>——</v>
      </c>
      <c r="O49" s="3357"/>
      <c r="P49" s="3357"/>
      <c r="Q49" s="1308"/>
    </row>
    <row r="50" spans="1:17" ht="25.5" customHeight="1">
      <c r="A50" s="2081"/>
      <c r="B50" s="3293" t="s">
        <v>1783</v>
      </c>
      <c r="C50" s="3293"/>
      <c r="D50" s="2572"/>
      <c r="E50" s="269"/>
      <c r="F50" s="2569"/>
      <c r="G50" s="3351"/>
      <c r="H50" s="2573" t="s">
        <v>2743</v>
      </c>
      <c r="I50" s="2571"/>
      <c r="J50" s="2852"/>
      <c r="K50" s="3356" t="s">
        <v>2751</v>
      </c>
      <c r="L50" s="3356"/>
      <c r="M50" s="3356"/>
      <c r="N50" s="3356"/>
      <c r="O50" s="3356"/>
      <c r="P50" s="3356"/>
      <c r="Q50" s="1308"/>
    </row>
    <row r="51" spans="1:17" ht="20.45" customHeight="1">
      <c r="A51" s="2574"/>
      <c r="B51" s="3293" t="s">
        <v>1785</v>
      </c>
      <c r="C51" s="3293"/>
      <c r="D51" s="1099"/>
      <c r="E51" s="264"/>
      <c r="F51" s="2569"/>
      <c r="G51" s="3352"/>
      <c r="H51" s="2573" t="s">
        <v>2744</v>
      </c>
      <c r="I51" s="2571"/>
      <c r="J51" s="2852"/>
      <c r="K51" s="2537" t="s">
        <v>2752</v>
      </c>
      <c r="L51" s="3356" t="s">
        <v>2753</v>
      </c>
      <c r="M51" s="3356"/>
      <c r="N51" s="2537" t="s">
        <v>2754</v>
      </c>
      <c r="O51" s="2537" t="s">
        <v>2755</v>
      </c>
      <c r="P51" s="2537" t="s">
        <v>2756</v>
      </c>
      <c r="Q51" s="1308"/>
    </row>
    <row r="52" spans="1:17" ht="24" customHeight="1">
      <c r="A52" s="2082" t="s">
        <v>1791</v>
      </c>
      <c r="B52" s="3293" t="s">
        <v>1792</v>
      </c>
      <c r="C52" s="3293"/>
      <c r="D52" s="1099" t="e">
        <f ca="1">ROUND(D45*'数据-取费表'!E29/(1+'数据-取费表'!F30),0)</f>
        <v>#REF!</v>
      </c>
      <c r="E52" s="2092" t="s">
        <v>1793</v>
      </c>
      <c r="F52" s="2575">
        <f>'数据-取费表'!E29</f>
        <v>5.6000000000000001E-2</v>
      </c>
      <c r="G52" s="2576"/>
      <c r="H52" s="947"/>
      <c r="I52" s="2977"/>
      <c r="J52" s="2852"/>
      <c r="K52" s="2536">
        <v>1</v>
      </c>
      <c r="L52" s="3323" t="s">
        <v>2757</v>
      </c>
      <c r="M52" s="3323"/>
      <c r="N52" s="2538" t="e">
        <f ca="1">D48</f>
        <v>#REF!</v>
      </c>
      <c r="O52" s="2536" t="str">
        <f>E48</f>
        <v>销售额×税（费）率</v>
      </c>
      <c r="P52" s="2539">
        <f>F48</f>
        <v>5.6000000000000001E-2</v>
      </c>
      <c r="Q52" s="1308"/>
    </row>
    <row r="53" spans="1:17" ht="12" customHeight="1">
      <c r="A53" s="2082" t="s">
        <v>1795</v>
      </c>
      <c r="B53" s="3255" t="s">
        <v>2836</v>
      </c>
      <c r="C53" s="3294"/>
      <c r="D53" s="1099" t="e">
        <f ca="1">ROUND(D45*'数据-取费表'!E29/(1+'数据-取费表'!F30),0)</f>
        <v>#REF!</v>
      </c>
      <c r="E53" s="2092" t="s">
        <v>1793</v>
      </c>
      <c r="F53" s="2575">
        <f>'数据-取费表'!E29</f>
        <v>5.6000000000000001E-2</v>
      </c>
      <c r="G53" s="2576"/>
      <c r="H53" s="947"/>
      <c r="I53" s="2977"/>
      <c r="J53" s="2852"/>
      <c r="K53" s="2536">
        <v>2</v>
      </c>
      <c r="L53" s="3323" t="s">
        <v>2758</v>
      </c>
      <c r="M53" s="3323"/>
      <c r="N53" s="2538">
        <f t="shared" ref="N53:P54" si="1">D55</f>
        <v>0</v>
      </c>
      <c r="O53" s="2536" t="str">
        <f t="shared" si="1"/>
        <v>销售额×税（费）率</v>
      </c>
      <c r="P53" s="2539" t="str">
        <f t="shared" si="1"/>
        <v>免征</v>
      </c>
      <c r="Q53" s="1308"/>
    </row>
    <row r="54" spans="1:17" ht="12" customHeight="1">
      <c r="A54" s="2082" t="s">
        <v>1797</v>
      </c>
      <c r="B54" s="3255" t="s">
        <v>2837</v>
      </c>
      <c r="C54" s="3294"/>
      <c r="D54" s="1099" t="e">
        <f ca="1">C68</f>
        <v>#REF!</v>
      </c>
      <c r="E54" s="264" t="s">
        <v>1798</v>
      </c>
      <c r="F54" s="2575">
        <f>'数据-取费表'!E29</f>
        <v>5.6000000000000001E-2</v>
      </c>
      <c r="G54" s="2576"/>
      <c r="H54" s="2978"/>
      <c r="I54" s="2977"/>
      <c r="J54" s="2852"/>
      <c r="K54" s="2536">
        <v>3</v>
      </c>
      <c r="L54" s="3323" t="s">
        <v>2759</v>
      </c>
      <c r="M54" s="3323"/>
      <c r="N54" s="2538">
        <f t="shared" si="1"/>
        <v>0</v>
      </c>
      <c r="O54" s="2536" t="str">
        <f t="shared" si="1"/>
        <v>增值额×税（费）率</v>
      </c>
      <c r="P54" s="2540" t="str">
        <f t="shared" si="1"/>
        <v>免征</v>
      </c>
      <c r="Q54" s="1308"/>
    </row>
    <row r="55" spans="1:17" ht="24" customHeight="1">
      <c r="A55" s="3253" t="s">
        <v>1800</v>
      </c>
      <c r="B55" s="3254"/>
      <c r="C55" s="3254"/>
      <c r="D55" s="12">
        <f>IF(H55="个人住宅",0,ROUND(D45*I55,0))</f>
        <v>0</v>
      </c>
      <c r="E55" s="2092" t="s">
        <v>1801</v>
      </c>
      <c r="F55" s="2575" t="str">
        <f>IF(H55="正常",I55,"免征")</f>
        <v>免征</v>
      </c>
      <c r="G55" s="2576"/>
      <c r="H55" s="2567" t="s">
        <v>2740</v>
      </c>
      <c r="I55" s="74">
        <f>'数据-取费表'!E37</f>
        <v>5.0000000000000001E-4</v>
      </c>
      <c r="J55" s="2852"/>
      <c r="K55" s="2536" t="str">
        <f>IF(H59="非个人房产","",4)</f>
        <v/>
      </c>
      <c r="L55" s="3323" t="str">
        <f>IF(H59="非个人房产","——","个人所得税")</f>
        <v>——</v>
      </c>
      <c r="M55" s="3323"/>
      <c r="N55" s="2541" t="str">
        <f>D59</f>
        <v>——</v>
      </c>
      <c r="O55" s="2542" t="str">
        <f>E59</f>
        <v>——</v>
      </c>
      <c r="P55" s="2543" t="str">
        <f>F59</f>
        <v>——</v>
      </c>
      <c r="Q55" s="1308"/>
    </row>
    <row r="56" spans="1:17" ht="24.75">
      <c r="A56" s="3253" t="s">
        <v>1803</v>
      </c>
      <c r="B56" s="3254"/>
      <c r="C56" s="3254"/>
      <c r="D56" s="12">
        <f>IF(H56="个人住宅",D57,D58)</f>
        <v>0</v>
      </c>
      <c r="E56" s="2092" t="s">
        <v>1804</v>
      </c>
      <c r="F56" s="2575" t="str">
        <f>IF(H56="正常",F58,"免征")</f>
        <v>免征</v>
      </c>
      <c r="G56" s="2577" t="s">
        <v>1805</v>
      </c>
      <c r="H56" s="2578" t="s">
        <v>2740</v>
      </c>
      <c r="I56" s="2979"/>
      <c r="J56" s="2852"/>
      <c r="K56" s="2536" t="str">
        <f>IF(项目基本情况!I6="上海银行",IF(K55="",4,K55+1),"")</f>
        <v/>
      </c>
      <c r="L56" s="3337" t="str">
        <f>IF(项目基本情况!I6="上海银行","其他处置费用","")</f>
        <v/>
      </c>
      <c r="M56" s="3338"/>
      <c r="N56" s="2538" t="str">
        <f>IF(项目基本情况!I6="上海银行",N69,"")</f>
        <v/>
      </c>
      <c r="O56" s="3337" t="str">
        <f>IF(项目基本情况!I6="上海银行","包含处置中涉及的律师、诉讼、拍卖、评估等费用","")</f>
        <v/>
      </c>
      <c r="P56" s="3349"/>
      <c r="Q56" s="1308"/>
    </row>
    <row r="57" spans="1:17" ht="12.75">
      <c r="A57" s="2082" t="s">
        <v>1780</v>
      </c>
      <c r="B57" s="3255" t="s">
        <v>1806</v>
      </c>
      <c r="C57" s="3294"/>
      <c r="D57" s="2568">
        <v>0</v>
      </c>
      <c r="E57" s="261" t="s">
        <v>1782</v>
      </c>
      <c r="F57" s="235"/>
      <c r="G57" s="2576"/>
      <c r="H57" s="2979"/>
      <c r="I57" s="2979"/>
      <c r="J57" s="2852"/>
      <c r="K57" s="3323">
        <f>IF(AND(K55="",K56=""),4,IF(项目基本情况!I6="上海银行",K56+1,K55+1))</f>
        <v>4</v>
      </c>
      <c r="L57" s="3323" t="s">
        <v>2760</v>
      </c>
      <c r="M57" s="2544" t="s">
        <v>2761</v>
      </c>
      <c r="N57" s="2545"/>
      <c r="O57" s="2546">
        <f ca="1">SUMIF(N52:N56,"&lt;9e307")</f>
        <v>0</v>
      </c>
      <c r="P57" s="2547"/>
      <c r="Q57" s="1306" t="e">
        <f ca="1">O57/N49</f>
        <v>#VALUE!</v>
      </c>
    </row>
    <row r="58" spans="1:17" ht="24.75">
      <c r="A58" s="2082" t="s">
        <v>1791</v>
      </c>
      <c r="B58" s="3255" t="s">
        <v>1809</v>
      </c>
      <c r="C58" s="3293"/>
      <c r="D58" s="12" t="e">
        <f ca="1">IF(H58="转让取得",C81,C97)</f>
        <v>#REF!</v>
      </c>
      <c r="E58" s="2092" t="s">
        <v>1804</v>
      </c>
      <c r="F58" s="235" t="s">
        <v>48</v>
      </c>
      <c r="G58" s="2576"/>
      <c r="H58" s="2578" t="s">
        <v>1810</v>
      </c>
      <c r="I58" s="2979"/>
      <c r="J58" s="2852"/>
      <c r="K58" s="3323"/>
      <c r="L58" s="3323"/>
      <c r="M58" s="2544" t="s">
        <v>2762</v>
      </c>
      <c r="N58" s="2548"/>
      <c r="O58" s="2549" t="str">
        <f ca="1">IF(H19="元",NUMBERSTRING(INT(O57),2)&amp;"元整",NUMBERSTRING(INT(O57*10000),2)&amp;"元整")</f>
        <v>零元整</v>
      </c>
      <c r="P58" s="2550"/>
      <c r="Q58" s="1308"/>
    </row>
    <row r="59" spans="1:17" ht="24.75" thickBot="1">
      <c r="A59" s="3277" t="s">
        <v>1812</v>
      </c>
      <c r="B59" s="3278"/>
      <c r="C59" s="3278"/>
      <c r="D59" s="2579" t="str">
        <f>IF(H59="非个人房产","——",IF(H59="个人住宅（满五唯一有凭证）",0,IF(H59="个人其他（无凭证）",ROUND(D45*F59,0),ROUND(C67*F59,0))))</f>
        <v>——</v>
      </c>
      <c r="E59" s="2083" t="str">
        <f>IF(H59="非个人房产","——",IF(H59="个人其他（无凭证）","销售额×税（费）率",IF(H59="个人住宅（满五唯一有凭证）","免征","差额计税")))</f>
        <v>——</v>
      </c>
      <c r="F59" s="2580" t="str">
        <f>IF(OR(H59="非个人房产",H59="个人住宅（满五唯一有凭证）"),"——",IF(H59="个人其他（有凭证）",20%,1%))</f>
        <v>——</v>
      </c>
      <c r="G59" s="2822" t="s">
        <v>2815</v>
      </c>
      <c r="H59" s="2096" t="s">
        <v>2825</v>
      </c>
      <c r="I59" s="2881" t="s">
        <v>2826</v>
      </c>
      <c r="J59" s="2852"/>
      <c r="K59" s="3321">
        <f>K57+1</f>
        <v>5</v>
      </c>
      <c r="L59" s="3323" t="s">
        <v>2763</v>
      </c>
      <c r="M59" s="2536" t="s">
        <v>2761</v>
      </c>
      <c r="N59" s="2551"/>
      <c r="O59" s="2552" t="e">
        <f ca="1">N49-O57</f>
        <v>#VALUE!</v>
      </c>
      <c r="P59" s="2553"/>
      <c r="Q59" s="1308"/>
    </row>
    <row r="60" spans="1:17" ht="12" customHeight="1">
      <c r="A60" s="1457"/>
      <c r="B60" s="1461"/>
      <c r="C60" s="1461"/>
      <c r="D60" s="1461"/>
      <c r="E60" s="812"/>
      <c r="F60" s="2980"/>
      <c r="G60" s="2980"/>
      <c r="H60" s="2981"/>
      <c r="I60" s="31"/>
      <c r="K60" s="3322"/>
      <c r="L60" s="3323"/>
      <c r="M60" s="2544" t="s">
        <v>2762</v>
      </c>
      <c r="N60" s="2548"/>
      <c r="O60" s="2549" t="e">
        <f ca="1">IF(H19="元",NUMBERSTRING(INT(O59),2)&amp;"元整",NUMBERSTRING(INT(O59*10000),2)&amp;"元整")</f>
        <v>#VALUE!</v>
      </c>
      <c r="P60" s="2550"/>
      <c r="Q60" s="1308"/>
    </row>
    <row r="61" spans="1:17" ht="13.5" thickBot="1">
      <c r="A61" s="3303" t="s">
        <v>1814</v>
      </c>
      <c r="B61" s="3303"/>
      <c r="C61" s="3303"/>
      <c r="D61" s="3303"/>
      <c r="E61" s="3303"/>
      <c r="F61" s="2980"/>
      <c r="G61" s="2980"/>
      <c r="H61" s="2982"/>
      <c r="I61" s="31"/>
      <c r="K61" s="2536">
        <f>K59+1</f>
        <v>6</v>
      </c>
      <c r="L61" s="3323" t="s">
        <v>2764</v>
      </c>
      <c r="M61" s="3323"/>
      <c r="N61" s="2554"/>
      <c r="O61" s="2555" t="e">
        <f ca="1">IF(H19="元",ROUND(O59/项目基本情况!C12,0),ROUND(O59*10000/项目基本情况!C12,0))</f>
        <v>#VALUE!</v>
      </c>
      <c r="P61" s="2556"/>
      <c r="Q61" s="1308"/>
    </row>
    <row r="62" spans="1:17" ht="12.75">
      <c r="A62" s="3312" t="s">
        <v>1816</v>
      </c>
      <c r="B62" s="3313"/>
      <c r="C62" s="1607"/>
      <c r="D62" s="1607" t="s">
        <v>1817</v>
      </c>
      <c r="E62" s="45" t="s">
        <v>1818</v>
      </c>
      <c r="F62" s="2980"/>
      <c r="G62" s="2980"/>
      <c r="H62" s="2982"/>
      <c r="I62" s="31"/>
      <c r="K62" s="2557"/>
      <c r="L62" s="2557"/>
      <c r="M62" s="2557"/>
      <c r="N62" s="2557"/>
      <c r="O62" s="2557"/>
      <c r="P62" s="2557"/>
      <c r="Q62" s="1308"/>
    </row>
    <row r="63" spans="1:17" ht="12.75">
      <c r="A63" s="46">
        <v>1</v>
      </c>
      <c r="B63" s="47" t="s">
        <v>1819</v>
      </c>
      <c r="C63" s="2783" t="e">
        <f ca="1">ROUND((C64+C65)/(1+'数据-取费表'!F30),0)</f>
        <v>#REF!</v>
      </c>
      <c r="D63" s="47"/>
      <c r="E63" s="48"/>
      <c r="F63" s="2980"/>
      <c r="G63" s="2980"/>
      <c r="H63" s="2982"/>
      <c r="I63" s="31"/>
      <c r="K63" s="3339" t="s">
        <v>2765</v>
      </c>
      <c r="L63" s="2558" t="s">
        <v>2766</v>
      </c>
      <c r="M63" s="2558" t="e">
        <f>IF(N49&gt;10000,N49*0.5%,IF(AND(N49&gt;1000,N49&lt;=10000),N49*1%,IF(AND(N49&gt;100,N49&lt;=1000),N49*3%,IF(AND(N49&gt;10,N49&lt;=100),N49*5%,N49*8%))))</f>
        <v>#VALUE!</v>
      </c>
      <c r="N63" s="2559" t="e">
        <f>ROUND(M63,1)</f>
        <v>#VALUE!</v>
      </c>
      <c r="O63" s="2557"/>
      <c r="P63" s="2557"/>
      <c r="Q63" s="1308"/>
    </row>
    <row r="64" spans="1:17" ht="12.75">
      <c r="A64" s="49" t="s">
        <v>71</v>
      </c>
      <c r="B64" s="50" t="s">
        <v>1822</v>
      </c>
      <c r="C64" s="2784" t="e">
        <f ca="1">D45</f>
        <v>#REF!</v>
      </c>
      <c r="D64" s="50" t="s">
        <v>41</v>
      </c>
      <c r="E64" s="52"/>
      <c r="F64" s="2980"/>
      <c r="G64" s="2980"/>
      <c r="H64" s="2982"/>
      <c r="I64" s="31"/>
      <c r="K64" s="3339"/>
      <c r="L64" s="2558" t="s">
        <v>2767</v>
      </c>
      <c r="M64" s="2558" t="e">
        <f>IF(N49&gt;2000,N49*0.5%,IF(AND(N49&gt;1000,N49&lt;=2000),N49*0.6%,IF(AND(N49&gt;500,N49&lt;=1000),N49*0.7%,IF(AND(N49&gt;200,N49&lt;=500),N49*0.8%,IF(AND(N49&gt;100,N49&lt;=200),N49*0.9%,IF(AND(N49&gt;50,N49&lt;=100),N49*1%,IF(AND(N49&gt;20,N49&lt;=50),N49*1.5%,IF(AND(N49&gt;10,N49&lt;=20),N49*2%,IF(AND(N49&gt;1,N49&lt;=10),N49*2.5%)))))))))</f>
        <v>#VALUE!</v>
      </c>
      <c r="N64" s="2559" t="e">
        <f t="shared" ref="N64:N65" si="2">ROUND(M64,1)</f>
        <v>#VALUE!</v>
      </c>
      <c r="O64" s="2557" t="s">
        <v>2768</v>
      </c>
      <c r="P64" s="2557"/>
      <c r="Q64" s="1308"/>
    </row>
    <row r="65" spans="1:36" ht="12.75">
      <c r="A65" s="49" t="s">
        <v>72</v>
      </c>
      <c r="B65" s="50" t="s">
        <v>1825</v>
      </c>
      <c r="C65" s="2785"/>
      <c r="D65" s="50"/>
      <c r="E65" s="52"/>
      <c r="F65" s="2980"/>
      <c r="G65" s="2980"/>
      <c r="H65" s="2982"/>
      <c r="I65" s="31"/>
      <c r="K65" s="3339"/>
      <c r="L65" s="2558" t="s">
        <v>2769</v>
      </c>
      <c r="M65" s="2558" t="e">
        <f>IF(N49&gt;1000,N49*0.1%,IF(AND(N49&gt;500,N49&lt;=1000),N49*0.5%,IF(AND(N49&gt;50,N49&lt;=500),N49*1%,IF(AND(N49&gt;1,N49&lt;=50),N49*1.5%))))</f>
        <v>#VALUE!</v>
      </c>
      <c r="N65" s="2559" t="e">
        <f t="shared" si="2"/>
        <v>#VALUE!</v>
      </c>
      <c r="O65" s="2557" t="s">
        <v>2768</v>
      </c>
      <c r="P65" s="2557"/>
      <c r="Q65" s="1308"/>
    </row>
    <row r="66" spans="1:36" ht="12.75">
      <c r="A66" s="53" t="s">
        <v>47</v>
      </c>
      <c r="B66" s="54" t="s">
        <v>1827</v>
      </c>
      <c r="C66" s="2786"/>
      <c r="D66" s="54" t="s">
        <v>41</v>
      </c>
      <c r="E66" s="1316" t="s">
        <v>1828</v>
      </c>
      <c r="F66" s="2980"/>
      <c r="G66" s="2980"/>
      <c r="H66" s="2982"/>
      <c r="I66" s="31"/>
      <c r="K66" s="3339"/>
      <c r="L66" s="2558" t="s">
        <v>2770</v>
      </c>
      <c r="M66" s="2558" t="e">
        <f>N49*0.5%</f>
        <v>#VALUE!</v>
      </c>
      <c r="N66" s="2559" t="e">
        <f>IF(M66&gt;0.5,0.5,ROUND(M66,0))</f>
        <v>#VALUE!</v>
      </c>
      <c r="O66" s="2557" t="s">
        <v>2771</v>
      </c>
      <c r="P66" s="2557"/>
      <c r="Q66" s="1308"/>
    </row>
    <row r="67" spans="1:36" ht="12.75">
      <c r="A67" s="53" t="s">
        <v>42</v>
      </c>
      <c r="B67" s="54" t="s">
        <v>1831</v>
      </c>
      <c r="C67" s="2787" t="e">
        <f ca="1">C63-C66</f>
        <v>#REF!</v>
      </c>
      <c r="D67" s="50" t="s">
        <v>41</v>
      </c>
      <c r="E67" s="52"/>
      <c r="F67" s="2980"/>
      <c r="G67" s="2980"/>
      <c r="H67" s="2982"/>
      <c r="I67" s="31"/>
      <c r="K67" s="3339"/>
      <c r="L67" s="2558" t="s">
        <v>2772</v>
      </c>
      <c r="M67" s="2558" t="e">
        <f>IF(N49&gt;=10000,(8.25+(N49-10000)*0.01%),IF(AND(N49&gt;=8000,N49&lt;10000),(7.85+(N49-8000)*0.02%),IF(AND(N49&gt;=5000,N49&lt;8000),(6.65+(N49-5000)*0.04%),IF(AND(N49&gt;=2000,N49&lt;5000),(4.25+(PN49-2000)*0.08%),IF(AND(N49&gt;=1000,N49&lt;2000),(2.75+(N49-1000)*0.15%),IF(AND(N49&gt;=100,N49&lt;1000),(0.5+(N49-100)*0.25%),IF(AND(N49&gt;0,N49&lt;100),N49*0.5%)))))))</f>
        <v>#VALUE!</v>
      </c>
      <c r="N67" s="2559" t="e">
        <f>ROUND(M67*0.9,1)</f>
        <v>#VALUE!</v>
      </c>
      <c r="O67" s="2557"/>
      <c r="P67" s="2557"/>
      <c r="Q67" s="1308"/>
    </row>
    <row r="68" spans="1:36" ht="13.5" thickBot="1">
      <c r="A68" s="55" t="s">
        <v>46</v>
      </c>
      <c r="B68" s="56" t="s">
        <v>1833</v>
      </c>
      <c r="C68" s="2788" t="e">
        <f ca="1">IF(C67&lt;=0,0,ROUND(C67*D68,0))</f>
        <v>#REF!</v>
      </c>
      <c r="D68" s="2242">
        <f>'数据-取费表'!E29</f>
        <v>5.6000000000000001E-2</v>
      </c>
      <c r="E68" s="57"/>
      <c r="F68" s="2980"/>
      <c r="G68" s="2980"/>
      <c r="H68" s="2982"/>
      <c r="I68" s="31"/>
      <c r="K68" s="3339"/>
      <c r="L68" s="2558" t="s">
        <v>2773</v>
      </c>
      <c r="M68" s="2558" t="e">
        <f>IF(N49&gt;10000,N49*0.5%,IF(AND(N49&gt;5000,N49&lt;=10000),N49*1%,IF(AND(N49&gt;1000,N49&lt;=5000),N49*2%,IF(AND(N49&gt;200,N49&lt;=1000),N49*3%,N49*5%))))</f>
        <v>#VALUE!</v>
      </c>
      <c r="N68" s="2559" t="e">
        <f>ROUND(M68,1)</f>
        <v>#VALUE!</v>
      </c>
      <c r="O68" s="2557"/>
      <c r="P68" s="2557"/>
      <c r="Q68" s="1308"/>
    </row>
    <row r="69" spans="1:36" s="1465" customFormat="1" ht="7.5" customHeight="1">
      <c r="A69" s="1477"/>
      <c r="B69" s="1478"/>
      <c r="C69" s="1479"/>
      <c r="D69" s="1480"/>
      <c r="E69" s="1481"/>
      <c r="F69" s="812"/>
      <c r="G69" s="812"/>
      <c r="H69" s="1470"/>
      <c r="I69" s="1461"/>
      <c r="J69" s="2840"/>
      <c r="K69" s="3339"/>
      <c r="L69" s="2558" t="s">
        <v>54</v>
      </c>
      <c r="M69" s="2558"/>
      <c r="N69" s="2559" t="e">
        <f>ROUND(SUM(N63:N68),0)</f>
        <v>#VALUE!</v>
      </c>
      <c r="O69" s="2560" t="e">
        <f>N69/N49</f>
        <v>#VALUE!</v>
      </c>
      <c r="P69" s="2557"/>
      <c r="Q69" s="1308"/>
      <c r="R69" s="659"/>
      <c r="S69" s="659"/>
      <c r="T69" s="659"/>
      <c r="U69" s="659"/>
      <c r="V69" s="659"/>
      <c r="W69" s="659"/>
      <c r="X69" s="659"/>
      <c r="Y69" s="659"/>
      <c r="Z69" s="659"/>
      <c r="AA69" s="659"/>
      <c r="AB69" s="1308"/>
      <c r="AC69" s="1308"/>
      <c r="AD69" s="1308"/>
      <c r="AE69" s="1308"/>
      <c r="AF69" s="1308"/>
      <c r="AG69" s="1308"/>
      <c r="AH69" s="1308"/>
      <c r="AI69" s="1308"/>
      <c r="AJ69" s="1308"/>
    </row>
    <row r="70" spans="1:36" s="1483" customFormat="1" ht="15" thickBot="1">
      <c r="A70" s="3315" t="s">
        <v>1836</v>
      </c>
      <c r="B70" s="3316"/>
      <c r="C70" s="3316"/>
      <c r="D70" s="3316"/>
      <c r="E70" s="3316"/>
      <c r="F70" s="3316"/>
      <c r="G70" s="3316"/>
      <c r="H70" s="3316"/>
      <c r="I70" s="1482"/>
      <c r="J70" s="2853"/>
      <c r="P70" s="976"/>
      <c r="Q70" s="976"/>
      <c r="R70" s="976"/>
      <c r="S70" s="976"/>
      <c r="T70" s="976"/>
      <c r="U70" s="976"/>
      <c r="V70" s="976"/>
      <c r="W70" s="976"/>
      <c r="X70" s="976"/>
      <c r="Y70" s="976"/>
      <c r="Z70" s="976"/>
      <c r="AA70" s="976"/>
      <c r="AB70" s="1484"/>
      <c r="AC70" s="1484"/>
      <c r="AD70" s="1484"/>
      <c r="AE70" s="1484"/>
      <c r="AF70" s="1484"/>
      <c r="AG70" s="1484"/>
      <c r="AH70" s="1484"/>
      <c r="AI70" s="1484"/>
      <c r="AJ70" s="1484"/>
    </row>
    <row r="71" spans="1:36" s="1483" customFormat="1" ht="14.25">
      <c r="A71" s="3312" t="s">
        <v>1816</v>
      </c>
      <c r="B71" s="3313"/>
      <c r="C71" s="1607"/>
      <c r="D71" s="1607" t="s">
        <v>1817</v>
      </c>
      <c r="E71" s="58" t="s">
        <v>1818</v>
      </c>
      <c r="F71" s="59"/>
      <c r="G71" s="59"/>
      <c r="H71" s="60"/>
      <c r="I71" s="1485"/>
      <c r="J71" s="2854"/>
      <c r="P71" s="976"/>
      <c r="Q71" s="976"/>
      <c r="R71" s="976"/>
      <c r="S71" s="976"/>
      <c r="T71" s="976"/>
      <c r="U71" s="976"/>
      <c r="V71" s="976"/>
      <c r="W71" s="976"/>
      <c r="X71" s="976"/>
      <c r="Y71" s="976"/>
      <c r="Z71" s="976"/>
      <c r="AA71" s="976"/>
      <c r="AB71" s="1484"/>
      <c r="AC71" s="1484"/>
      <c r="AD71" s="1484"/>
      <c r="AE71" s="1484"/>
      <c r="AF71" s="1484"/>
      <c r="AG71" s="1484"/>
      <c r="AH71" s="1484"/>
      <c r="AI71" s="1484"/>
      <c r="AJ71" s="1484"/>
    </row>
    <row r="72" spans="1:36" s="1483" customFormat="1" ht="14.25">
      <c r="A72" s="61">
        <v>1</v>
      </c>
      <c r="B72" s="54" t="s">
        <v>1837</v>
      </c>
      <c r="C72" s="2787" t="e">
        <f ca="1">ROUND(D45/(1+'数据-取费表'!F30),0)</f>
        <v>#REF!</v>
      </c>
      <c r="D72" s="50" t="s">
        <v>41</v>
      </c>
      <c r="E72" s="12" t="s">
        <v>1838</v>
      </c>
      <c r="F72" s="2089"/>
      <c r="G72" s="2089"/>
      <c r="H72" s="62"/>
      <c r="I72" s="1485"/>
      <c r="J72" s="2854"/>
      <c r="P72" s="976"/>
      <c r="Q72" s="976"/>
      <c r="R72" s="976"/>
      <c r="S72" s="976"/>
      <c r="T72" s="976"/>
      <c r="U72" s="976"/>
      <c r="V72" s="976"/>
      <c r="W72" s="976"/>
      <c r="X72" s="976"/>
      <c r="Y72" s="976"/>
      <c r="Z72" s="976"/>
      <c r="AA72" s="976"/>
      <c r="AB72" s="1484"/>
      <c r="AC72" s="1484"/>
      <c r="AD72" s="1484"/>
      <c r="AE72" s="1484"/>
      <c r="AF72" s="1484"/>
      <c r="AG72" s="1484"/>
      <c r="AH72" s="1484"/>
      <c r="AI72" s="1484"/>
      <c r="AJ72" s="1484"/>
    </row>
    <row r="73" spans="1:36" s="1483" customFormat="1" ht="14.25">
      <c r="A73" s="63">
        <v>2</v>
      </c>
      <c r="B73" s="41" t="s">
        <v>1839</v>
      </c>
      <c r="C73" s="2787" t="e">
        <f ca="1">C74+C78</f>
        <v>#REF!</v>
      </c>
      <c r="D73" s="50" t="s">
        <v>41</v>
      </c>
      <c r="E73" s="2088"/>
      <c r="F73" s="2089"/>
      <c r="G73" s="2089"/>
      <c r="H73" s="62"/>
      <c r="I73" s="1485"/>
      <c r="J73" s="2854"/>
      <c r="P73" s="976"/>
      <c r="Q73" s="976"/>
      <c r="R73" s="976"/>
      <c r="S73" s="976"/>
      <c r="T73" s="976"/>
      <c r="U73" s="976"/>
      <c r="V73" s="976"/>
      <c r="W73" s="976"/>
      <c r="X73" s="976"/>
      <c r="Y73" s="976"/>
      <c r="Z73" s="976"/>
      <c r="AA73" s="976"/>
      <c r="AB73" s="1484"/>
      <c r="AC73" s="1484"/>
      <c r="AD73" s="1484"/>
      <c r="AE73" s="1484"/>
      <c r="AF73" s="1484"/>
      <c r="AG73" s="1484"/>
      <c r="AH73" s="1484"/>
      <c r="AI73" s="1484"/>
      <c r="AJ73" s="1484"/>
    </row>
    <row r="74" spans="1:36" s="1483" customFormat="1" ht="24">
      <c r="A74" s="49" t="s">
        <v>73</v>
      </c>
      <c r="B74" s="50" t="s">
        <v>1840</v>
      </c>
      <c r="C74" s="50">
        <f>ROUND(IF(G77="2016年5月1日后购买",C75/(1+'数据-取费表'!F30)+C76+C77,C75+C76+C77),0)</f>
        <v>0</v>
      </c>
      <c r="D74" s="50" t="s">
        <v>41</v>
      </c>
      <c r="E74" s="2088"/>
      <c r="F74" s="2089"/>
      <c r="G74" s="2089"/>
      <c r="H74" s="62"/>
      <c r="I74" s="1485"/>
      <c r="J74" s="2854"/>
      <c r="P74" s="976"/>
      <c r="Q74" s="976"/>
      <c r="R74" s="976"/>
      <c r="S74" s="976"/>
      <c r="T74" s="976"/>
      <c r="U74" s="976"/>
      <c r="V74" s="976"/>
      <c r="W74" s="976"/>
      <c r="X74" s="976"/>
      <c r="Y74" s="976"/>
      <c r="Z74" s="976"/>
      <c r="AA74" s="976"/>
      <c r="AB74" s="1484"/>
      <c r="AC74" s="1484"/>
      <c r="AD74" s="1484"/>
      <c r="AE74" s="1484"/>
      <c r="AF74" s="1484"/>
      <c r="AG74" s="1484"/>
      <c r="AH74" s="1484"/>
      <c r="AI74" s="1484"/>
      <c r="AJ74" s="1484"/>
    </row>
    <row r="75" spans="1:36" s="1483" customFormat="1" ht="14.25">
      <c r="A75" s="49" t="s">
        <v>74</v>
      </c>
      <c r="B75" s="50" t="s">
        <v>1841</v>
      </c>
      <c r="C75" s="2268"/>
      <c r="D75" s="50" t="s">
        <v>41</v>
      </c>
      <c r="E75" s="64" t="s">
        <v>1842</v>
      </c>
      <c r="F75" s="2791" t="s">
        <v>1843</v>
      </c>
      <c r="G75" s="64" t="s">
        <v>1844</v>
      </c>
      <c r="H75" s="2792"/>
      <c r="I75" s="9"/>
      <c r="J75" s="2855"/>
      <c r="P75" s="976"/>
      <c r="Q75" s="976"/>
      <c r="R75" s="976"/>
      <c r="S75" s="976"/>
      <c r="T75" s="976"/>
      <c r="U75" s="976"/>
      <c r="V75" s="976"/>
      <c r="W75" s="976"/>
      <c r="X75" s="976"/>
      <c r="Y75" s="976"/>
      <c r="Z75" s="976"/>
      <c r="AA75" s="976"/>
      <c r="AB75" s="1484"/>
      <c r="AC75" s="1484"/>
      <c r="AD75" s="1484"/>
      <c r="AE75" s="1484"/>
      <c r="AF75" s="1484"/>
      <c r="AG75" s="1484"/>
      <c r="AH75" s="1484"/>
      <c r="AI75" s="1484"/>
      <c r="AJ75" s="1484"/>
    </row>
    <row r="76" spans="1:36" s="1483" customFormat="1" ht="24.75" customHeight="1">
      <c r="A76" s="49" t="s">
        <v>75</v>
      </c>
      <c r="B76" s="65" t="s">
        <v>1845</v>
      </c>
      <c r="C76" s="50">
        <f>IF(F75="购房发票",ROUND(C75*H75*D76,0),0)</f>
        <v>0</v>
      </c>
      <c r="D76" s="2793">
        <v>0.05</v>
      </c>
      <c r="E76" s="3255" t="s">
        <v>1846</v>
      </c>
      <c r="F76" s="3293"/>
      <c r="G76" s="3293"/>
      <c r="H76" s="3307"/>
      <c r="I76" s="1485"/>
      <c r="J76" s="2854"/>
      <c r="P76" s="976"/>
      <c r="Q76" s="976"/>
      <c r="R76" s="976"/>
      <c r="S76" s="976"/>
      <c r="T76" s="976"/>
      <c r="U76" s="976"/>
      <c r="V76" s="976"/>
      <c r="W76" s="976"/>
      <c r="X76" s="976"/>
      <c r="Y76" s="976"/>
      <c r="Z76" s="976"/>
      <c r="AA76" s="976"/>
      <c r="AB76" s="1484"/>
      <c r="AC76" s="1484"/>
      <c r="AD76" s="1484"/>
      <c r="AE76" s="1484"/>
      <c r="AF76" s="1484"/>
      <c r="AG76" s="1484"/>
      <c r="AH76" s="1484"/>
      <c r="AI76" s="1484"/>
      <c r="AJ76" s="1484"/>
    </row>
    <row r="77" spans="1:36" s="1483" customFormat="1" ht="24.75" customHeight="1">
      <c r="A77" s="49" t="s">
        <v>76</v>
      </c>
      <c r="B77" s="50" t="s">
        <v>1847</v>
      </c>
      <c r="C77" s="50">
        <f>ROUND(IF(G77="个人住宅",0,IF(G77="2016年5月1日前购买",C75*D77,C75*D77/(1+'数据-取费表'!F30))),0)</f>
        <v>0</v>
      </c>
      <c r="D77" s="2794">
        <f>'数据-取费表'!E36+'数据-取费表'!E37</f>
        <v>3.0499999999999999E-2</v>
      </c>
      <c r="E77" s="12" t="s">
        <v>1848</v>
      </c>
      <c r="F77" s="2095"/>
      <c r="G77" s="1486" t="s">
        <v>1849</v>
      </c>
      <c r="H77" s="2090" t="str">
        <f>IF(G77="个人买卖住房","免征印花税"," ")</f>
        <v xml:space="preserve"> </v>
      </c>
      <c r="I77" s="1485"/>
      <c r="J77" s="2854"/>
      <c r="K77" s="976"/>
      <c r="L77" s="976"/>
      <c r="M77" s="976"/>
      <c r="N77" s="976"/>
      <c r="O77" s="976"/>
      <c r="P77" s="976"/>
      <c r="Q77" s="976"/>
      <c r="R77" s="976"/>
      <c r="S77" s="976"/>
      <c r="T77" s="976"/>
      <c r="U77" s="976"/>
      <c r="V77" s="976"/>
      <c r="W77" s="976"/>
      <c r="X77" s="976"/>
      <c r="Y77" s="976"/>
      <c r="Z77" s="976"/>
      <c r="AA77" s="976"/>
      <c r="AB77" s="1484"/>
      <c r="AC77" s="1484"/>
      <c r="AD77" s="1484"/>
      <c r="AE77" s="1484"/>
      <c r="AF77" s="1484"/>
      <c r="AG77" s="1484"/>
      <c r="AH77" s="1484"/>
      <c r="AI77" s="1484"/>
      <c r="AJ77" s="1484"/>
    </row>
    <row r="78" spans="1:36" s="1483" customFormat="1" ht="24.75" customHeight="1">
      <c r="A78" s="49" t="s">
        <v>77</v>
      </c>
      <c r="B78" s="50" t="s">
        <v>1850</v>
      </c>
      <c r="C78" s="2795" t="e">
        <f ca="1">ROUND(D45*D78/(1+'数据-取费表'!F30),0)</f>
        <v>#REF!</v>
      </c>
      <c r="D78" s="2796">
        <f>'数据-取费表'!E31</f>
        <v>6.000000000000001E-3</v>
      </c>
      <c r="E78" s="3287" t="s">
        <v>1851</v>
      </c>
      <c r="F78" s="3288"/>
      <c r="G78" s="3288"/>
      <c r="H78" s="3289"/>
      <c r="I78" s="1487"/>
      <c r="J78" s="2856"/>
      <c r="K78" s="976"/>
      <c r="L78" s="976"/>
      <c r="M78" s="976"/>
      <c r="N78" s="976"/>
      <c r="O78" s="976"/>
      <c r="P78" s="976"/>
      <c r="Q78" s="976"/>
      <c r="R78" s="976"/>
      <c r="S78" s="976"/>
      <c r="T78" s="976"/>
      <c r="U78" s="976"/>
      <c r="V78" s="976"/>
      <c r="W78" s="976"/>
      <c r="X78" s="976"/>
      <c r="Y78" s="976"/>
      <c r="Z78" s="976"/>
      <c r="AA78" s="976"/>
      <c r="AB78" s="1484"/>
      <c r="AC78" s="1484"/>
      <c r="AD78" s="1484"/>
      <c r="AE78" s="1484"/>
      <c r="AF78" s="1484"/>
      <c r="AG78" s="1484"/>
      <c r="AH78" s="1484"/>
      <c r="AI78" s="1484"/>
      <c r="AJ78" s="1484"/>
    </row>
    <row r="79" spans="1:36" s="1483" customFormat="1" ht="14.25">
      <c r="A79" s="53" t="s">
        <v>42</v>
      </c>
      <c r="B79" s="54" t="s">
        <v>1852</v>
      </c>
      <c r="C79" s="2787" t="e">
        <f ca="1">C72-C73</f>
        <v>#REF!</v>
      </c>
      <c r="D79" s="50" t="s">
        <v>41</v>
      </c>
      <c r="E79" s="2088"/>
      <c r="F79" s="2089"/>
      <c r="G79" s="2089"/>
      <c r="H79" s="62"/>
      <c r="I79" s="1485"/>
      <c r="J79" s="2854"/>
      <c r="K79" s="976"/>
      <c r="L79" s="976"/>
      <c r="M79" s="976"/>
      <c r="N79" s="976"/>
      <c r="O79" s="976"/>
      <c r="P79" s="976"/>
      <c r="Q79" s="976"/>
      <c r="R79" s="976"/>
      <c r="S79" s="976"/>
      <c r="T79" s="976"/>
      <c r="U79" s="976"/>
      <c r="V79" s="976"/>
      <c r="W79" s="976"/>
      <c r="X79" s="976"/>
      <c r="Y79" s="976"/>
      <c r="Z79" s="976"/>
      <c r="AA79" s="976"/>
      <c r="AB79" s="1484"/>
      <c r="AC79" s="1484"/>
      <c r="AD79" s="1484"/>
      <c r="AE79" s="1484"/>
      <c r="AF79" s="1484"/>
      <c r="AG79" s="1484"/>
      <c r="AH79" s="1484"/>
      <c r="AI79" s="1484"/>
      <c r="AJ79" s="1484"/>
    </row>
    <row r="80" spans="1:36" s="1483" customFormat="1" ht="24">
      <c r="A80" s="53" t="s">
        <v>43</v>
      </c>
      <c r="B80" s="54" t="s">
        <v>1853</v>
      </c>
      <c r="C80" s="2797" t="e">
        <f ca="1">IF(C79&lt;=0,0,C79/C73)</f>
        <v>#REF!</v>
      </c>
      <c r="D80" s="50" t="s">
        <v>41</v>
      </c>
      <c r="E80" s="12" t="e">
        <f ca="1">IF(C80&gt;=200%,"增值额超过扣除项目金额200%",IF(C80&gt;=100%,"增值额超过扣除项目金额100%，未超过200%",IF(C80&gt;=50%,"增值额超过扣除项目金额50%，未超过100%",IF(C80&lt;50%,"增值额未超过扣除项目金额50%"))))</f>
        <v>#REF!</v>
      </c>
      <c r="F80" s="2089"/>
      <c r="G80" s="2089"/>
      <c r="H80" s="62"/>
      <c r="I80" s="1485"/>
      <c r="J80" s="2854"/>
      <c r="K80" s="976"/>
      <c r="L80" s="976"/>
      <c r="M80" s="976"/>
      <c r="N80" s="976"/>
      <c r="O80" s="976"/>
      <c r="P80" s="976"/>
      <c r="Q80" s="976"/>
      <c r="R80" s="976"/>
      <c r="S80" s="976"/>
      <c r="T80" s="976"/>
      <c r="U80" s="976"/>
      <c r="V80" s="976"/>
      <c r="W80" s="976"/>
      <c r="X80" s="976"/>
      <c r="Y80" s="976"/>
      <c r="Z80" s="976"/>
      <c r="AA80" s="976"/>
      <c r="AB80" s="1484"/>
      <c r="AC80" s="1484"/>
      <c r="AD80" s="1484"/>
      <c r="AE80" s="1484"/>
      <c r="AF80" s="1484"/>
      <c r="AG80" s="1484"/>
      <c r="AH80" s="1484"/>
      <c r="AI80" s="1484"/>
      <c r="AJ80" s="1484"/>
    </row>
    <row r="81" spans="1:36" s="1483" customFormat="1" ht="24.75" thickBot="1">
      <c r="A81" s="55" t="s">
        <v>44</v>
      </c>
      <c r="B81" s="56" t="s">
        <v>1854</v>
      </c>
      <c r="C81" s="2798" t="e">
        <f ca="1">ROUND(IF(C79&lt;=0,0,IF(C80&gt;=200%,C79*60%-C73*35%,IF(C80&gt;=100%,C79*50%-C73*15%,IF(C80&gt;=50%,C79*40%-C73*5%,IF(C80&lt;50%,C79*30%,0))))),0)</f>
        <v>#REF!</v>
      </c>
      <c r="D81" s="2172" t="s">
        <v>41</v>
      </c>
      <c r="E81" s="69" t="e">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#REF!</v>
      </c>
      <c r="F81" s="70"/>
      <c r="G81" s="70"/>
      <c r="H81" s="71"/>
      <c r="I81" s="1485"/>
      <c r="J81" s="2854"/>
      <c r="K81" s="976"/>
      <c r="L81" s="976"/>
      <c r="M81" s="976"/>
      <c r="N81" s="976"/>
      <c r="O81" s="976"/>
      <c r="P81" s="976"/>
      <c r="Q81" s="976"/>
      <c r="R81" s="976"/>
      <c r="S81" s="976"/>
      <c r="T81" s="976"/>
      <c r="U81" s="976"/>
      <c r="V81" s="976"/>
      <c r="W81" s="976"/>
      <c r="X81" s="976"/>
      <c r="Y81" s="976"/>
      <c r="Z81" s="976"/>
      <c r="AA81" s="976"/>
      <c r="AB81" s="1484"/>
      <c r="AC81" s="1484"/>
      <c r="AD81" s="1484"/>
      <c r="AE81" s="1484"/>
      <c r="AF81" s="1484"/>
      <c r="AG81" s="1484"/>
      <c r="AH81" s="1484"/>
      <c r="AI81" s="1484"/>
      <c r="AJ81" s="1484"/>
    </row>
    <row r="82" spans="1:36" s="1483" customFormat="1" ht="7.5" customHeight="1">
      <c r="A82" s="607"/>
      <c r="B82" s="608"/>
      <c r="C82" s="9"/>
      <c r="D82" s="9"/>
      <c r="E82" s="608"/>
      <c r="F82" s="608"/>
      <c r="G82" s="608"/>
      <c r="H82" s="609"/>
      <c r="I82" s="1487"/>
      <c r="J82" s="2856"/>
      <c r="K82" s="976"/>
      <c r="L82" s="976"/>
      <c r="M82" s="976"/>
      <c r="N82" s="976"/>
      <c r="O82" s="976"/>
      <c r="P82" s="976"/>
      <c r="Q82" s="976"/>
      <c r="R82" s="976"/>
      <c r="S82" s="976"/>
      <c r="T82" s="976"/>
      <c r="U82" s="976"/>
      <c r="V82" s="976"/>
      <c r="W82" s="976"/>
      <c r="X82" s="976"/>
      <c r="Y82" s="976"/>
      <c r="Z82" s="976"/>
      <c r="AA82" s="976"/>
      <c r="AB82" s="1484"/>
      <c r="AC82" s="1484"/>
      <c r="AD82" s="1484"/>
      <c r="AE82" s="1484"/>
      <c r="AF82" s="1484"/>
      <c r="AG82" s="1484"/>
      <c r="AH82" s="1484"/>
      <c r="AI82" s="1484"/>
      <c r="AJ82" s="1484"/>
    </row>
    <row r="83" spans="1:36" s="1483" customFormat="1" ht="15" thickBot="1">
      <c r="A83" s="3315" t="s">
        <v>1855</v>
      </c>
      <c r="B83" s="3316"/>
      <c r="C83" s="3316"/>
      <c r="D83" s="3316"/>
      <c r="E83" s="3316"/>
      <c r="F83" s="3316"/>
      <c r="G83" s="3316"/>
      <c r="H83" s="3316"/>
      <c r="I83" s="9"/>
      <c r="J83" s="2855"/>
      <c r="K83" s="976"/>
      <c r="L83" s="976"/>
      <c r="M83" s="976"/>
      <c r="N83" s="976"/>
      <c r="O83" s="976"/>
      <c r="P83" s="976"/>
      <c r="Q83" s="976"/>
      <c r="R83" s="976"/>
      <c r="S83" s="976"/>
      <c r="T83" s="976"/>
      <c r="U83" s="976"/>
      <c r="V83" s="976"/>
      <c r="W83" s="976"/>
      <c r="X83" s="976"/>
      <c r="Y83" s="976"/>
      <c r="Z83" s="976"/>
      <c r="AA83" s="976"/>
      <c r="AB83" s="1484"/>
      <c r="AC83" s="1484"/>
      <c r="AD83" s="1484"/>
      <c r="AE83" s="1484"/>
      <c r="AF83" s="1484"/>
      <c r="AG83" s="1484"/>
      <c r="AH83" s="1484"/>
      <c r="AI83" s="1484"/>
      <c r="AJ83" s="1484"/>
    </row>
    <row r="84" spans="1:36" s="1483" customFormat="1" ht="14.25">
      <c r="A84" s="3312" t="s">
        <v>1816</v>
      </c>
      <c r="B84" s="3313"/>
      <c r="C84" s="1607"/>
      <c r="D84" s="1607" t="s">
        <v>1817</v>
      </c>
      <c r="E84" s="58" t="s">
        <v>1818</v>
      </c>
      <c r="F84" s="59"/>
      <c r="G84" s="59"/>
      <c r="H84" s="72"/>
      <c r="I84" s="9"/>
      <c r="J84" s="2855"/>
      <c r="K84" s="976"/>
      <c r="L84" s="976"/>
      <c r="M84" s="976"/>
      <c r="N84" s="976"/>
      <c r="O84" s="976"/>
      <c r="P84" s="976"/>
      <c r="Q84" s="976"/>
      <c r="R84" s="976"/>
      <c r="S84" s="976"/>
      <c r="T84" s="976"/>
      <c r="U84" s="976"/>
      <c r="V84" s="976"/>
      <c r="W84" s="976"/>
      <c r="X84" s="976"/>
      <c r="Y84" s="976"/>
      <c r="Z84" s="976"/>
      <c r="AA84" s="976"/>
      <c r="AB84" s="1484"/>
      <c r="AC84" s="1484"/>
      <c r="AD84" s="1484"/>
      <c r="AE84" s="1484"/>
      <c r="AF84" s="1484"/>
      <c r="AG84" s="1484"/>
      <c r="AH84" s="1484"/>
      <c r="AI84" s="1484"/>
      <c r="AJ84" s="1484"/>
    </row>
    <row r="85" spans="1:36" s="1483" customFormat="1" ht="24">
      <c r="A85" s="61">
        <v>1</v>
      </c>
      <c r="B85" s="54" t="s">
        <v>1837</v>
      </c>
      <c r="C85" s="2787" t="e">
        <f ca="1">ROUND(D45/(1+'数据-取费表'!F30),0)</f>
        <v>#REF!</v>
      </c>
      <c r="D85" s="50" t="s">
        <v>41</v>
      </c>
      <c r="E85" s="2088" t="s">
        <v>1838</v>
      </c>
      <c r="F85" s="2089"/>
      <c r="G85" s="2089"/>
      <c r="H85" s="73"/>
      <c r="I85" s="9"/>
      <c r="J85" s="2855"/>
      <c r="K85" s="976"/>
      <c r="L85" s="976"/>
      <c r="M85" s="976"/>
      <c r="N85" s="976"/>
      <c r="O85" s="976"/>
      <c r="P85" s="976"/>
      <c r="Q85" s="976"/>
      <c r="R85" s="976"/>
      <c r="S85" s="976"/>
      <c r="T85" s="976"/>
      <c r="U85" s="976"/>
      <c r="V85" s="976"/>
      <c r="W85" s="976"/>
      <c r="X85" s="976"/>
      <c r="Y85" s="976"/>
      <c r="Z85" s="976"/>
      <c r="AA85" s="976"/>
      <c r="AB85" s="1484"/>
      <c r="AC85" s="1484"/>
      <c r="AD85" s="1484"/>
      <c r="AE85" s="1484"/>
      <c r="AF85" s="1484"/>
      <c r="AG85" s="1484"/>
      <c r="AH85" s="1484"/>
      <c r="AI85" s="1484"/>
      <c r="AJ85" s="1484"/>
    </row>
    <row r="86" spans="1:36" s="1483" customFormat="1" ht="14.25">
      <c r="A86" s="63">
        <v>2</v>
      </c>
      <c r="B86" s="41" t="s">
        <v>1839</v>
      </c>
      <c r="C86" s="2787" t="e">
        <f ca="1">IF(H88="仅含出让金",C87+C90+C91+C92+C93+C94,C87+C91+C92+C93+C94)</f>
        <v>#REF!</v>
      </c>
      <c r="D86" s="2799"/>
      <c r="E86" s="2088"/>
      <c r="F86" s="2089"/>
      <c r="G86" s="2089"/>
      <c r="H86" s="73"/>
      <c r="I86" s="9"/>
      <c r="J86" s="2855"/>
      <c r="K86" s="976"/>
      <c r="L86" s="976"/>
      <c r="M86" s="976"/>
      <c r="N86" s="976"/>
      <c r="O86" s="976"/>
      <c r="P86" s="976"/>
      <c r="Q86" s="976"/>
      <c r="R86" s="976"/>
      <c r="S86" s="976"/>
      <c r="T86" s="976"/>
      <c r="U86" s="976"/>
      <c r="V86" s="976"/>
      <c r="W86" s="976"/>
      <c r="X86" s="976"/>
      <c r="Y86" s="976"/>
      <c r="Z86" s="976"/>
      <c r="AA86" s="976"/>
      <c r="AB86" s="1484"/>
      <c r="AC86" s="1484"/>
      <c r="AD86" s="1484"/>
      <c r="AE86" s="1484"/>
      <c r="AF86" s="1484"/>
      <c r="AG86" s="1484"/>
      <c r="AH86" s="1484"/>
      <c r="AI86" s="1484"/>
      <c r="AJ86" s="1484"/>
    </row>
    <row r="87" spans="1:36" s="1483" customFormat="1" ht="14.25">
      <c r="A87" s="49" t="s">
        <v>73</v>
      </c>
      <c r="B87" s="50" t="s">
        <v>1856</v>
      </c>
      <c r="C87" s="2795">
        <f>C88+C89</f>
        <v>0</v>
      </c>
      <c r="D87" s="2796"/>
      <c r="E87" s="2085"/>
      <c r="F87" s="2086"/>
      <c r="G87" s="2086"/>
      <c r="H87" s="2087"/>
      <c r="I87" s="9"/>
      <c r="J87" s="2855"/>
      <c r="K87" s="976"/>
      <c r="L87" s="976"/>
      <c r="M87" s="976"/>
      <c r="N87" s="976"/>
      <c r="O87" s="976"/>
      <c r="P87" s="976"/>
      <c r="Q87" s="976"/>
      <c r="R87" s="976"/>
      <c r="S87" s="976"/>
      <c r="T87" s="976"/>
      <c r="U87" s="976"/>
      <c r="V87" s="976"/>
      <c r="W87" s="976"/>
      <c r="X87" s="976"/>
      <c r="Y87" s="976"/>
      <c r="Z87" s="976"/>
      <c r="AA87" s="976"/>
      <c r="AB87" s="1484"/>
      <c r="AC87" s="1484"/>
      <c r="AD87" s="1484"/>
      <c r="AE87" s="1484"/>
      <c r="AF87" s="1484"/>
      <c r="AG87" s="1484"/>
      <c r="AH87" s="1484"/>
      <c r="AI87" s="1484"/>
      <c r="AJ87" s="1484"/>
    </row>
    <row r="88" spans="1:36" s="1483" customFormat="1" ht="14.25">
      <c r="A88" s="49" t="s">
        <v>74</v>
      </c>
      <c r="B88" s="50" t="s">
        <v>1857</v>
      </c>
      <c r="C88" s="2800"/>
      <c r="D88" s="2796"/>
      <c r="E88" s="74" t="s">
        <v>1858</v>
      </c>
      <c r="F88" s="2086"/>
      <c r="G88" s="75" t="s">
        <v>1859</v>
      </c>
      <c r="H88" s="1488"/>
      <c r="I88" s="9"/>
      <c r="J88" s="2855"/>
      <c r="K88" s="2971" t="s">
        <v>2819</v>
      </c>
      <c r="L88" s="1484"/>
      <c r="M88" s="1484"/>
      <c r="N88" s="1484"/>
      <c r="O88" s="1484"/>
      <c r="P88" s="1484"/>
      <c r="Q88" s="1484"/>
      <c r="R88" s="1484"/>
      <c r="S88" s="1484"/>
      <c r="T88" s="976"/>
      <c r="U88" s="976"/>
      <c r="V88" s="976"/>
      <c r="W88" s="976"/>
      <c r="X88" s="976"/>
      <c r="Y88" s="976"/>
      <c r="Z88" s="976"/>
      <c r="AA88" s="976"/>
      <c r="AB88" s="1484"/>
      <c r="AC88" s="1484"/>
      <c r="AD88" s="1484"/>
      <c r="AE88" s="1484"/>
      <c r="AF88" s="1484"/>
      <c r="AG88" s="1484"/>
      <c r="AH88" s="1484"/>
      <c r="AI88" s="1484"/>
      <c r="AJ88" s="1484"/>
    </row>
    <row r="89" spans="1:36" s="1483" customFormat="1" ht="14.25">
      <c r="A89" s="49" t="s">
        <v>75</v>
      </c>
      <c r="B89" s="50" t="s">
        <v>1847</v>
      </c>
      <c r="C89" s="2795">
        <f>ROUND(C88*D89,0)</f>
        <v>0</v>
      </c>
      <c r="D89" s="2796">
        <f>'数据-取费表'!E36+'数据-取费表'!E37</f>
        <v>3.0499999999999999E-2</v>
      </c>
      <c r="E89" s="74" t="s">
        <v>1860</v>
      </c>
      <c r="F89" s="2086"/>
      <c r="G89" s="2086"/>
      <c r="H89" s="2087"/>
      <c r="I89" s="9"/>
      <c r="J89" s="2855"/>
      <c r="K89" s="976"/>
      <c r="L89" s="976"/>
      <c r="M89" s="976"/>
      <c r="N89" s="976"/>
      <c r="O89" s="976"/>
      <c r="P89" s="976"/>
      <c r="Q89" s="976"/>
      <c r="R89" s="976"/>
      <c r="S89" s="976"/>
      <c r="T89" s="976"/>
      <c r="U89" s="976"/>
      <c r="V89" s="976"/>
      <c r="W89" s="976"/>
      <c r="X89" s="976"/>
      <c r="Y89" s="976"/>
      <c r="Z89" s="976"/>
      <c r="AA89" s="976"/>
      <c r="AB89" s="1484"/>
      <c r="AC89" s="1484"/>
      <c r="AD89" s="1484"/>
      <c r="AE89" s="1484"/>
      <c r="AF89" s="1484"/>
      <c r="AG89" s="1484"/>
      <c r="AH89" s="1484"/>
      <c r="AI89" s="1484"/>
      <c r="AJ89" s="1484"/>
    </row>
    <row r="90" spans="1:36" s="1483" customFormat="1" ht="24" customHeight="1">
      <c r="A90" s="49" t="s">
        <v>77</v>
      </c>
      <c r="B90" s="50" t="s">
        <v>1861</v>
      </c>
      <c r="C90" s="2800"/>
      <c r="D90" s="2796"/>
      <c r="E90" s="74" t="str">
        <f>IF(H88="-","土地取得成本中已包含该笔费用"," ")</f>
        <v xml:space="preserve"> </v>
      </c>
      <c r="F90" s="2086"/>
      <c r="G90" s="3348" t="s">
        <v>2735</v>
      </c>
      <c r="H90" s="3348"/>
      <c r="I90" s="9"/>
      <c r="J90" s="2855"/>
      <c r="K90" s="2971" t="s">
        <v>2820</v>
      </c>
      <c r="L90" s="1484"/>
      <c r="M90" s="1484"/>
      <c r="N90" s="1484"/>
      <c r="O90" s="1484"/>
      <c r="P90" s="1484"/>
      <c r="Q90" s="1484"/>
      <c r="R90" s="1484"/>
      <c r="S90" s="1484"/>
      <c r="T90" s="1484"/>
      <c r="U90" s="976"/>
      <c r="V90" s="976"/>
      <c r="W90" s="976"/>
      <c r="X90" s="976"/>
      <c r="Y90" s="976"/>
      <c r="Z90" s="976"/>
      <c r="AA90" s="976"/>
      <c r="AB90" s="1484"/>
      <c r="AC90" s="1484"/>
      <c r="AD90" s="1484"/>
      <c r="AE90" s="1484"/>
      <c r="AF90" s="1484"/>
      <c r="AG90" s="1484"/>
      <c r="AH90" s="1484"/>
      <c r="AI90" s="1484"/>
      <c r="AJ90" s="1484"/>
    </row>
    <row r="91" spans="1:36" s="1483" customFormat="1" ht="30.75" customHeight="1">
      <c r="A91" s="49" t="s">
        <v>78</v>
      </c>
      <c r="B91" s="50" t="s">
        <v>1862</v>
      </c>
      <c r="C91" s="2795">
        <f>IF(H91="——",成本法!C33,I91)</f>
        <v>0</v>
      </c>
      <c r="D91" s="2796"/>
      <c r="E91" s="3287" t="s">
        <v>1863</v>
      </c>
      <c r="F91" s="3288"/>
      <c r="G91" s="3288"/>
      <c r="H91" s="1489" t="s">
        <v>1864</v>
      </c>
      <c r="I91" s="1490"/>
      <c r="J91" s="2857"/>
      <c r="K91" s="976"/>
      <c r="L91" s="976"/>
      <c r="M91" s="976"/>
      <c r="N91" s="976"/>
      <c r="O91" s="976"/>
      <c r="P91" s="976"/>
      <c r="Q91" s="976"/>
      <c r="R91" s="976"/>
      <c r="S91" s="976"/>
      <c r="T91" s="976"/>
      <c r="U91" s="976"/>
      <c r="V91" s="976"/>
      <c r="W91" s="976"/>
      <c r="X91" s="976"/>
      <c r="Y91" s="976"/>
      <c r="Z91" s="976"/>
      <c r="AA91" s="976"/>
      <c r="AB91" s="1484"/>
      <c r="AC91" s="1484"/>
      <c r="AD91" s="1484"/>
      <c r="AE91" s="1484"/>
      <c r="AF91" s="1484"/>
      <c r="AG91" s="1484"/>
      <c r="AH91" s="1484"/>
      <c r="AI91" s="1484"/>
      <c r="AJ91" s="1484"/>
    </row>
    <row r="92" spans="1:36" s="1483" customFormat="1" ht="25.5" customHeight="1">
      <c r="A92" s="49" t="s">
        <v>79</v>
      </c>
      <c r="B92" s="50" t="s">
        <v>1865</v>
      </c>
      <c r="C92" s="2795">
        <f>ROUND((C87+C90+C91)*D92,0)</f>
        <v>0</v>
      </c>
      <c r="D92" s="2839">
        <v>0.1</v>
      </c>
      <c r="E92" s="3287" t="s">
        <v>1866</v>
      </c>
      <c r="F92" s="3288"/>
      <c r="G92" s="3288"/>
      <c r="H92" s="3289"/>
      <c r="I92" s="9"/>
      <c r="J92" s="2855"/>
      <c r="K92" s="2972" t="s">
        <v>2821</v>
      </c>
      <c r="L92" s="1484"/>
      <c r="M92" s="1484"/>
      <c r="N92" s="1484"/>
      <c r="O92" s="1484"/>
      <c r="P92" s="1484"/>
      <c r="Q92" s="976"/>
      <c r="R92" s="976"/>
      <c r="S92" s="976"/>
      <c r="T92" s="976"/>
      <c r="U92" s="976"/>
      <c r="V92" s="976"/>
      <c r="W92" s="976"/>
      <c r="X92" s="976"/>
      <c r="Y92" s="976"/>
      <c r="Z92" s="976"/>
      <c r="AA92" s="976"/>
      <c r="AB92" s="1484"/>
      <c r="AC92" s="1484"/>
      <c r="AD92" s="1484"/>
      <c r="AE92" s="1484"/>
      <c r="AF92" s="1484"/>
      <c r="AG92" s="1484"/>
      <c r="AH92" s="1484"/>
      <c r="AI92" s="1484"/>
      <c r="AJ92" s="1484"/>
    </row>
    <row r="93" spans="1:36" s="1483" customFormat="1" ht="25.5" customHeight="1">
      <c r="A93" s="49" t="s">
        <v>80</v>
      </c>
      <c r="B93" s="50" t="s">
        <v>1850</v>
      </c>
      <c r="C93" s="2795" t="e">
        <f ca="1">ROUND(D45*D93/(1+'数据-取费表'!F30),0)</f>
        <v>#REF!</v>
      </c>
      <c r="D93" s="2796">
        <f>'数据-取费表'!E31</f>
        <v>6.000000000000001E-3</v>
      </c>
      <c r="E93" s="3287" t="s">
        <v>1851</v>
      </c>
      <c r="F93" s="3288"/>
      <c r="G93" s="3288"/>
      <c r="H93" s="3289"/>
      <c r="I93" s="9"/>
      <c r="J93" s="2855"/>
      <c r="K93" s="976"/>
      <c r="L93" s="976"/>
      <c r="M93" s="976"/>
      <c r="N93" s="976"/>
      <c r="O93" s="976"/>
      <c r="P93" s="976"/>
      <c r="Q93" s="976"/>
      <c r="R93" s="976"/>
      <c r="S93" s="976"/>
      <c r="T93" s="976"/>
      <c r="U93" s="976"/>
      <c r="V93" s="976"/>
      <c r="W93" s="976"/>
      <c r="X93" s="976"/>
      <c r="Y93" s="976"/>
      <c r="Z93" s="976"/>
      <c r="AA93" s="976"/>
      <c r="AB93" s="1484"/>
      <c r="AC93" s="1484"/>
      <c r="AD93" s="1484"/>
      <c r="AE93" s="1484"/>
      <c r="AF93" s="1484"/>
      <c r="AG93" s="1484"/>
      <c r="AH93" s="1484"/>
      <c r="AI93" s="1484"/>
      <c r="AJ93" s="1484"/>
    </row>
    <row r="94" spans="1:36" s="1483" customFormat="1" ht="25.5" customHeight="1">
      <c r="A94" s="49" t="s">
        <v>81</v>
      </c>
      <c r="B94" s="50" t="s">
        <v>1867</v>
      </c>
      <c r="C94" s="2795">
        <f>ROUND((C87+C90+C91)*D94,0)</f>
        <v>0</v>
      </c>
      <c r="D94" s="2796">
        <v>0.2</v>
      </c>
      <c r="E94" s="3287" t="s">
        <v>1868</v>
      </c>
      <c r="F94" s="3288"/>
      <c r="G94" s="3288"/>
      <c r="H94" s="3289"/>
      <c r="I94" s="9"/>
      <c r="J94" s="2855"/>
      <c r="K94" s="976"/>
      <c r="L94" s="976"/>
      <c r="M94" s="976"/>
      <c r="N94" s="976"/>
      <c r="O94" s="976"/>
      <c r="P94" s="976"/>
      <c r="Q94" s="976"/>
      <c r="R94" s="976"/>
      <c r="S94" s="976"/>
      <c r="T94" s="976"/>
      <c r="U94" s="976"/>
      <c r="V94" s="976"/>
      <c r="W94" s="976"/>
      <c r="X94" s="976"/>
      <c r="Y94" s="976"/>
      <c r="Z94" s="976"/>
      <c r="AA94" s="976"/>
      <c r="AB94" s="1484"/>
      <c r="AC94" s="1484"/>
      <c r="AD94" s="1484"/>
      <c r="AE94" s="1484"/>
      <c r="AF94" s="1484"/>
      <c r="AG94" s="1484"/>
      <c r="AH94" s="1484"/>
      <c r="AI94" s="1484"/>
      <c r="AJ94" s="1484"/>
    </row>
    <row r="95" spans="1:36" s="1483" customFormat="1" ht="14.25">
      <c r="A95" s="53" t="s">
        <v>42</v>
      </c>
      <c r="B95" s="54" t="s">
        <v>1852</v>
      </c>
      <c r="C95" s="2787" t="e">
        <f ca="1">ROUND(C85-C86,0)</f>
        <v>#REF!</v>
      </c>
      <c r="D95" s="50" t="s">
        <v>41</v>
      </c>
      <c r="E95" s="2088"/>
      <c r="F95" s="2089"/>
      <c r="G95" s="2089"/>
      <c r="H95" s="73"/>
      <c r="I95" s="9"/>
      <c r="J95" s="2855"/>
      <c r="K95" s="976"/>
      <c r="L95" s="976"/>
      <c r="M95" s="976"/>
      <c r="N95" s="976"/>
      <c r="O95" s="976"/>
      <c r="P95" s="976"/>
      <c r="Q95" s="976"/>
      <c r="R95" s="976"/>
      <c r="S95" s="976"/>
      <c r="T95" s="976"/>
      <c r="U95" s="976"/>
      <c r="V95" s="976"/>
      <c r="W95" s="976"/>
      <c r="X95" s="976"/>
      <c r="Y95" s="976"/>
      <c r="Z95" s="976"/>
      <c r="AA95" s="976"/>
      <c r="AB95" s="1484"/>
      <c r="AC95" s="1484"/>
      <c r="AD95" s="1484"/>
      <c r="AE95" s="1484"/>
      <c r="AF95" s="1484"/>
      <c r="AG95" s="1484"/>
      <c r="AH95" s="1484"/>
      <c r="AI95" s="1484"/>
      <c r="AJ95" s="1484"/>
    </row>
    <row r="96" spans="1:36" s="1483" customFormat="1" ht="24">
      <c r="A96" s="53" t="s">
        <v>43</v>
      </c>
      <c r="B96" s="54" t="s">
        <v>1853</v>
      </c>
      <c r="C96" s="2797" t="e">
        <f ca="1">IF(C95&lt;=0,0,C95/C86)</f>
        <v>#REF!</v>
      </c>
      <c r="D96" s="50" t="s">
        <v>41</v>
      </c>
      <c r="E96" s="12" t="e">
        <f ca="1">IF(C96&gt;=200%,"增值额超过扣除项目金额200%",IF(C96&gt;=100%,"增值额超过扣除项目金额100%，未超过200%",IF(C96&gt;=50%,"增值额超过扣除项目金额50%，未超过100%",IF(C96&lt;50%,"增值额未超过扣除项目金额50%"))))</f>
        <v>#REF!</v>
      </c>
      <c r="F96" s="2089"/>
      <c r="G96" s="2089"/>
      <c r="H96" s="73"/>
      <c r="I96" s="9"/>
      <c r="J96" s="2855"/>
      <c r="K96" s="976"/>
      <c r="L96" s="976"/>
      <c r="M96" s="976"/>
      <c r="N96" s="976"/>
      <c r="O96" s="976"/>
      <c r="P96" s="976"/>
      <c r="Q96" s="976"/>
      <c r="R96" s="976"/>
      <c r="S96" s="976"/>
      <c r="T96" s="976"/>
      <c r="U96" s="976"/>
      <c r="V96" s="976"/>
      <c r="W96" s="976"/>
      <c r="X96" s="976"/>
      <c r="Y96" s="976"/>
      <c r="Z96" s="976"/>
      <c r="AA96" s="976"/>
      <c r="AB96" s="1484"/>
      <c r="AC96" s="1484"/>
      <c r="AD96" s="1484"/>
      <c r="AE96" s="1484"/>
      <c r="AF96" s="1484"/>
      <c r="AG96" s="1484"/>
      <c r="AH96" s="1484"/>
      <c r="AI96" s="1484"/>
      <c r="AJ96" s="1484"/>
    </row>
    <row r="97" spans="1:36" s="1483" customFormat="1" ht="24.75" thickBot="1">
      <c r="A97" s="55" t="s">
        <v>44</v>
      </c>
      <c r="B97" s="56" t="s">
        <v>1854</v>
      </c>
      <c r="C97" s="2798" t="e">
        <f ca="1">ROUND(IF(C95&lt;=0,0,IF(C96&gt;=200%,C95*60%-C86*35%,IF(C96&gt;=100%,C95*50%-C86*15%,IF(C96&gt;=50%,C95*40%-C86*5%,IF(C96&lt;50%,C95*30%,0))))),0)</f>
        <v>#REF!</v>
      </c>
      <c r="D97" s="2172" t="s">
        <v>41</v>
      </c>
      <c r="E97" s="69" t="e">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#REF!</v>
      </c>
      <c r="F97" s="70"/>
      <c r="G97" s="70"/>
      <c r="H97" s="76"/>
      <c r="I97" s="9"/>
      <c r="J97" s="2855"/>
      <c r="K97" s="976"/>
      <c r="L97" s="976"/>
      <c r="M97" s="976"/>
      <c r="N97" s="976"/>
      <c r="O97" s="976"/>
      <c r="P97" s="976"/>
      <c r="Q97" s="976"/>
      <c r="R97" s="976"/>
      <c r="S97" s="976"/>
      <c r="T97" s="976"/>
      <c r="U97" s="976"/>
      <c r="V97" s="976"/>
      <c r="W97" s="976"/>
      <c r="X97" s="976"/>
      <c r="Y97" s="976"/>
      <c r="Z97" s="976"/>
      <c r="AA97" s="976"/>
      <c r="AB97" s="1484"/>
      <c r="AC97" s="1484"/>
      <c r="AD97" s="1484"/>
      <c r="AE97" s="1484"/>
      <c r="AF97" s="1484"/>
      <c r="AG97" s="1484"/>
      <c r="AH97" s="1484"/>
      <c r="AI97" s="1484"/>
      <c r="AJ97" s="1484"/>
    </row>
    <row r="98" spans="1:36" ht="21.75" customHeight="1" thickBot="1">
      <c r="A98" s="1471" t="s">
        <v>1869</v>
      </c>
      <c r="B98" s="1461"/>
      <c r="C98" s="1461"/>
      <c r="D98" s="1461"/>
      <c r="E98" s="812"/>
      <c r="F98" s="812"/>
      <c r="G98" s="812"/>
      <c r="H98" s="1470"/>
      <c r="I98" s="1461"/>
    </row>
    <row r="99" spans="1:36" ht="15.75">
      <c r="A99" s="3334" t="s">
        <v>1870</v>
      </c>
      <c r="B99" s="3335"/>
      <c r="C99" s="3335"/>
      <c r="D99" s="3336"/>
      <c r="E99" s="1461"/>
      <c r="F99" s="3343" t="s">
        <v>1871</v>
      </c>
      <c r="G99" s="3344"/>
      <c r="H99" s="3344"/>
      <c r="I99" s="3345"/>
      <c r="J99" s="2858"/>
    </row>
    <row r="100" spans="1:36" ht="15">
      <c r="A100" s="3346" t="s">
        <v>1872</v>
      </c>
      <c r="B100" s="3347"/>
      <c r="C100" s="1307">
        <f>C4</f>
        <v>0</v>
      </c>
      <c r="D100" s="2806">
        <f>D4</f>
        <v>0</v>
      </c>
      <c r="E100" s="1461"/>
      <c r="F100" s="3258" t="s">
        <v>2779</v>
      </c>
      <c r="G100" s="3259"/>
      <c r="H100" s="3258" t="s">
        <v>2780</v>
      </c>
      <c r="I100" s="3257"/>
      <c r="J100" s="2859"/>
    </row>
    <row r="101" spans="1:36" ht="12.75">
      <c r="A101" s="3326" t="s">
        <v>2812</v>
      </c>
      <c r="B101" s="2307" t="str">
        <f>IF(H19="元","总价（元）","总价（万元）")</f>
        <v>总价（万元）</v>
      </c>
      <c r="C101" s="1307" t="e">
        <f ca="1">C19</f>
        <v>#REF!</v>
      </c>
      <c r="D101" s="2806" t="e">
        <f ca="1">D19</f>
        <v>#REF!</v>
      </c>
      <c r="E101" s="1461"/>
      <c r="F101" s="3258" t="str">
        <f>项目基本情况!I1</f>
        <v>北京市房地产</v>
      </c>
      <c r="G101" s="3259"/>
      <c r="H101" s="3256">
        <f>项目基本情况!C12</f>
        <v>841.27</v>
      </c>
      <c r="I101" s="3257"/>
      <c r="J101" s="2859"/>
    </row>
    <row r="102" spans="1:36" ht="12.75">
      <c r="A102" s="3326"/>
      <c r="B102" s="2307" t="s">
        <v>2813</v>
      </c>
      <c r="C102" s="2807" t="e">
        <f ca="1">C20</f>
        <v>#REF!</v>
      </c>
      <c r="D102" s="2808" t="e">
        <f ca="1">D20</f>
        <v>#REF!</v>
      </c>
      <c r="E102" s="1461"/>
      <c r="F102" s="3268" t="s">
        <v>2809</v>
      </c>
      <c r="G102" s="3269"/>
      <c r="H102" s="2816" t="str">
        <f>C106</f>
        <v>总价（万元）</v>
      </c>
      <c r="I102" s="2817" t="e">
        <f ca="1">H121</f>
        <v>#REF!</v>
      </c>
      <c r="J102" s="2859"/>
    </row>
    <row r="103" spans="1:36" ht="12.75">
      <c r="A103" s="3326" t="s">
        <v>2814</v>
      </c>
      <c r="B103" s="2245" t="str">
        <f>B101</f>
        <v>总价（万元）</v>
      </c>
      <c r="C103" s="2811" t="e">
        <f ca="1">H121</f>
        <v>#REF!</v>
      </c>
      <c r="D103" s="2809"/>
      <c r="E103" s="1461"/>
      <c r="F103" s="3268"/>
      <c r="G103" s="3269"/>
      <c r="H103" s="2816" t="s">
        <v>2782</v>
      </c>
      <c r="I103" s="52" t="e">
        <f ca="1">I121</f>
        <v>#REF!</v>
      </c>
      <c r="J103" s="2843"/>
    </row>
    <row r="104" spans="1:36" ht="13.5" thickBot="1">
      <c r="A104" s="3327"/>
      <c r="B104" s="2813" t="s">
        <v>2813</v>
      </c>
      <c r="C104" s="2814" t="e">
        <f ca="1">I121</f>
        <v>#REF!</v>
      </c>
      <c r="D104" s="2815"/>
      <c r="E104" s="1461"/>
      <c r="F104" s="3268"/>
      <c r="G104" s="3269"/>
      <c r="H104" s="3328"/>
      <c r="I104" s="3329"/>
      <c r="J104" s="2860"/>
    </row>
    <row r="105" spans="1:36" ht="15">
      <c r="A105" s="3334" t="s">
        <v>1873</v>
      </c>
      <c r="B105" s="3335"/>
      <c r="C105" s="3335"/>
      <c r="D105" s="3336"/>
      <c r="E105" s="1461"/>
      <c r="F105" s="3332" t="s">
        <v>2783</v>
      </c>
      <c r="G105" s="3333"/>
      <c r="H105" s="2818" t="str">
        <f>C108</f>
        <v>总额（万元）</v>
      </c>
      <c r="I105" s="2817">
        <f>SUMIF(I106:I108,"&lt;9E307")</f>
        <v>0</v>
      </c>
      <c r="J105" s="2859"/>
    </row>
    <row r="106" spans="1:36" ht="14.25">
      <c r="A106" s="3268" t="s">
        <v>2806</v>
      </c>
      <c r="B106" s="3269"/>
      <c r="C106" s="2816" t="str">
        <f>B101</f>
        <v>总价（万元）</v>
      </c>
      <c r="D106" s="2817" t="e">
        <f ca="1">H121</f>
        <v>#REF!</v>
      </c>
      <c r="E106" s="1461"/>
      <c r="F106" s="3270" t="s">
        <v>2784</v>
      </c>
      <c r="G106" s="3271"/>
      <c r="H106" s="2818" t="str">
        <f>C109</f>
        <v>总额（万元）</v>
      </c>
      <c r="I106" s="2819">
        <f>IF(D36="同一抵押权人同一抵押物续贷",C36&amp;"（续贷，未扣减，详见特别提示）",C36)</f>
        <v>0</v>
      </c>
      <c r="J106" s="2843"/>
      <c r="L106" s="1464" t="str">
        <f>IF(D123=0,"本次评估不存在"&amp;A123&amp;"。","本次评估"&amp;A123&amp;"为"&amp;D123&amp;"元人民币。")</f>
        <v>本次评估不存在估价师所知悉的法定优先受偿款。</v>
      </c>
      <c r="M106" s="1461"/>
      <c r="N106" s="1461"/>
      <c r="O106" s="1461"/>
      <c r="P106" s="1461"/>
      <c r="Q106" s="1461"/>
    </row>
    <row r="107" spans="1:36" ht="12.75">
      <c r="A107" s="3268"/>
      <c r="B107" s="3269"/>
      <c r="C107" s="2816" t="s">
        <v>2807</v>
      </c>
      <c r="D107" s="52" t="e">
        <f ca="1">I121</f>
        <v>#REF!</v>
      </c>
      <c r="E107" s="1461"/>
      <c r="F107" s="3270" t="s">
        <v>2785</v>
      </c>
      <c r="G107" s="3271"/>
      <c r="H107" s="2818" t="str">
        <f>C110</f>
        <v>总额（万元）</v>
      </c>
      <c r="I107" s="52">
        <f>C37</f>
        <v>0</v>
      </c>
      <c r="J107" s="2843"/>
    </row>
    <row r="108" spans="1:36" ht="12.75">
      <c r="A108" s="3275" t="s">
        <v>2783</v>
      </c>
      <c r="B108" s="3276"/>
      <c r="C108" s="2818" t="str">
        <f>IF(H19="元","总额（元）","总额（万元）")</f>
        <v>总额（万元）</v>
      </c>
      <c r="D108" s="2817">
        <f>IF(D36="正常操作",I106+I107+I108,I107+I108)</f>
        <v>0</v>
      </c>
      <c r="E108" s="1461"/>
      <c r="F108" s="3270" t="s">
        <v>2810</v>
      </c>
      <c r="G108" s="3271"/>
      <c r="H108" s="2818" t="str">
        <f>C111</f>
        <v>总额（万元）</v>
      </c>
      <c r="I108" s="52">
        <f>C38</f>
        <v>0</v>
      </c>
      <c r="J108" s="2843"/>
    </row>
    <row r="109" spans="1:36" ht="12.75">
      <c r="A109" s="3270" t="s">
        <v>2784</v>
      </c>
      <c r="B109" s="3271"/>
      <c r="C109" s="2818" t="str">
        <f>C108</f>
        <v>总额（万元）</v>
      </c>
      <c r="D109" s="52">
        <f>IF(D36="同一抵押权人同一抵押物续贷",C36&amp;"（未扣减，详见特别提示）",C36)</f>
        <v>0</v>
      </c>
      <c r="E109" s="1461"/>
      <c r="F109" s="3268"/>
      <c r="G109" s="3269"/>
      <c r="H109" s="3330"/>
      <c r="I109" s="3331"/>
      <c r="J109" s="2861"/>
    </row>
    <row r="110" spans="1:36" ht="28.5" customHeight="1">
      <c r="A110" s="3270" t="s">
        <v>2808</v>
      </c>
      <c r="B110" s="3271"/>
      <c r="C110" s="2818" t="str">
        <f>C108</f>
        <v>总额（万元）</v>
      </c>
      <c r="D110" s="52">
        <f>C37</f>
        <v>0</v>
      </c>
      <c r="E110" s="1461"/>
      <c r="F110" s="3260" t="str">
        <f>IF(项目基本情况!F5="已注销","——","3.房地产抵押价值")</f>
        <v>3.房地产抵押价值</v>
      </c>
      <c r="G110" s="3261"/>
      <c r="H110" s="2804" t="str">
        <f>C112</f>
        <v>总价（万元）</v>
      </c>
      <c r="I110" s="2817" t="e">
        <f ca="1">IF(F110="——","——",I102-I105)</f>
        <v>#REF!</v>
      </c>
      <c r="J110" s="2859"/>
    </row>
    <row r="111" spans="1:36" ht="12.75">
      <c r="A111" s="3270" t="s">
        <v>2787</v>
      </c>
      <c r="B111" s="3271"/>
      <c r="C111" s="2818" t="str">
        <f>C108</f>
        <v>总额（万元）</v>
      </c>
      <c r="D111" s="52">
        <f>C38</f>
        <v>0</v>
      </c>
      <c r="E111" s="1461"/>
      <c r="F111" s="3359"/>
      <c r="G111" s="3360"/>
      <c r="H111" s="2816" t="s">
        <v>2782</v>
      </c>
      <c r="I111" s="2820" t="e">
        <f ca="1">D113</f>
        <v>#REF!</v>
      </c>
      <c r="J111" s="2862"/>
    </row>
    <row r="112" spans="1:36" ht="26.25" customHeight="1">
      <c r="A112" s="3268" t="str">
        <f>IF(项目基本情况!F5="已注销","——","3.房地产抵押价值")</f>
        <v>3.房地产抵押价值</v>
      </c>
      <c r="B112" s="3269"/>
      <c r="C112" s="2816" t="str">
        <f>B101</f>
        <v>总价（万元）</v>
      </c>
      <c r="D112" s="2817" t="e">
        <f ca="1">IF(A112="——","——",D106-D108)</f>
        <v>#REF!</v>
      </c>
      <c r="E112" s="1461"/>
      <c r="F112" s="3260" t="str">
        <f>IF(项目基本情况!F5="已注销及未注销","4.抵押担保权已注销时的房地产抵押价值",IF(项目基本情况!F5="已注销","3.抵押担保权已注销时的房地产抵押价值","——"))</f>
        <v>——</v>
      </c>
      <c r="G112" s="3261"/>
      <c r="H112" s="2804" t="str">
        <f>C114</f>
        <v>总价（万元）</v>
      </c>
      <c r="I112" s="2817" t="str">
        <f>IF(F112="——","——",I102-I107-I108)</f>
        <v>——</v>
      </c>
      <c r="J112" s="2859"/>
    </row>
    <row r="113" spans="1:16" ht="12.75">
      <c r="A113" s="3268"/>
      <c r="B113" s="3269"/>
      <c r="C113" s="2816" t="s">
        <v>2775</v>
      </c>
      <c r="D113" s="52" t="e">
        <f ca="1">ROUND(IF(D112=D106,D107,IF(H19="元",D112/项目基本情况!C12,D112*10000/项目基本情况!C12)),0)</f>
        <v>#REF!</v>
      </c>
      <c r="E113" s="1461"/>
      <c r="F113" s="3359"/>
      <c r="G113" s="3360"/>
      <c r="H113" s="2816" t="s">
        <v>2811</v>
      </c>
      <c r="I113" s="52" t="str">
        <f>D115</f>
        <v>——</v>
      </c>
      <c r="J113" s="2843"/>
    </row>
    <row r="114" spans="1:16" ht="12.75">
      <c r="A114" s="3268" t="str">
        <f>IF(项目基本情况!F5="已注销及未注销","4.抵押担保权已注销时的房地产抵押价值",IF(项目基本情况!F5="已注销","3.抵押担保权已注销时的房地产抵押价值","——"))</f>
        <v>——</v>
      </c>
      <c r="B114" s="3269"/>
      <c r="C114" s="2816" t="str">
        <f>B101</f>
        <v>总价（万元）</v>
      </c>
      <c r="D114" s="2817" t="str">
        <f>IF(A114="——","——",D106-D110-D111)</f>
        <v>——</v>
      </c>
      <c r="E114" s="1461"/>
      <c r="F114" s="3260" t="str">
        <f>IF(项目基本情况!G5="抵押净值",IF(OR(项目基本情况!F5="已注销",项目基本情况!F5="房地产抵押价值"),"4.抵押净值","5.抵押净值"),"——")</f>
        <v>——</v>
      </c>
      <c r="G114" s="3261"/>
      <c r="H114" s="2816" t="str">
        <f>C116</f>
        <v>总价（万元）</v>
      </c>
      <c r="I114" s="2817" t="str">
        <f>IF(F114="——","——",O59)</f>
        <v>——</v>
      </c>
      <c r="J114" s="2859"/>
    </row>
    <row r="115" spans="1:16" ht="13.5" thickBot="1">
      <c r="A115" s="3268"/>
      <c r="B115" s="3269"/>
      <c r="C115" s="2816" t="s">
        <v>2775</v>
      </c>
      <c r="D115" s="52" t="str">
        <f>IF(A114="——","——",ROUND(IF(D114=D106,D107,IF(H19="元",D114/项目基本情况!C12,D114*10000/项目基本情况!C12)),0))</f>
        <v>——</v>
      </c>
      <c r="E115" s="1461"/>
      <c r="F115" s="3262"/>
      <c r="G115" s="3263"/>
      <c r="H115" s="2821" t="s">
        <v>2775</v>
      </c>
      <c r="I115" s="2805" t="e">
        <f ca="1">D117</f>
        <v>#REF!</v>
      </c>
      <c r="J115" s="2843"/>
    </row>
    <row r="116" spans="1:16" ht="15.75">
      <c r="A116" s="3268" t="str">
        <f>IF(项目基本情况!G5="抵押净值",IF(OR(项目基本情况!F5="已注销",项目基本情况!F5="房地产抵押价值"),"4.抵押净值","5.抵押净值"),"——")</f>
        <v>——</v>
      </c>
      <c r="B116" s="3269"/>
      <c r="C116" s="2816" t="str">
        <f>B101</f>
        <v>总价（万元）</v>
      </c>
      <c r="D116" s="2817" t="str">
        <f>IF(A116="——","——",O59)</f>
        <v>——</v>
      </c>
      <c r="E116" s="1461"/>
      <c r="F116" s="3354"/>
      <c r="G116" s="3354"/>
      <c r="H116" s="3318"/>
      <c r="I116" s="3318"/>
      <c r="J116" s="2863"/>
      <c r="O116" s="32"/>
      <c r="P116" s="32"/>
    </row>
    <row r="117" spans="1:16" ht="13.5" thickBot="1">
      <c r="A117" s="3273"/>
      <c r="B117" s="3274"/>
      <c r="C117" s="2821" t="s">
        <v>2775</v>
      </c>
      <c r="D117" s="2805" t="e">
        <f ca="1">IF(D116=D112,D113,IF(A116="——","——",O61))</f>
        <v>#REF!</v>
      </c>
      <c r="E117" s="1461"/>
      <c r="F117" s="3252" t="str">
        <f>IF(B32="总价","（以上估价结果中单价为总价除以建筑面积得出）","（以上估价结果中总价为楼面单价乘以建筑面积得出）")</f>
        <v>（以上估价结果中单价为总价除以建筑面积得出）</v>
      </c>
      <c r="G117" s="3252"/>
      <c r="H117" s="3252"/>
      <c r="I117" s="3252"/>
      <c r="J117" s="2864"/>
      <c r="O117" s="32"/>
      <c r="P117" s="32"/>
    </row>
    <row r="118" spans="1:16" ht="15">
      <c r="A118" s="3319" t="s">
        <v>1874</v>
      </c>
      <c r="B118" s="3320"/>
      <c r="C118" s="3320"/>
      <c r="D118" s="3320"/>
      <c r="E118" s="3320"/>
      <c r="F118" s="3320"/>
      <c r="G118" s="3320"/>
      <c r="H118" s="3320"/>
      <c r="I118" s="3320"/>
      <c r="J118" s="2865"/>
    </row>
    <row r="119" spans="1:16" ht="12.75">
      <c r="A119" s="3253" t="s">
        <v>2793</v>
      </c>
      <c r="B119" s="3279" t="s">
        <v>2803</v>
      </c>
      <c r="C119" s="3279" t="s">
        <v>2804</v>
      </c>
      <c r="D119" s="3341" t="s">
        <v>2795</v>
      </c>
      <c r="E119" s="3342"/>
      <c r="F119" s="3254" t="s">
        <v>2805</v>
      </c>
      <c r="G119" s="3254"/>
      <c r="H119" s="3254" t="s">
        <v>2796</v>
      </c>
      <c r="I119" s="3340"/>
      <c r="J119" s="2843"/>
    </row>
    <row r="120" spans="1:16" ht="12.75">
      <c r="A120" s="3253"/>
      <c r="B120" s="3280"/>
      <c r="C120" s="3280"/>
      <c r="D120" s="2092" t="s">
        <v>2797</v>
      </c>
      <c r="E120" s="2092" t="s">
        <v>2802</v>
      </c>
      <c r="F120" s="2092" t="s">
        <v>2797</v>
      </c>
      <c r="G120" s="2092" t="s">
        <v>2798</v>
      </c>
      <c r="H120" s="2092" t="s">
        <v>2797</v>
      </c>
      <c r="I120" s="52" t="s">
        <v>2798</v>
      </c>
      <c r="J120" s="2843"/>
    </row>
    <row r="121" spans="1:16" ht="12.75">
      <c r="A121" s="2082" t="str">
        <f>项目基本情况!I1</f>
        <v>北京市房地产</v>
      </c>
      <c r="B121" s="2092">
        <f>项目基本情况!C12</f>
        <v>841.27</v>
      </c>
      <c r="C121" s="2092">
        <f>项目基本情况!C13</f>
        <v>0</v>
      </c>
      <c r="D121" s="2092" t="e">
        <f ca="1">ROUND(IF(B32="总价",C34,IF('数据-取费表'!B3="万元",E121*B121/10000,E121*B121)),0)</f>
        <v>#REF!</v>
      </c>
      <c r="E121" s="2092" t="e">
        <f ca="1">ROUND(IF(B32="楼面单价",C34,IF(H19="元",D121/B121,D121*10000/B121)),0)</f>
        <v>#REF!</v>
      </c>
      <c r="F121" s="2092" t="e">
        <f ca="1">ROUND(IF(B32="总价",C35,IF('数据-取费表'!B3="万元",G121*B121/10000,G121*B121)),0)</f>
        <v>#REF!</v>
      </c>
      <c r="G121" s="2092" t="e">
        <f ca="1">ROUND(IF(B32="楼面单价",C35,IF(H19="元",F121/B121,F121*10000/B121)),0)</f>
        <v>#REF!</v>
      </c>
      <c r="H121" s="2092" t="e">
        <f ca="1">ROUND(IF(B32="总价",C32,IF('数据-取费表'!B3="万元",I121*B121/10000,I121*B121)),0)</f>
        <v>#REF!</v>
      </c>
      <c r="I121" s="52" t="e">
        <f ca="1">ROUND(IF(B32="楼面单价",C32,IF(H19="元",H121/B121,H121*10000/B121)),0)</f>
        <v>#REF!</v>
      </c>
      <c r="J121" s="2843"/>
    </row>
    <row r="122" spans="1:16" ht="12.75">
      <c r="A122" s="3253" t="s">
        <v>2799</v>
      </c>
      <c r="B122" s="3254"/>
      <c r="C122" s="3254"/>
      <c r="D122" s="3281" t="e">
        <f ca="1">IF(H19="元",NUMBERSTRING(INT(D121),2)&amp;"元整",NUMBERSTRING(INT(D121*10000),2)&amp;"元整")</f>
        <v>#REF!</v>
      </c>
      <c r="E122" s="3324"/>
      <c r="F122" s="3281" t="e">
        <f ca="1">IF(H19="元",NUMBERSTRING(INT(F121),2)&amp;"元整",NUMBERSTRING(INT(F121*10000),2)&amp;"元整")</f>
        <v>#REF!</v>
      </c>
      <c r="G122" s="3324"/>
      <c r="H122" s="3281" t="e">
        <f ca="1">IF(H19="元",NUMBERSTRING(INT(H121),2)&amp;"元整",NUMBERSTRING(INT(H121*10000),2)&amp;"元整")</f>
        <v>#REF!</v>
      </c>
      <c r="I122" s="3282"/>
      <c r="J122" s="2866"/>
    </row>
    <row r="123" spans="1:16" ht="12.75">
      <c r="A123" s="3258" t="str">
        <f>IF(项目基本情况!D5="房地产市场价值","——",MID(A108,3,LEN(A108)-2))</f>
        <v>估价师所知悉的法定优先受偿款</v>
      </c>
      <c r="B123" s="3264"/>
      <c r="C123" s="3259"/>
      <c r="D123" s="3256">
        <f>I105</f>
        <v>0</v>
      </c>
      <c r="E123" s="3264"/>
      <c r="F123" s="3264"/>
      <c r="G123" s="3264"/>
      <c r="H123" s="3264"/>
      <c r="I123" s="3257"/>
      <c r="J123" s="2859"/>
    </row>
    <row r="124" spans="1:16" ht="12.75">
      <c r="A124" s="3325" t="s">
        <v>2799</v>
      </c>
      <c r="B124" s="3293"/>
      <c r="C124" s="3294"/>
      <c r="D124" s="3265">
        <f>H109</f>
        <v>0</v>
      </c>
      <c r="E124" s="3266"/>
      <c r="F124" s="3266"/>
      <c r="G124" s="3266"/>
      <c r="H124" s="3266"/>
      <c r="I124" s="3267"/>
      <c r="J124" s="2867"/>
    </row>
    <row r="125" spans="1:16" ht="12.75">
      <c r="A125" s="3268" t="str">
        <f>IF(项目基本情况!D5="房地产市场价值","——",MID(A112,3,LEN(A112)-2))</f>
        <v>房地产抵押价值</v>
      </c>
      <c r="B125" s="3269"/>
      <c r="C125" s="3269"/>
      <c r="D125" s="3256" t="e">
        <f ca="1">I110</f>
        <v>#REF!</v>
      </c>
      <c r="E125" s="3264"/>
      <c r="F125" s="3264"/>
      <c r="G125" s="3264"/>
      <c r="H125" s="3264"/>
      <c r="I125" s="3257"/>
      <c r="J125" s="2859"/>
    </row>
    <row r="126" spans="1:16" ht="12.75">
      <c r="A126" s="3253" t="s">
        <v>2799</v>
      </c>
      <c r="B126" s="3254"/>
      <c r="C126" s="3254"/>
      <c r="D126" s="3265" t="e">
        <f ca="1">I111</f>
        <v>#REF!</v>
      </c>
      <c r="E126" s="3266"/>
      <c r="F126" s="3266"/>
      <c r="G126" s="3266"/>
      <c r="H126" s="3266"/>
      <c r="I126" s="3267"/>
      <c r="J126" s="2867"/>
    </row>
    <row r="127" spans="1:16" ht="13.5" thickBot="1">
      <c r="A127" s="3268" t="str">
        <f>IF(项目基本情况!D5="房地产市场价值","——",MID(A114,3,LEN(A114)-2))</f>
        <v/>
      </c>
      <c r="B127" s="3269"/>
      <c r="C127" s="3269"/>
      <c r="D127" s="3301" t="str">
        <f>I112</f>
        <v>——</v>
      </c>
      <c r="E127" s="3302"/>
      <c r="F127" s="3302"/>
      <c r="G127" s="3302"/>
      <c r="H127" s="3302"/>
      <c r="I127" s="3353"/>
      <c r="J127" s="2859"/>
    </row>
    <row r="128" spans="1:16" ht="14.25" thickTop="1" thickBot="1">
      <c r="A128" s="3253" t="s">
        <v>2799</v>
      </c>
      <c r="B128" s="3254"/>
      <c r="C128" s="3255"/>
      <c r="D128" s="3317" t="str">
        <f>I113</f>
        <v>——</v>
      </c>
      <c r="E128" s="3317"/>
      <c r="F128" s="3317"/>
      <c r="G128" s="3317"/>
      <c r="H128" s="3317"/>
      <c r="I128" s="3317"/>
      <c r="J128" s="2867"/>
    </row>
    <row r="129" spans="1:10" ht="14.25" thickTop="1" thickBot="1">
      <c r="A129" s="3268" t="str">
        <f>IF(项目基本情况!D5="房地产市场价值","——",MID(F114,3,LEN(F114)-2))</f>
        <v/>
      </c>
      <c r="B129" s="3269"/>
      <c r="C129" s="3256"/>
      <c r="D129" s="3272" t="str">
        <f>I114</f>
        <v>——</v>
      </c>
      <c r="E129" s="3272"/>
      <c r="F129" s="3272"/>
      <c r="G129" s="3272"/>
      <c r="H129" s="3272"/>
      <c r="I129" s="3272"/>
      <c r="J129" s="2859"/>
    </row>
    <row r="130" spans="1:10" ht="14.25" thickTop="1" thickBot="1">
      <c r="A130" s="3277" t="s">
        <v>2799</v>
      </c>
      <c r="B130" s="3278"/>
      <c r="C130" s="3278"/>
      <c r="D130" s="3283">
        <f>H116</f>
        <v>0</v>
      </c>
      <c r="E130" s="3284"/>
      <c r="F130" s="3284"/>
      <c r="G130" s="3284"/>
      <c r="H130" s="3284"/>
      <c r="I130" s="3285"/>
      <c r="J130" s="2867"/>
    </row>
    <row r="131" spans="1:10" ht="12.75">
      <c r="A131" s="1481" t="str">
        <f>IF(H19="元","单位：平方米、元、元/平方米（币种：人民币）","单位：平方米、万元、元/平方米（币种：人民币）")</f>
        <v>单位：平方米、万元、元/平方米（币种：人民币）</v>
      </c>
      <c r="B131" s="1481"/>
      <c r="C131" s="1481"/>
      <c r="D131" s="1481"/>
      <c r="E131" s="1481"/>
      <c r="F131" s="1481"/>
      <c r="G131" s="1481"/>
      <c r="H131" s="1481"/>
      <c r="I131" s="1481"/>
      <c r="J131" s="2868"/>
    </row>
    <row r="132" spans="1:10" ht="13.5" thickBot="1">
      <c r="A132" s="3251" t="str">
        <f>IF(B32="总价","（以上估价结果中楼面单价为总价除以建筑面积得出）","（以上估价结果中总价为楼面单价乘以建筑面积得出）")</f>
        <v>（以上估价结果中楼面单价为总价除以建筑面积得出）</v>
      </c>
      <c r="B132" s="3251"/>
      <c r="C132" s="3251"/>
      <c r="D132" s="3251"/>
      <c r="E132" s="3251"/>
      <c r="F132" s="3251"/>
      <c r="G132" s="3251"/>
      <c r="H132" s="3251"/>
      <c r="I132" s="3251"/>
      <c r="J132" s="2861"/>
    </row>
    <row r="133" spans="1:10" ht="21.75" customHeight="1">
      <c r="A133" s="1491" t="s">
        <v>1875</v>
      </c>
      <c r="B133" s="1492"/>
      <c r="C133" s="1493" t="s">
        <v>1876</v>
      </c>
      <c r="D133" s="1494"/>
      <c r="E133" s="1494"/>
      <c r="F133" s="1494"/>
      <c r="G133" s="1494"/>
      <c r="H133" s="1495"/>
      <c r="I133" s="1496"/>
      <c r="J133" s="2869"/>
    </row>
    <row r="134" spans="1:10" ht="21.75" customHeight="1">
      <c r="A134" s="1497">
        <v>1</v>
      </c>
      <c r="B134" s="1498"/>
      <c r="C134" s="1498"/>
      <c r="D134" s="1494"/>
      <c r="E134" s="1494"/>
      <c r="F134" s="1494"/>
      <c r="G134" s="1494"/>
      <c r="H134" s="1495"/>
      <c r="I134" s="1496"/>
      <c r="J134" s="2869"/>
    </row>
    <row r="135" spans="1:10" ht="21.75" customHeight="1">
      <c r="A135" s="1497">
        <v>2</v>
      </c>
      <c r="B135" s="1498"/>
      <c r="C135" s="1498"/>
      <c r="D135" s="1494"/>
      <c r="E135" s="1494"/>
      <c r="F135" s="1494"/>
      <c r="G135" s="1494"/>
      <c r="H135" s="1495"/>
      <c r="I135" s="1496"/>
      <c r="J135" s="2869"/>
    </row>
    <row r="136" spans="1:10" ht="21.75" customHeight="1">
      <c r="A136" s="1497">
        <v>3</v>
      </c>
      <c r="B136" s="1498"/>
      <c r="C136" s="1498"/>
      <c r="D136" s="1494"/>
      <c r="E136" s="1494"/>
      <c r="F136" s="32"/>
      <c r="G136" s="32"/>
      <c r="H136" s="32"/>
      <c r="I136" s="32"/>
      <c r="J136" s="2870"/>
    </row>
    <row r="137" spans="1:10" ht="21.75" customHeight="1">
      <c r="A137" s="1499"/>
      <c r="B137" s="1500"/>
      <c r="C137" s="1500"/>
      <c r="D137" s="1501"/>
      <c r="E137" s="1501"/>
      <c r="F137" s="1501"/>
      <c r="G137" s="1501"/>
      <c r="H137" s="1502"/>
      <c r="I137" s="1503"/>
      <c r="J137" s="2869"/>
    </row>
    <row r="138" spans="1:10" ht="21.75" customHeight="1">
      <c r="A138" s="1498"/>
      <c r="B138" s="1498"/>
      <c r="C138" s="1498"/>
      <c r="D138" s="1494"/>
      <c r="E138" s="1494"/>
      <c r="F138" s="1494"/>
      <c r="G138" s="1494"/>
      <c r="H138" s="1495"/>
      <c r="I138" s="659"/>
      <c r="J138" s="2870"/>
    </row>
    <row r="139" spans="1:10" ht="21.75" customHeight="1">
      <c r="A139" s="659"/>
      <c r="B139" s="659"/>
      <c r="C139" s="659"/>
      <c r="D139" s="659"/>
      <c r="E139" s="659"/>
      <c r="F139" s="1504" t="s">
        <v>1877</v>
      </c>
      <c r="G139" s="1505"/>
      <c r="H139" s="1505"/>
      <c r="I139" s="1506" t="s">
        <v>1878</v>
      </c>
      <c r="J139" s="2871"/>
    </row>
    <row r="140" spans="1:10" ht="21.75" customHeight="1">
      <c r="A140" s="659"/>
      <c r="B140" s="1507" t="s">
        <v>1879</v>
      </c>
      <c r="C140" s="659"/>
      <c r="D140" s="659"/>
      <c r="E140" s="659"/>
      <c r="F140" s="659"/>
      <c r="G140" s="659"/>
      <c r="H140" s="659"/>
      <c r="I140" s="659"/>
      <c r="J140" s="2870"/>
    </row>
    <row r="141" spans="1:10" ht="21.75" customHeight="1">
      <c r="A141" s="659"/>
      <c r="B141" s="659"/>
      <c r="C141" s="659"/>
      <c r="D141" s="659"/>
      <c r="E141" s="659"/>
      <c r="F141" s="659"/>
      <c r="G141" s="659"/>
      <c r="H141" s="659"/>
      <c r="I141" s="659"/>
      <c r="J141" s="2870"/>
    </row>
    <row r="142" spans="1:10" ht="21.75" customHeight="1">
      <c r="A142" s="659"/>
      <c r="B142" s="1505"/>
      <c r="C142" s="1505"/>
      <c r="D142" s="1505"/>
      <c r="E142" s="1505"/>
      <c r="F142" s="1505"/>
      <c r="G142" s="1505"/>
      <c r="H142" s="1505"/>
      <c r="I142" s="1506" t="s">
        <v>1880</v>
      </c>
      <c r="J142" s="2871"/>
    </row>
    <row r="143" spans="1:10" ht="21.75" customHeight="1">
      <c r="A143" s="659"/>
      <c r="B143" s="1507" t="s">
        <v>1881</v>
      </c>
      <c r="C143" s="659"/>
      <c r="D143" s="659"/>
      <c r="E143" s="659"/>
      <c r="F143" s="659"/>
      <c r="G143" s="659"/>
      <c r="H143" s="659"/>
      <c r="I143" s="659"/>
      <c r="J143" s="2870"/>
    </row>
    <row r="144" spans="1:10" ht="21.75" customHeight="1">
      <c r="A144" s="659"/>
      <c r="B144" s="1507"/>
      <c r="C144" s="659"/>
      <c r="D144" s="659"/>
      <c r="E144" s="659"/>
      <c r="F144" s="659"/>
      <c r="G144" s="659"/>
      <c r="H144" s="659"/>
      <c r="I144" s="659"/>
      <c r="J144" s="2870"/>
    </row>
    <row r="145" spans="1:36" ht="21.75" customHeight="1">
      <c r="A145" s="659"/>
      <c r="B145" s="1505"/>
      <c r="C145" s="1505"/>
      <c r="D145" s="1505"/>
      <c r="E145" s="1505"/>
      <c r="F145" s="1505"/>
      <c r="G145" s="1505"/>
      <c r="H145" s="1505"/>
      <c r="I145" s="1506" t="s">
        <v>1880</v>
      </c>
      <c r="J145" s="2871"/>
    </row>
    <row r="146" spans="1:36" ht="21.75" customHeight="1">
      <c r="A146" s="659"/>
      <c r="B146" s="1507"/>
      <c r="C146" s="1508"/>
      <c r="D146" s="1509"/>
      <c r="E146" s="1509"/>
      <c r="F146" s="1510"/>
      <c r="G146" s="659"/>
      <c r="H146" s="659"/>
      <c r="I146" s="659"/>
      <c r="J146" s="2870"/>
    </row>
    <row r="147" spans="1:36" s="32" customFormat="1" ht="21.75" customHeight="1">
      <c r="A147" s="659"/>
      <c r="B147" s="1507"/>
      <c r="C147" s="1508"/>
      <c r="D147" s="1509"/>
      <c r="E147" s="1509"/>
      <c r="F147" s="659"/>
      <c r="G147" s="659"/>
      <c r="H147" s="659"/>
      <c r="I147" s="659"/>
      <c r="J147" s="2870"/>
      <c r="K147" s="659"/>
      <c r="L147" s="659"/>
      <c r="M147" s="659"/>
      <c r="N147" s="659"/>
      <c r="O147" s="659"/>
      <c r="P147" s="659"/>
      <c r="Q147" s="659"/>
      <c r="R147" s="659"/>
      <c r="S147" s="659"/>
      <c r="T147" s="659"/>
      <c r="U147" s="659"/>
      <c r="V147" s="659"/>
      <c r="W147" s="659"/>
      <c r="X147" s="659"/>
      <c r="Y147" s="659"/>
      <c r="Z147" s="659"/>
      <c r="AA147" s="659"/>
      <c r="AB147" s="659"/>
      <c r="AC147" s="659"/>
      <c r="AD147" s="659"/>
      <c r="AE147" s="659"/>
      <c r="AF147" s="659"/>
      <c r="AG147" s="659"/>
      <c r="AH147" s="659"/>
      <c r="AI147" s="659"/>
      <c r="AJ147" s="659"/>
    </row>
    <row r="148" spans="1:36" s="32" customFormat="1" ht="21.75" customHeight="1">
      <c r="A148" s="659"/>
      <c r="B148" s="659"/>
      <c r="C148" s="659"/>
      <c r="D148" s="659"/>
      <c r="E148" s="659"/>
      <c r="F148" s="659"/>
      <c r="G148" s="659"/>
      <c r="H148" s="659"/>
      <c r="I148" s="659"/>
      <c r="J148" s="2870"/>
      <c r="K148" s="659"/>
      <c r="L148" s="659"/>
      <c r="M148" s="659"/>
      <c r="N148" s="659"/>
      <c r="O148" s="659"/>
      <c r="P148" s="659"/>
      <c r="Q148" s="659"/>
      <c r="R148" s="659"/>
      <c r="S148" s="659"/>
      <c r="T148" s="659"/>
      <c r="U148" s="659"/>
      <c r="V148" s="659"/>
      <c r="W148" s="659"/>
      <c r="X148" s="659"/>
      <c r="Y148" s="659"/>
      <c r="Z148" s="659"/>
      <c r="AA148" s="659"/>
      <c r="AB148" s="659"/>
      <c r="AC148" s="659"/>
      <c r="AD148" s="659"/>
      <c r="AE148" s="659"/>
      <c r="AF148" s="659"/>
      <c r="AG148" s="659"/>
      <c r="AH148" s="659"/>
      <c r="AI148" s="659"/>
      <c r="AJ148" s="659"/>
    </row>
    <row r="149" spans="1:36" s="32" customFormat="1" ht="21.75" customHeight="1">
      <c r="A149" s="659"/>
      <c r="B149" s="659"/>
      <c r="C149" s="659"/>
      <c r="D149" s="659"/>
      <c r="E149" s="659"/>
      <c r="F149" s="659"/>
      <c r="G149" s="659"/>
      <c r="H149" s="659"/>
      <c r="I149" s="659"/>
      <c r="J149" s="2870"/>
      <c r="K149" s="659"/>
      <c r="L149" s="659"/>
      <c r="M149" s="659"/>
      <c r="N149" s="659"/>
      <c r="O149" s="659"/>
      <c r="P149" s="659"/>
      <c r="Q149" s="659"/>
      <c r="R149" s="659"/>
      <c r="S149" s="659"/>
      <c r="T149" s="659"/>
      <c r="U149" s="659"/>
      <c r="V149" s="659"/>
      <c r="W149" s="659"/>
      <c r="X149" s="659"/>
      <c r="Y149" s="659"/>
      <c r="Z149" s="659"/>
      <c r="AA149" s="659"/>
      <c r="AB149" s="659"/>
      <c r="AC149" s="659"/>
      <c r="AD149" s="659"/>
      <c r="AE149" s="659"/>
      <c r="AF149" s="659"/>
      <c r="AG149" s="659"/>
      <c r="AH149" s="659"/>
      <c r="AI149" s="659"/>
      <c r="AJ149" s="659"/>
    </row>
    <row r="150" spans="1:36" s="659" customFormat="1" ht="21.75" customHeight="1">
      <c r="J150" s="2870"/>
    </row>
    <row r="151" spans="1:36" s="659" customFormat="1" ht="21.75" customHeight="1">
      <c r="J151" s="2870"/>
    </row>
    <row r="152" spans="1:36" s="659" customFormat="1" ht="21.75" customHeight="1">
      <c r="J152" s="2870"/>
    </row>
    <row r="153" spans="1:36" s="659" customFormat="1" ht="21.75" customHeight="1">
      <c r="J153" s="2870"/>
    </row>
    <row r="154" spans="1:36" s="659" customFormat="1" ht="21.75" customHeight="1">
      <c r="J154" s="2870"/>
    </row>
    <row r="155" spans="1:36" s="659" customFormat="1" ht="21.75" customHeight="1">
      <c r="J155" s="2870"/>
    </row>
    <row r="156" spans="1:36" s="659" customFormat="1" ht="21.75" customHeight="1">
      <c r="J156" s="2870"/>
    </row>
    <row r="157" spans="1:36" s="659" customFormat="1" ht="21.75" customHeight="1">
      <c r="J157" s="2870"/>
    </row>
    <row r="158" spans="1:36" s="659" customFormat="1" ht="21.75" customHeight="1">
      <c r="J158" s="2870"/>
    </row>
    <row r="159" spans="1:36" s="659" customFormat="1" ht="21.75" customHeight="1">
      <c r="J159" s="2870"/>
    </row>
    <row r="160" spans="1:36" s="659" customFormat="1" ht="21.75" customHeight="1">
      <c r="J160" s="2870"/>
    </row>
    <row r="161" spans="10:10" s="659" customFormat="1" ht="21.75" customHeight="1">
      <c r="J161" s="2870"/>
    </row>
    <row r="162" spans="10:10" s="659" customFormat="1" ht="21.75" customHeight="1">
      <c r="J162" s="2870"/>
    </row>
    <row r="163" spans="10:10" s="659" customFormat="1" ht="21.75" customHeight="1">
      <c r="J163" s="2870"/>
    </row>
    <row r="164" spans="10:10" s="659" customFormat="1" ht="21.75" customHeight="1">
      <c r="J164" s="2870"/>
    </row>
    <row r="165" spans="10:10" s="659" customFormat="1" ht="21.75" customHeight="1">
      <c r="J165" s="2870"/>
    </row>
    <row r="166" spans="10:10" s="659" customFormat="1" ht="21.75" customHeight="1">
      <c r="J166" s="2870"/>
    </row>
    <row r="167" spans="10:10" s="659" customFormat="1" ht="21.75" customHeight="1">
      <c r="J167" s="2870"/>
    </row>
    <row r="168" spans="10:10" s="659" customFormat="1" ht="21.75" customHeight="1">
      <c r="J168" s="2870"/>
    </row>
    <row r="169" spans="10:10" s="659" customFormat="1" ht="21.75" customHeight="1">
      <c r="J169" s="2870"/>
    </row>
    <row r="170" spans="10:10" s="659" customFormat="1" ht="21.75" customHeight="1">
      <c r="J170" s="2870"/>
    </row>
    <row r="171" spans="10:10" s="659" customFormat="1" ht="21.75" customHeight="1">
      <c r="J171" s="2870"/>
    </row>
    <row r="172" spans="10:10" s="659" customFormat="1" ht="21.75" customHeight="1">
      <c r="J172" s="2870"/>
    </row>
    <row r="173" spans="10:10" s="659" customFormat="1" ht="21.75" customHeight="1">
      <c r="J173" s="2870"/>
    </row>
    <row r="174" spans="10:10" s="659" customFormat="1" ht="21.75" customHeight="1">
      <c r="J174" s="2870"/>
    </row>
    <row r="175" spans="10:10" s="659" customFormat="1" ht="21.75" customHeight="1">
      <c r="J175" s="2870"/>
    </row>
    <row r="176" spans="10:10" s="659" customFormat="1" ht="21.75" customHeight="1">
      <c r="J176" s="2870"/>
    </row>
    <row r="177" spans="10:10" s="659" customFormat="1" ht="21.75" customHeight="1">
      <c r="J177" s="2870"/>
    </row>
    <row r="178" spans="10:10" s="659" customFormat="1" ht="21.75" customHeight="1">
      <c r="J178" s="2870"/>
    </row>
    <row r="179" spans="10:10" s="659" customFormat="1" ht="21.75" customHeight="1">
      <c r="J179" s="2870"/>
    </row>
    <row r="180" spans="10:10" s="659" customFormat="1" ht="21.75" customHeight="1">
      <c r="J180" s="2870"/>
    </row>
    <row r="181" spans="10:10" s="659" customFormat="1" ht="21.75" customHeight="1">
      <c r="J181" s="2870"/>
    </row>
    <row r="182" spans="10:10" s="659" customFormat="1" ht="21.75" customHeight="1">
      <c r="J182" s="2870"/>
    </row>
    <row r="183" spans="10:10" s="659" customFormat="1" ht="21.75" customHeight="1">
      <c r="J183" s="2870"/>
    </row>
    <row r="184" spans="10:10" s="659" customFormat="1" ht="21.75" customHeight="1">
      <c r="J184" s="2870"/>
    </row>
    <row r="185" spans="10:10" s="659" customFormat="1" ht="21.75" customHeight="1">
      <c r="J185" s="2870"/>
    </row>
    <row r="186" spans="10:10" s="659" customFormat="1" ht="21.75" customHeight="1">
      <c r="J186" s="2870"/>
    </row>
    <row r="187" spans="10:10" s="659" customFormat="1" ht="21.75" customHeight="1">
      <c r="J187" s="2870"/>
    </row>
    <row r="188" spans="10:10" s="659" customFormat="1" ht="21.75" customHeight="1">
      <c r="J188" s="2870"/>
    </row>
    <row r="189" spans="10:10" s="659" customFormat="1" ht="21.75" customHeight="1">
      <c r="J189" s="2870"/>
    </row>
    <row r="190" spans="10:10" s="659" customFormat="1" ht="21.75" customHeight="1">
      <c r="J190" s="2870"/>
    </row>
    <row r="191" spans="10:10" s="659" customFormat="1" ht="21.75" customHeight="1">
      <c r="J191" s="2870"/>
    </row>
    <row r="192" spans="10:10" s="659" customFormat="1" ht="21.75" customHeight="1">
      <c r="J192" s="2870"/>
    </row>
    <row r="193" spans="10:10" s="659" customFormat="1" ht="21.75" customHeight="1">
      <c r="J193" s="2870"/>
    </row>
    <row r="194" spans="10:10" s="659" customFormat="1" ht="21.75" customHeight="1">
      <c r="J194" s="2870"/>
    </row>
    <row r="195" spans="10:10" s="659" customFormat="1" ht="21.75" customHeight="1">
      <c r="J195" s="2870"/>
    </row>
    <row r="196" spans="10:10" s="659" customFormat="1" ht="21.75" customHeight="1">
      <c r="J196" s="2870"/>
    </row>
    <row r="197" spans="10:10" s="659" customFormat="1" ht="21.75" customHeight="1">
      <c r="J197" s="2870"/>
    </row>
    <row r="198" spans="10:10" s="659" customFormat="1" ht="21.75" customHeight="1">
      <c r="J198" s="2870"/>
    </row>
    <row r="199" spans="10:10" s="659" customFormat="1" ht="21.75" customHeight="1">
      <c r="J199" s="2870"/>
    </row>
    <row r="200" spans="10:10" s="659" customFormat="1" ht="21.75" customHeight="1">
      <c r="J200" s="2870"/>
    </row>
    <row r="201" spans="10:10" s="659" customFormat="1" ht="21.75" customHeight="1">
      <c r="J201" s="2870"/>
    </row>
    <row r="202" spans="10:10" s="659" customFormat="1" ht="21.75" customHeight="1">
      <c r="J202" s="2870"/>
    </row>
    <row r="203" spans="10:10" s="659" customFormat="1" ht="21.75" customHeight="1">
      <c r="J203" s="2870"/>
    </row>
    <row r="204" spans="10:10" s="659" customFormat="1" ht="21.75" customHeight="1">
      <c r="J204" s="2870"/>
    </row>
    <row r="205" spans="10:10" s="659" customFormat="1" ht="21.75" customHeight="1">
      <c r="J205" s="2870"/>
    </row>
    <row r="206" spans="10:10" s="659" customFormat="1" ht="21.75" customHeight="1">
      <c r="J206" s="2870"/>
    </row>
    <row r="207" spans="10:10" s="659" customFormat="1" ht="21.75" customHeight="1">
      <c r="J207" s="2870"/>
    </row>
    <row r="208" spans="10:10" s="659" customFormat="1" ht="21.75" customHeight="1">
      <c r="J208" s="2870"/>
    </row>
    <row r="209" spans="10:10" s="659" customFormat="1" ht="21.75" customHeight="1">
      <c r="J209" s="2870"/>
    </row>
    <row r="210" spans="10:10" s="659" customFormat="1" ht="21.75" customHeight="1">
      <c r="J210" s="2870"/>
    </row>
    <row r="211" spans="10:10" s="659" customFormat="1" ht="21.75" customHeight="1">
      <c r="J211" s="2870"/>
    </row>
    <row r="212" spans="10:10" s="659" customFormat="1" ht="21.75" customHeight="1">
      <c r="J212" s="2870"/>
    </row>
    <row r="213" spans="10:10" s="659" customFormat="1" ht="21.75" customHeight="1">
      <c r="J213" s="2870"/>
    </row>
    <row r="214" spans="10:10" s="659" customFormat="1" ht="21.75" customHeight="1">
      <c r="J214" s="2870"/>
    </row>
    <row r="215" spans="10:10" s="659" customFormat="1" ht="21.75" customHeight="1">
      <c r="J215" s="2870"/>
    </row>
    <row r="216" spans="10:10" s="659" customFormat="1" ht="21.75" customHeight="1">
      <c r="J216" s="2870"/>
    </row>
    <row r="217" spans="10:10" s="659" customFormat="1" ht="21.75" customHeight="1">
      <c r="J217" s="2870"/>
    </row>
    <row r="218" spans="10:10" s="659" customFormat="1" ht="21.75" customHeight="1">
      <c r="J218" s="2870"/>
    </row>
    <row r="219" spans="10:10" s="659" customFormat="1" ht="21.75" customHeight="1">
      <c r="J219" s="2870"/>
    </row>
    <row r="220" spans="10:10" s="659" customFormat="1" ht="21.75" customHeight="1">
      <c r="J220" s="2870"/>
    </row>
    <row r="221" spans="10:10" s="659" customFormat="1" ht="21.75" customHeight="1">
      <c r="J221" s="2870"/>
    </row>
    <row r="222" spans="10:10" s="659" customFormat="1" ht="21.75" customHeight="1">
      <c r="J222" s="2870"/>
    </row>
    <row r="223" spans="10:10" s="659" customFormat="1" ht="21.75" customHeight="1">
      <c r="J223" s="2870"/>
    </row>
    <row r="224" spans="10:10" s="659" customFormat="1" ht="21.75" customHeight="1">
      <c r="J224" s="2870"/>
    </row>
    <row r="225" spans="10:10" s="659" customFormat="1" ht="21.75" customHeight="1">
      <c r="J225" s="2870"/>
    </row>
    <row r="226" spans="10:10" s="659" customFormat="1" ht="21.75" customHeight="1">
      <c r="J226" s="2870"/>
    </row>
    <row r="227" spans="10:10" s="659" customFormat="1" ht="21.75" customHeight="1">
      <c r="J227" s="2870"/>
    </row>
    <row r="228" spans="10:10" s="659" customFormat="1" ht="21.75" customHeight="1">
      <c r="J228" s="2870"/>
    </row>
    <row r="229" spans="10:10" s="659" customFormat="1" ht="21.75" customHeight="1">
      <c r="J229" s="2870"/>
    </row>
    <row r="230" spans="10:10" s="659" customFormat="1" ht="21.75" customHeight="1">
      <c r="J230" s="2870"/>
    </row>
    <row r="231" spans="10:10" s="659" customFormat="1" ht="21.75" customHeight="1">
      <c r="J231" s="2870"/>
    </row>
    <row r="232" spans="10:10" s="659" customFormat="1" ht="21.75" customHeight="1">
      <c r="J232" s="2870"/>
    </row>
    <row r="233" spans="10:10" s="659" customFormat="1" ht="21.75" customHeight="1">
      <c r="J233" s="2870"/>
    </row>
    <row r="234" spans="10:10" s="659" customFormat="1" ht="21.75" customHeight="1">
      <c r="J234" s="2870"/>
    </row>
    <row r="235" spans="10:10" s="659" customFormat="1" ht="21.75" customHeight="1">
      <c r="J235" s="2870"/>
    </row>
    <row r="236" spans="10:10" s="659" customFormat="1" ht="21.75" customHeight="1">
      <c r="J236" s="2870"/>
    </row>
    <row r="237" spans="10:10" s="659" customFormat="1" ht="21.75" customHeight="1">
      <c r="J237" s="2870"/>
    </row>
    <row r="238" spans="10:10" s="659" customFormat="1" ht="21.75" customHeight="1">
      <c r="J238" s="2870"/>
    </row>
    <row r="239" spans="10:10" s="659" customFormat="1" ht="21.75" customHeight="1">
      <c r="J239" s="2870"/>
    </row>
    <row r="240" spans="10:10" s="659" customFormat="1" ht="21.75" customHeight="1">
      <c r="J240" s="2870"/>
    </row>
    <row r="241" spans="10:10" s="659" customFormat="1" ht="21.75" customHeight="1">
      <c r="J241" s="2870"/>
    </row>
    <row r="242" spans="10:10" s="659" customFormat="1" ht="21.75" customHeight="1">
      <c r="J242" s="2870"/>
    </row>
    <row r="243" spans="10:10" s="659" customFormat="1" ht="21.75" customHeight="1">
      <c r="J243" s="2870"/>
    </row>
    <row r="244" spans="10:10" s="659" customFormat="1" ht="21.75" customHeight="1">
      <c r="J244" s="2870"/>
    </row>
    <row r="245" spans="10:10" s="659" customFormat="1" ht="21.75" customHeight="1">
      <c r="J245" s="2870"/>
    </row>
    <row r="246" spans="10:10" s="659" customFormat="1" ht="21.75" customHeight="1">
      <c r="J246" s="2870"/>
    </row>
    <row r="247" spans="10:10" s="659" customFormat="1" ht="21.75" customHeight="1">
      <c r="J247" s="2870"/>
    </row>
    <row r="248" spans="10:10" s="659" customFormat="1" ht="21.75" customHeight="1">
      <c r="J248" s="2870"/>
    </row>
    <row r="249" spans="10:10" s="659" customFormat="1" ht="21.75" customHeight="1">
      <c r="J249" s="2870"/>
    </row>
    <row r="250" spans="10:10" s="659" customFormat="1" ht="21.75" customHeight="1">
      <c r="J250" s="2870"/>
    </row>
    <row r="251" spans="10:10" s="659" customFormat="1" ht="21.75" customHeight="1">
      <c r="J251" s="2870"/>
    </row>
    <row r="252" spans="10:10" s="659" customFormat="1" ht="21.75" customHeight="1">
      <c r="J252" s="2870"/>
    </row>
    <row r="253" spans="10:10" s="659" customFormat="1" ht="21.75" customHeight="1">
      <c r="J253" s="2870"/>
    </row>
    <row r="254" spans="10:10" s="659" customFormat="1" ht="21.75" customHeight="1">
      <c r="J254" s="2870"/>
    </row>
    <row r="255" spans="10:10" s="659" customFormat="1" ht="21.75" customHeight="1">
      <c r="J255" s="2870"/>
    </row>
    <row r="256" spans="10:10" s="659" customFormat="1" ht="21.75" customHeight="1">
      <c r="J256" s="2870"/>
    </row>
    <row r="257" spans="10:10" s="659" customFormat="1" ht="21.75" customHeight="1">
      <c r="J257" s="2870"/>
    </row>
    <row r="258" spans="10:10" s="659" customFormat="1" ht="21.75" customHeight="1">
      <c r="J258" s="2870"/>
    </row>
    <row r="259" spans="10:10" s="659" customFormat="1" ht="21.75" customHeight="1">
      <c r="J259" s="2870"/>
    </row>
    <row r="260" spans="10:10" s="659" customFormat="1" ht="21.75" customHeight="1">
      <c r="J260" s="2870"/>
    </row>
    <row r="261" spans="10:10" s="659" customFormat="1" ht="21.75" customHeight="1">
      <c r="J261" s="2870"/>
    </row>
    <row r="262" spans="10:10" s="659" customFormat="1" ht="21.75" customHeight="1">
      <c r="J262" s="2870"/>
    </row>
    <row r="263" spans="10:10" s="659" customFormat="1" ht="21.75" customHeight="1">
      <c r="J263" s="2870"/>
    </row>
    <row r="264" spans="10:10" s="659" customFormat="1" ht="21.75" customHeight="1">
      <c r="J264" s="2870"/>
    </row>
    <row r="265" spans="10:10" s="659" customFormat="1" ht="21.75" customHeight="1">
      <c r="J265" s="2870"/>
    </row>
    <row r="266" spans="10:10" s="659" customFormat="1" ht="21.75" customHeight="1">
      <c r="J266" s="2870"/>
    </row>
    <row r="267" spans="10:10" s="659" customFormat="1" ht="21.75" customHeight="1">
      <c r="J267" s="2870"/>
    </row>
    <row r="268" spans="10:10" s="659" customFormat="1" ht="21.75" customHeight="1">
      <c r="J268" s="2870"/>
    </row>
    <row r="269" spans="10:10" s="659" customFormat="1" ht="21.75" customHeight="1">
      <c r="J269" s="2870"/>
    </row>
    <row r="270" spans="10:10" s="659" customFormat="1" ht="21.75" customHeight="1">
      <c r="J270" s="2870"/>
    </row>
    <row r="271" spans="10:10" s="659" customFormat="1" ht="21.75" customHeight="1">
      <c r="J271" s="2870"/>
    </row>
    <row r="272" spans="10:10" s="659" customFormat="1" ht="21.75" customHeight="1">
      <c r="J272" s="2870"/>
    </row>
    <row r="273" spans="10:10" s="659" customFormat="1" ht="21.75" customHeight="1">
      <c r="J273" s="2870"/>
    </row>
    <row r="274" spans="10:10" s="659" customFormat="1" ht="21.75" customHeight="1">
      <c r="J274" s="2870"/>
    </row>
    <row r="275" spans="10:10" s="659" customFormat="1" ht="21.75" customHeight="1">
      <c r="J275" s="2870"/>
    </row>
    <row r="276" spans="10:10" s="659" customFormat="1" ht="21.75" customHeight="1">
      <c r="J276" s="2870"/>
    </row>
    <row r="277" spans="10:10" s="659" customFormat="1" ht="21.75" customHeight="1">
      <c r="J277" s="2870"/>
    </row>
    <row r="278" spans="10:10" s="659" customFormat="1" ht="21.75" customHeight="1">
      <c r="J278" s="2870"/>
    </row>
    <row r="279" spans="10:10" s="659" customFormat="1" ht="21.75" customHeight="1">
      <c r="J279" s="2870"/>
    </row>
    <row r="280" spans="10:10" s="659" customFormat="1" ht="21.75" customHeight="1">
      <c r="J280" s="2870"/>
    </row>
    <row r="281" spans="10:10" s="659" customFormat="1" ht="21.75" customHeight="1">
      <c r="J281" s="2870"/>
    </row>
    <row r="282" spans="10:10" s="659" customFormat="1" ht="21.75" customHeight="1">
      <c r="J282" s="2870"/>
    </row>
    <row r="283" spans="10:10" s="659" customFormat="1" ht="21.75" customHeight="1">
      <c r="J283" s="2870"/>
    </row>
    <row r="284" spans="10:10" s="659" customFormat="1" ht="21.75" customHeight="1">
      <c r="J284" s="2870"/>
    </row>
    <row r="285" spans="10:10" s="659" customFormat="1" ht="21.75" customHeight="1">
      <c r="J285" s="2870"/>
    </row>
    <row r="286" spans="10:10" s="659" customFormat="1" ht="21.75" customHeight="1">
      <c r="J286" s="2870"/>
    </row>
    <row r="287" spans="10:10" s="659" customFormat="1" ht="21.75" customHeight="1">
      <c r="J287" s="2870"/>
    </row>
    <row r="288" spans="10:10" s="659" customFormat="1" ht="21.75" customHeight="1">
      <c r="J288" s="2870"/>
    </row>
    <row r="289" spans="10:10" s="659" customFormat="1" ht="21.75" customHeight="1">
      <c r="J289" s="2870"/>
    </row>
    <row r="290" spans="10:10" s="659" customFormat="1" ht="21.75" customHeight="1">
      <c r="J290" s="2870"/>
    </row>
    <row r="291" spans="10:10" s="659" customFormat="1" ht="21.75" customHeight="1">
      <c r="J291" s="2870"/>
    </row>
    <row r="292" spans="10:10" s="659" customFormat="1" ht="21.75" customHeight="1">
      <c r="J292" s="2870"/>
    </row>
    <row r="293" spans="10:10" s="659" customFormat="1" ht="21.75" customHeight="1">
      <c r="J293" s="2870"/>
    </row>
    <row r="294" spans="10:10" s="659" customFormat="1" ht="21.75" customHeight="1">
      <c r="J294" s="2870"/>
    </row>
    <row r="295" spans="10:10" s="659" customFormat="1" ht="21.75" customHeight="1">
      <c r="J295" s="2870"/>
    </row>
    <row r="296" spans="10:10" s="659" customFormat="1" ht="21.75" customHeight="1">
      <c r="J296" s="2870"/>
    </row>
    <row r="297" spans="10:10" s="659" customFormat="1" ht="21.75" customHeight="1">
      <c r="J297" s="2870"/>
    </row>
    <row r="298" spans="10:10" s="659" customFormat="1" ht="21.75" customHeight="1">
      <c r="J298" s="2870"/>
    </row>
    <row r="299" spans="10:10" s="659" customFormat="1" ht="21.75" customHeight="1">
      <c r="J299" s="2870"/>
    </row>
    <row r="300" spans="10:10" s="659" customFormat="1" ht="21.75" customHeight="1">
      <c r="J300" s="2870"/>
    </row>
    <row r="301" spans="10:10" s="659" customFormat="1" ht="21.75" customHeight="1">
      <c r="J301" s="2870"/>
    </row>
    <row r="302" spans="10:10" s="659" customFormat="1" ht="21.75" customHeight="1">
      <c r="J302" s="2870"/>
    </row>
    <row r="303" spans="10:10" s="659" customFormat="1" ht="21.75" customHeight="1">
      <c r="J303" s="2870"/>
    </row>
    <row r="304" spans="10:10" s="659" customFormat="1" ht="21.75" customHeight="1">
      <c r="J304" s="2870"/>
    </row>
    <row r="305" spans="10:10" s="659" customFormat="1" ht="21.75" customHeight="1">
      <c r="J305" s="2870"/>
    </row>
    <row r="306" spans="10:10" s="659" customFormat="1" ht="21.75" customHeight="1">
      <c r="J306" s="2870"/>
    </row>
    <row r="307" spans="10:10" s="659" customFormat="1" ht="21.75" customHeight="1">
      <c r="J307" s="2870"/>
    </row>
    <row r="308" spans="10:10" s="659" customFormat="1" ht="21.75" customHeight="1">
      <c r="J308" s="2870"/>
    </row>
    <row r="309" spans="10:10" s="659" customFormat="1" ht="21.75" customHeight="1">
      <c r="J309" s="2870"/>
    </row>
    <row r="310" spans="10:10" s="659" customFormat="1" ht="21.75" customHeight="1">
      <c r="J310" s="2870"/>
    </row>
    <row r="311" spans="10:10" s="659" customFormat="1" ht="21.75" customHeight="1">
      <c r="J311" s="2870"/>
    </row>
    <row r="312" spans="10:10" s="659" customFormat="1" ht="21.75" customHeight="1">
      <c r="J312" s="2870"/>
    </row>
    <row r="313" spans="10:10" s="659" customFormat="1" ht="21.75" customHeight="1">
      <c r="J313" s="2870"/>
    </row>
    <row r="314" spans="10:10" s="659" customFormat="1" ht="21.75" customHeight="1">
      <c r="J314" s="2870"/>
    </row>
    <row r="315" spans="10:10" s="659" customFormat="1" ht="21.75" customHeight="1">
      <c r="J315" s="2870"/>
    </row>
    <row r="316" spans="10:10" s="659" customFormat="1" ht="21.75" customHeight="1">
      <c r="J316" s="2870"/>
    </row>
    <row r="317" spans="10:10" s="659" customFormat="1" ht="21.75" customHeight="1">
      <c r="J317" s="2870"/>
    </row>
    <row r="318" spans="10:10" s="659" customFormat="1" ht="21.75" customHeight="1">
      <c r="J318" s="2870"/>
    </row>
    <row r="319" spans="10:10" s="659" customFormat="1" ht="21.75" customHeight="1">
      <c r="J319" s="2870"/>
    </row>
    <row r="320" spans="10:10" s="659" customFormat="1" ht="21.75" customHeight="1">
      <c r="J320" s="2870"/>
    </row>
    <row r="321" spans="10:10" s="659" customFormat="1" ht="21.75" customHeight="1">
      <c r="J321" s="2870"/>
    </row>
    <row r="322" spans="10:10" s="659" customFormat="1" ht="21.75" customHeight="1">
      <c r="J322" s="2870"/>
    </row>
    <row r="323" spans="10:10" s="659" customFormat="1" ht="21.75" customHeight="1">
      <c r="J323" s="2870"/>
    </row>
    <row r="324" spans="10:10" s="659" customFormat="1" ht="21.75" customHeight="1">
      <c r="J324" s="2870"/>
    </row>
    <row r="325" spans="10:10" s="659" customFormat="1" ht="21.75" customHeight="1">
      <c r="J325" s="2870"/>
    </row>
    <row r="326" spans="10:10" s="659" customFormat="1" ht="21.75" customHeight="1">
      <c r="J326" s="2870"/>
    </row>
    <row r="327" spans="10:10" s="659" customFormat="1" ht="21.75" customHeight="1">
      <c r="J327" s="2870"/>
    </row>
    <row r="328" spans="10:10" s="659" customFormat="1" ht="21.75" customHeight="1">
      <c r="J328" s="2870"/>
    </row>
    <row r="329" spans="10:10" s="659" customFormat="1" ht="21.75" customHeight="1">
      <c r="J329" s="2870"/>
    </row>
    <row r="330" spans="10:10" s="659" customFormat="1" ht="21.75" customHeight="1">
      <c r="J330" s="2870"/>
    </row>
    <row r="331" spans="10:10" s="659" customFormat="1" ht="21.75" customHeight="1">
      <c r="J331" s="2870"/>
    </row>
    <row r="332" spans="10:10" s="659" customFormat="1" ht="21.75" customHeight="1">
      <c r="J332" s="2870"/>
    </row>
    <row r="333" spans="10:10" s="659" customFormat="1" ht="21.75" customHeight="1">
      <c r="J333" s="2870"/>
    </row>
    <row r="334" spans="10:10" s="659" customFormat="1" ht="21.75" customHeight="1">
      <c r="J334" s="2870"/>
    </row>
    <row r="335" spans="10:10" s="659" customFormat="1" ht="21.75" customHeight="1">
      <c r="J335" s="2870"/>
    </row>
    <row r="336" spans="10:10" s="659" customFormat="1" ht="21.75" customHeight="1">
      <c r="J336" s="2870"/>
    </row>
    <row r="337" spans="10:10" s="659" customFormat="1" ht="21.75" customHeight="1">
      <c r="J337" s="2870"/>
    </row>
    <row r="338" spans="10:10" s="659" customFormat="1" ht="21.75" customHeight="1">
      <c r="J338" s="2870"/>
    </row>
    <row r="339" spans="10:10" s="659" customFormat="1" ht="21.75" customHeight="1">
      <c r="J339" s="2870"/>
    </row>
    <row r="340" spans="10:10" s="659" customFormat="1" ht="21.75" customHeight="1">
      <c r="J340" s="2870"/>
    </row>
    <row r="341" spans="10:10" s="659" customFormat="1" ht="21.75" customHeight="1">
      <c r="J341" s="2870"/>
    </row>
    <row r="342" spans="10:10" s="659" customFormat="1" ht="21.75" customHeight="1">
      <c r="J342" s="2870"/>
    </row>
    <row r="343" spans="10:10" s="659" customFormat="1" ht="21.75" customHeight="1">
      <c r="J343" s="2870"/>
    </row>
    <row r="344" spans="10:10" s="659" customFormat="1" ht="21.75" customHeight="1">
      <c r="J344" s="2870"/>
    </row>
    <row r="345" spans="10:10" s="659" customFormat="1" ht="21.75" customHeight="1">
      <c r="J345" s="2870"/>
    </row>
    <row r="346" spans="10:10" s="659" customFormat="1" ht="21.75" customHeight="1">
      <c r="J346" s="2870"/>
    </row>
    <row r="347" spans="10:10" s="659" customFormat="1" ht="21.75" customHeight="1">
      <c r="J347" s="2870"/>
    </row>
    <row r="348" spans="10:10" s="659" customFormat="1" ht="21.75" customHeight="1">
      <c r="J348" s="2870"/>
    </row>
    <row r="349" spans="10:10" s="659" customFormat="1" ht="21.75" customHeight="1">
      <c r="J349" s="2870"/>
    </row>
    <row r="350" spans="10:10" s="659" customFormat="1" ht="21.75" customHeight="1">
      <c r="J350" s="2870"/>
    </row>
    <row r="351" spans="10:10" s="659" customFormat="1" ht="21.75" customHeight="1">
      <c r="J351" s="2870"/>
    </row>
    <row r="352" spans="10:10" s="659" customFormat="1" ht="21.75" customHeight="1">
      <c r="J352" s="2870"/>
    </row>
    <row r="353" spans="10:10" s="659" customFormat="1" ht="21.75" customHeight="1">
      <c r="J353" s="2870"/>
    </row>
    <row r="354" spans="10:10" s="659" customFormat="1" ht="21.75" customHeight="1">
      <c r="J354" s="2870"/>
    </row>
    <row r="355" spans="10:10" s="659" customFormat="1" ht="21.75" customHeight="1">
      <c r="J355" s="2870"/>
    </row>
    <row r="356" spans="10:10" s="659" customFormat="1" ht="21.75" customHeight="1">
      <c r="J356" s="2870"/>
    </row>
    <row r="357" spans="10:10" s="659" customFormat="1" ht="21.75" customHeight="1">
      <c r="J357" s="2870"/>
    </row>
    <row r="358" spans="10:10" s="659" customFormat="1" ht="21.75" customHeight="1">
      <c r="J358" s="2870"/>
    </row>
    <row r="359" spans="10:10" s="659" customFormat="1" ht="21.75" customHeight="1">
      <c r="J359" s="2870"/>
    </row>
    <row r="360" spans="10:10" s="659" customFormat="1" ht="21.75" customHeight="1">
      <c r="J360" s="2870"/>
    </row>
    <row r="361" spans="10:10" s="659" customFormat="1" ht="21.75" customHeight="1">
      <c r="J361" s="2870"/>
    </row>
    <row r="362" spans="10:10" s="659" customFormat="1" ht="21.75" customHeight="1">
      <c r="J362" s="2870"/>
    </row>
    <row r="363" spans="10:10" s="659" customFormat="1" ht="21.75" customHeight="1">
      <c r="J363" s="2870"/>
    </row>
    <row r="364" spans="10:10" s="659" customFormat="1" ht="21.75" customHeight="1">
      <c r="J364" s="2870"/>
    </row>
    <row r="365" spans="10:10" s="659" customFormat="1" ht="21.75" customHeight="1">
      <c r="J365" s="2870"/>
    </row>
    <row r="366" spans="10:10" s="659" customFormat="1" ht="21.75" customHeight="1">
      <c r="J366" s="2870"/>
    </row>
    <row r="367" spans="10:10" s="659" customFormat="1" ht="21.75" customHeight="1">
      <c r="J367" s="2870"/>
    </row>
    <row r="368" spans="10:10" s="659" customFormat="1" ht="21.75" customHeight="1">
      <c r="J368" s="2870"/>
    </row>
    <row r="369" spans="10:10" s="659" customFormat="1" ht="21.75" customHeight="1">
      <c r="J369" s="2870"/>
    </row>
    <row r="370" spans="10:10" s="659" customFormat="1" ht="21.75" customHeight="1">
      <c r="J370" s="2870"/>
    </row>
    <row r="371" spans="10:10" s="659" customFormat="1" ht="21.75" customHeight="1">
      <c r="J371" s="2870"/>
    </row>
    <row r="372" spans="10:10" s="659" customFormat="1" ht="21.75" customHeight="1">
      <c r="J372" s="2870"/>
    </row>
    <row r="373" spans="10:10" s="659" customFormat="1" ht="21.75" customHeight="1">
      <c r="J373" s="2870"/>
    </row>
    <row r="374" spans="10:10" s="659" customFormat="1" ht="21.75" customHeight="1">
      <c r="J374" s="2870"/>
    </row>
    <row r="375" spans="10:10" s="659" customFormat="1" ht="21.75" customHeight="1">
      <c r="J375" s="2870"/>
    </row>
    <row r="376" spans="10:10" s="659" customFormat="1" ht="21.75" customHeight="1">
      <c r="J376" s="2870"/>
    </row>
    <row r="377" spans="10:10" s="659" customFormat="1" ht="21.75" customHeight="1">
      <c r="J377" s="2870"/>
    </row>
    <row r="378" spans="10:10" s="659" customFormat="1" ht="21.75" customHeight="1">
      <c r="J378" s="2870"/>
    </row>
    <row r="379" spans="10:10" s="659" customFormat="1" ht="21.75" customHeight="1">
      <c r="J379" s="2870"/>
    </row>
    <row r="380" spans="10:10" s="659" customFormat="1" ht="21.75" customHeight="1">
      <c r="J380" s="2870"/>
    </row>
    <row r="381" spans="10:10" s="659" customFormat="1" ht="21.75" customHeight="1">
      <c r="J381" s="2870"/>
    </row>
    <row r="382" spans="10:10" s="659" customFormat="1" ht="21.75" customHeight="1">
      <c r="J382" s="2870"/>
    </row>
    <row r="383" spans="10:10" s="659" customFormat="1" ht="21.75" customHeight="1">
      <c r="J383" s="2870"/>
    </row>
    <row r="384" spans="10:10" s="659" customFormat="1" ht="21.75" customHeight="1">
      <c r="J384" s="2870"/>
    </row>
    <row r="385" spans="10:10" s="659" customFormat="1" ht="21.75" customHeight="1">
      <c r="J385" s="2870"/>
    </row>
    <row r="386" spans="10:10" s="659" customFormat="1" ht="21.75" customHeight="1">
      <c r="J386" s="2870"/>
    </row>
    <row r="387" spans="10:10" s="659" customFormat="1" ht="21.75" customHeight="1">
      <c r="J387" s="2870"/>
    </row>
    <row r="388" spans="10:10" s="659" customFormat="1" ht="21.75" customHeight="1">
      <c r="J388" s="2870"/>
    </row>
    <row r="389" spans="10:10" s="659" customFormat="1" ht="21.75" customHeight="1">
      <c r="J389" s="2870"/>
    </row>
    <row r="390" spans="10:10" s="659" customFormat="1" ht="21.75" customHeight="1">
      <c r="J390" s="2870"/>
    </row>
    <row r="391" spans="10:10" s="659" customFormat="1" ht="21.75" customHeight="1">
      <c r="J391" s="2870"/>
    </row>
    <row r="392" spans="10:10" s="659" customFormat="1" ht="21.75" customHeight="1">
      <c r="J392" s="2870"/>
    </row>
    <row r="393" spans="10:10" s="659" customFormat="1" ht="21.75" customHeight="1">
      <c r="J393" s="2870"/>
    </row>
    <row r="394" spans="10:10" s="659" customFormat="1" ht="21.75" customHeight="1">
      <c r="J394" s="2870"/>
    </row>
    <row r="395" spans="10:10" s="659" customFormat="1" ht="21.75" customHeight="1">
      <c r="J395" s="2870"/>
    </row>
    <row r="396" spans="10:10" s="659" customFormat="1" ht="21.75" customHeight="1">
      <c r="J396" s="2870"/>
    </row>
    <row r="397" spans="10:10" s="659" customFormat="1" ht="21.75" customHeight="1">
      <c r="J397" s="2870"/>
    </row>
    <row r="398" spans="10:10" s="659" customFormat="1" ht="21.75" customHeight="1">
      <c r="J398" s="2870"/>
    </row>
    <row r="399" spans="10:10" s="659" customFormat="1" ht="21.75" customHeight="1">
      <c r="J399" s="2870"/>
    </row>
    <row r="400" spans="10:10" s="659" customFormat="1" ht="21.75" customHeight="1">
      <c r="J400" s="2870"/>
    </row>
    <row r="401" spans="10:27" s="659" customFormat="1" ht="21.75" customHeight="1">
      <c r="J401" s="2870"/>
    </row>
    <row r="402" spans="10:27" s="659" customFormat="1" ht="21.75" customHeight="1">
      <c r="J402" s="2870"/>
    </row>
    <row r="403" spans="10:27" s="1308" customFormat="1" ht="21.75" customHeight="1">
      <c r="J403" s="2840"/>
      <c r="K403" s="659"/>
      <c r="L403" s="659"/>
      <c r="M403" s="659"/>
      <c r="N403" s="659"/>
      <c r="O403" s="659"/>
      <c r="P403" s="659"/>
      <c r="Q403" s="659"/>
      <c r="R403" s="659"/>
      <c r="S403" s="659"/>
      <c r="T403" s="659"/>
      <c r="U403" s="659"/>
      <c r="V403" s="659"/>
      <c r="W403" s="659"/>
      <c r="X403" s="659"/>
      <c r="Y403" s="659"/>
      <c r="Z403" s="659"/>
      <c r="AA403" s="659"/>
    </row>
    <row r="404" spans="10:27" s="1308" customFormat="1" ht="21.75" customHeight="1">
      <c r="J404" s="2840"/>
      <c r="K404" s="659"/>
      <c r="L404" s="659"/>
      <c r="M404" s="659"/>
      <c r="N404" s="659"/>
      <c r="O404" s="659"/>
      <c r="P404" s="659"/>
      <c r="Q404" s="659"/>
      <c r="R404" s="659"/>
      <c r="S404" s="659"/>
      <c r="T404" s="659"/>
      <c r="U404" s="659"/>
      <c r="V404" s="659"/>
      <c r="W404" s="659"/>
      <c r="X404" s="659"/>
      <c r="Y404" s="659"/>
      <c r="Z404" s="659"/>
      <c r="AA404" s="659"/>
    </row>
    <row r="405" spans="10:27" s="1308" customFormat="1" ht="21.75" customHeight="1">
      <c r="J405" s="2840"/>
      <c r="K405" s="659"/>
      <c r="L405" s="659"/>
      <c r="M405" s="659"/>
      <c r="N405" s="659"/>
      <c r="O405" s="659"/>
      <c r="P405" s="659"/>
      <c r="Q405" s="659"/>
      <c r="R405" s="659"/>
      <c r="S405" s="659"/>
      <c r="T405" s="659"/>
      <c r="U405" s="659"/>
      <c r="V405" s="659"/>
      <c r="W405" s="659"/>
      <c r="X405" s="659"/>
      <c r="Y405" s="659"/>
      <c r="Z405" s="659"/>
      <c r="AA405" s="659"/>
    </row>
    <row r="406" spans="10:27" s="1308" customFormat="1" ht="21.75" customHeight="1">
      <c r="J406" s="2840"/>
      <c r="K406" s="659"/>
      <c r="L406" s="659"/>
      <c r="M406" s="659"/>
      <c r="N406" s="659"/>
      <c r="O406" s="659"/>
      <c r="P406" s="659"/>
      <c r="Q406" s="659"/>
      <c r="R406" s="659"/>
      <c r="S406" s="659"/>
      <c r="T406" s="659"/>
      <c r="U406" s="659"/>
      <c r="V406" s="659"/>
      <c r="W406" s="659"/>
      <c r="X406" s="659"/>
      <c r="Y406" s="659"/>
      <c r="Z406" s="659"/>
      <c r="AA406" s="659"/>
    </row>
    <row r="407" spans="10:27" s="1308" customFormat="1" ht="21.75" customHeight="1">
      <c r="J407" s="2840"/>
      <c r="K407" s="659"/>
      <c r="L407" s="659"/>
      <c r="M407" s="659"/>
      <c r="N407" s="659"/>
      <c r="O407" s="659"/>
      <c r="P407" s="659"/>
      <c r="Q407" s="659"/>
      <c r="R407" s="659"/>
      <c r="S407" s="659"/>
      <c r="T407" s="659"/>
      <c r="U407" s="659"/>
      <c r="V407" s="659"/>
      <c r="W407" s="659"/>
      <c r="X407" s="659"/>
      <c r="Y407" s="659"/>
      <c r="Z407" s="659"/>
      <c r="AA407" s="659"/>
    </row>
    <row r="408" spans="10:27" s="1308" customFormat="1" ht="21.75" customHeight="1">
      <c r="J408" s="2840"/>
      <c r="K408" s="659"/>
      <c r="L408" s="659"/>
      <c r="M408" s="659"/>
      <c r="N408" s="659"/>
      <c r="O408" s="659"/>
      <c r="P408" s="659"/>
      <c r="Q408" s="659"/>
      <c r="R408" s="659"/>
      <c r="S408" s="659"/>
      <c r="T408" s="659"/>
      <c r="U408" s="659"/>
      <c r="V408" s="659"/>
      <c r="W408" s="659"/>
      <c r="X408" s="659"/>
      <c r="Y408" s="659"/>
      <c r="Z408" s="659"/>
      <c r="AA408" s="659"/>
    </row>
    <row r="409" spans="10:27" s="1308" customFormat="1" ht="21.75" customHeight="1">
      <c r="J409" s="2840"/>
      <c r="K409" s="659"/>
      <c r="L409" s="659"/>
      <c r="M409" s="659"/>
      <c r="N409" s="659"/>
      <c r="O409" s="659"/>
      <c r="P409" s="659"/>
      <c r="Q409" s="659"/>
      <c r="R409" s="659"/>
      <c r="S409" s="659"/>
      <c r="T409" s="659"/>
      <c r="U409" s="659"/>
      <c r="V409" s="659"/>
      <c r="W409" s="659"/>
      <c r="X409" s="659"/>
      <c r="Y409" s="659"/>
      <c r="Z409" s="659"/>
      <c r="AA409" s="659"/>
    </row>
    <row r="410" spans="10:27" s="1308" customFormat="1" ht="21.75" customHeight="1">
      <c r="J410" s="2840"/>
      <c r="K410" s="659"/>
      <c r="L410" s="659"/>
      <c r="M410" s="659"/>
      <c r="N410" s="659"/>
      <c r="O410" s="659"/>
      <c r="P410" s="659"/>
      <c r="Q410" s="659"/>
      <c r="R410" s="659"/>
      <c r="S410" s="659"/>
      <c r="T410" s="659"/>
      <c r="U410" s="659"/>
      <c r="V410" s="659"/>
      <c r="W410" s="659"/>
      <c r="X410" s="659"/>
      <c r="Y410" s="659"/>
      <c r="Z410" s="659"/>
      <c r="AA410" s="659"/>
    </row>
    <row r="411" spans="10:27" s="1308" customFormat="1" ht="21.75" customHeight="1">
      <c r="J411" s="2840"/>
      <c r="K411" s="659"/>
      <c r="L411" s="659"/>
      <c r="M411" s="659"/>
      <c r="N411" s="659"/>
      <c r="O411" s="659"/>
      <c r="P411" s="659"/>
      <c r="Q411" s="659"/>
      <c r="R411" s="659"/>
      <c r="S411" s="659"/>
      <c r="T411" s="659"/>
      <c r="U411" s="659"/>
      <c r="V411" s="659"/>
      <c r="W411" s="659"/>
      <c r="X411" s="659"/>
      <c r="Y411" s="659"/>
      <c r="Z411" s="659"/>
      <c r="AA411" s="659"/>
    </row>
    <row r="412" spans="10:27" s="1308" customFormat="1" ht="21.75" customHeight="1">
      <c r="J412" s="2840"/>
      <c r="K412" s="659"/>
      <c r="L412" s="659"/>
      <c r="M412" s="659"/>
      <c r="N412" s="659"/>
      <c r="O412" s="659"/>
      <c r="P412" s="659"/>
      <c r="Q412" s="659"/>
      <c r="R412" s="659"/>
      <c r="S412" s="659"/>
      <c r="T412" s="659"/>
      <c r="U412" s="659"/>
      <c r="V412" s="659"/>
      <c r="W412" s="659"/>
      <c r="X412" s="659"/>
      <c r="Y412" s="659"/>
      <c r="Z412" s="659"/>
      <c r="AA412" s="659"/>
    </row>
    <row r="413" spans="10:27" s="1308" customFormat="1" ht="21.75" customHeight="1">
      <c r="J413" s="2840"/>
      <c r="K413" s="659"/>
      <c r="L413" s="659"/>
      <c r="M413" s="659"/>
      <c r="N413" s="659"/>
      <c r="O413" s="659"/>
      <c r="P413" s="659"/>
      <c r="Q413" s="659"/>
      <c r="R413" s="659"/>
      <c r="S413" s="659"/>
      <c r="T413" s="659"/>
      <c r="U413" s="659"/>
      <c r="V413" s="659"/>
      <c r="W413" s="659"/>
      <c r="X413" s="659"/>
      <c r="Y413" s="659"/>
      <c r="Z413" s="659"/>
      <c r="AA413" s="659"/>
    </row>
    <row r="414" spans="10:27" s="1308" customFormat="1" ht="21.75" customHeight="1">
      <c r="J414" s="2840"/>
      <c r="K414" s="659"/>
      <c r="L414" s="659"/>
      <c r="M414" s="659"/>
      <c r="N414" s="659"/>
      <c r="O414" s="659"/>
      <c r="P414" s="659"/>
      <c r="Q414" s="659"/>
      <c r="R414" s="659"/>
      <c r="S414" s="659"/>
      <c r="T414" s="659"/>
      <c r="U414" s="659"/>
      <c r="V414" s="659"/>
      <c r="W414" s="659"/>
      <c r="X414" s="659"/>
      <c r="Y414" s="659"/>
      <c r="Z414" s="659"/>
      <c r="AA414" s="659"/>
    </row>
    <row r="415" spans="10:27" s="1308" customFormat="1" ht="21.75" customHeight="1">
      <c r="J415" s="2840"/>
      <c r="K415" s="659"/>
      <c r="L415" s="659"/>
      <c r="M415" s="659"/>
      <c r="N415" s="659"/>
      <c r="O415" s="659"/>
      <c r="P415" s="659"/>
      <c r="Q415" s="659"/>
      <c r="R415" s="659"/>
      <c r="S415" s="659"/>
      <c r="T415" s="659"/>
      <c r="U415" s="659"/>
      <c r="V415" s="659"/>
      <c r="W415" s="659"/>
      <c r="X415" s="659"/>
      <c r="Y415" s="659"/>
      <c r="Z415" s="659"/>
      <c r="AA415" s="659"/>
    </row>
    <row r="416" spans="10:27" s="1308" customFormat="1" ht="21.75" customHeight="1">
      <c r="J416" s="2840"/>
      <c r="K416" s="659"/>
      <c r="L416" s="659"/>
      <c r="M416" s="659"/>
      <c r="N416" s="659"/>
      <c r="O416" s="659"/>
      <c r="P416" s="659"/>
      <c r="Q416" s="659"/>
      <c r="R416" s="659"/>
      <c r="S416" s="659"/>
      <c r="T416" s="659"/>
      <c r="U416" s="659"/>
      <c r="V416" s="659"/>
      <c r="W416" s="659"/>
      <c r="X416" s="659"/>
      <c r="Y416" s="659"/>
      <c r="Z416" s="659"/>
      <c r="AA416" s="659"/>
    </row>
    <row r="417" spans="10:27" s="1308" customFormat="1" ht="21.75" customHeight="1">
      <c r="J417" s="2840"/>
      <c r="K417" s="659"/>
      <c r="L417" s="659"/>
      <c r="M417" s="659"/>
      <c r="N417" s="659"/>
      <c r="O417" s="659"/>
      <c r="P417" s="659"/>
      <c r="Q417" s="659"/>
      <c r="R417" s="659"/>
      <c r="S417" s="659"/>
      <c r="T417" s="659"/>
      <c r="U417" s="659"/>
      <c r="V417" s="659"/>
      <c r="W417" s="659"/>
      <c r="X417" s="659"/>
      <c r="Y417" s="659"/>
      <c r="Z417" s="659"/>
      <c r="AA417" s="659"/>
    </row>
    <row r="418" spans="10:27" s="1308" customFormat="1" ht="21.75" customHeight="1">
      <c r="J418" s="2840"/>
      <c r="K418" s="659"/>
      <c r="L418" s="659"/>
      <c r="M418" s="659"/>
      <c r="N418" s="659"/>
      <c r="O418" s="659"/>
      <c r="P418" s="659"/>
      <c r="Q418" s="659"/>
      <c r="R418" s="659"/>
      <c r="S418" s="659"/>
      <c r="T418" s="659"/>
      <c r="U418" s="659"/>
      <c r="V418" s="659"/>
      <c r="W418" s="659"/>
      <c r="X418" s="659"/>
      <c r="Y418" s="659"/>
      <c r="Z418" s="659"/>
      <c r="AA418" s="659"/>
    </row>
    <row r="419" spans="10:27" s="1308" customFormat="1" ht="21.75" customHeight="1">
      <c r="J419" s="2840"/>
      <c r="K419" s="659"/>
      <c r="L419" s="659"/>
      <c r="M419" s="659"/>
      <c r="N419" s="659"/>
      <c r="O419" s="659"/>
      <c r="P419" s="659"/>
      <c r="Q419" s="659"/>
      <c r="R419" s="659"/>
      <c r="S419" s="659"/>
      <c r="T419" s="659"/>
      <c r="U419" s="659"/>
      <c r="V419" s="659"/>
      <c r="W419" s="659"/>
      <c r="X419" s="659"/>
      <c r="Y419" s="659"/>
      <c r="Z419" s="659"/>
      <c r="AA419" s="659"/>
    </row>
    <row r="420" spans="10:27" s="1308" customFormat="1" ht="21.75" customHeight="1">
      <c r="J420" s="2840"/>
      <c r="K420" s="659"/>
      <c r="L420" s="659"/>
      <c r="M420" s="659"/>
      <c r="N420" s="659"/>
      <c r="O420" s="659"/>
      <c r="P420" s="659"/>
      <c r="Q420" s="659"/>
      <c r="R420" s="659"/>
      <c r="S420" s="659"/>
      <c r="T420" s="659"/>
      <c r="U420" s="659"/>
      <c r="V420" s="659"/>
      <c r="W420" s="659"/>
      <c r="X420" s="659"/>
      <c r="Y420" s="659"/>
      <c r="Z420" s="659"/>
      <c r="AA420" s="659"/>
    </row>
    <row r="421" spans="10:27" s="1308" customFormat="1" ht="21.75" customHeight="1">
      <c r="J421" s="2840"/>
      <c r="K421" s="659"/>
      <c r="L421" s="659"/>
      <c r="M421" s="659"/>
      <c r="N421" s="659"/>
      <c r="O421" s="659"/>
      <c r="P421" s="659"/>
      <c r="Q421" s="659"/>
      <c r="R421" s="659"/>
      <c r="S421" s="659"/>
      <c r="T421" s="659"/>
      <c r="U421" s="659"/>
      <c r="V421" s="659"/>
      <c r="W421" s="659"/>
      <c r="X421" s="659"/>
      <c r="Y421" s="659"/>
      <c r="Z421" s="659"/>
      <c r="AA421" s="659"/>
    </row>
    <row r="422" spans="10:27" s="1308" customFormat="1" ht="21.75" customHeight="1">
      <c r="J422" s="2840"/>
      <c r="K422" s="659"/>
      <c r="L422" s="659"/>
      <c r="M422" s="659"/>
      <c r="N422" s="659"/>
      <c r="O422" s="659"/>
      <c r="P422" s="659"/>
      <c r="Q422" s="659"/>
      <c r="R422" s="659"/>
      <c r="S422" s="659"/>
      <c r="T422" s="659"/>
      <c r="U422" s="659"/>
      <c r="V422" s="659"/>
      <c r="W422" s="659"/>
      <c r="X422" s="659"/>
      <c r="Y422" s="659"/>
      <c r="Z422" s="659"/>
      <c r="AA422" s="659"/>
    </row>
    <row r="423" spans="10:27" s="1308" customFormat="1" ht="21.75" customHeight="1">
      <c r="J423" s="2840"/>
      <c r="K423" s="659"/>
      <c r="L423" s="659"/>
      <c r="M423" s="659"/>
      <c r="N423" s="659"/>
      <c r="O423" s="659"/>
      <c r="P423" s="659"/>
      <c r="Q423" s="659"/>
      <c r="R423" s="659"/>
      <c r="S423" s="659"/>
      <c r="T423" s="659"/>
      <c r="U423" s="659"/>
      <c r="V423" s="659"/>
      <c r="W423" s="659"/>
      <c r="X423" s="659"/>
      <c r="Y423" s="659"/>
      <c r="Z423" s="659"/>
      <c r="AA423" s="659"/>
    </row>
    <row r="424" spans="10:27" s="1308" customFormat="1" ht="21.75" customHeight="1">
      <c r="J424" s="2840"/>
      <c r="K424" s="659"/>
      <c r="L424" s="659"/>
      <c r="M424" s="659"/>
      <c r="N424" s="659"/>
      <c r="O424" s="659"/>
      <c r="P424" s="659"/>
      <c r="Q424" s="659"/>
      <c r="R424" s="659"/>
      <c r="S424" s="659"/>
      <c r="T424" s="659"/>
      <c r="U424" s="659"/>
      <c r="V424" s="659"/>
      <c r="W424" s="659"/>
      <c r="X424" s="659"/>
      <c r="Y424" s="659"/>
      <c r="Z424" s="659"/>
      <c r="AA424" s="659"/>
    </row>
    <row r="425" spans="10:27" s="1308" customFormat="1" ht="21.75" customHeight="1">
      <c r="J425" s="2840"/>
      <c r="K425" s="659"/>
      <c r="L425" s="659"/>
      <c r="M425" s="659"/>
      <c r="N425" s="659"/>
      <c r="O425" s="659"/>
      <c r="P425" s="659"/>
      <c r="Q425" s="659"/>
      <c r="R425" s="659"/>
      <c r="S425" s="659"/>
      <c r="T425" s="659"/>
      <c r="U425" s="659"/>
      <c r="V425" s="659"/>
      <c r="W425" s="659"/>
      <c r="X425" s="659"/>
      <c r="Y425" s="659"/>
      <c r="Z425" s="659"/>
      <c r="AA425" s="659"/>
    </row>
    <row r="426" spans="10:27" s="1308" customFormat="1" ht="21.75" customHeight="1">
      <c r="J426" s="2840"/>
      <c r="K426" s="659"/>
      <c r="L426" s="659"/>
      <c r="M426" s="659"/>
      <c r="N426" s="659"/>
      <c r="O426" s="659"/>
      <c r="P426" s="659"/>
      <c r="Q426" s="659"/>
      <c r="R426" s="659"/>
      <c r="S426" s="659"/>
      <c r="T426" s="659"/>
      <c r="U426" s="659"/>
      <c r="V426" s="659"/>
      <c r="W426" s="659"/>
      <c r="X426" s="659"/>
      <c r="Y426" s="659"/>
      <c r="Z426" s="659"/>
      <c r="AA426" s="659"/>
    </row>
    <row r="427" spans="10:27" s="1308" customFormat="1" ht="21.75" customHeight="1">
      <c r="J427" s="2840"/>
      <c r="K427" s="659"/>
      <c r="L427" s="659"/>
      <c r="M427" s="659"/>
      <c r="N427" s="659"/>
      <c r="O427" s="659"/>
      <c r="P427" s="659"/>
      <c r="Q427" s="659"/>
      <c r="R427" s="659"/>
      <c r="S427" s="659"/>
      <c r="T427" s="659"/>
      <c r="U427" s="659"/>
      <c r="V427" s="659"/>
      <c r="W427" s="659"/>
      <c r="X427" s="659"/>
      <c r="Y427" s="659"/>
      <c r="Z427" s="659"/>
      <c r="AA427" s="659"/>
    </row>
    <row r="428" spans="10:27" s="1308" customFormat="1" ht="21.75" customHeight="1">
      <c r="J428" s="2840"/>
      <c r="K428" s="659"/>
      <c r="L428" s="659"/>
      <c r="M428" s="659"/>
      <c r="N428" s="659"/>
      <c r="O428" s="659"/>
      <c r="P428" s="659"/>
      <c r="Q428" s="659"/>
      <c r="R428" s="659"/>
      <c r="S428" s="659"/>
      <c r="T428" s="659"/>
      <c r="U428" s="659"/>
      <c r="V428" s="659"/>
      <c r="W428" s="659"/>
      <c r="X428" s="659"/>
      <c r="Y428" s="659"/>
      <c r="Z428" s="659"/>
      <c r="AA428" s="659"/>
    </row>
    <row r="429" spans="10:27" s="1308" customFormat="1" ht="21.75" customHeight="1">
      <c r="J429" s="2840"/>
      <c r="K429" s="659"/>
      <c r="L429" s="659"/>
      <c r="M429" s="659"/>
      <c r="N429" s="659"/>
      <c r="O429" s="659"/>
      <c r="P429" s="659"/>
      <c r="Q429" s="659"/>
      <c r="R429" s="659"/>
      <c r="S429" s="659"/>
      <c r="T429" s="659"/>
      <c r="U429" s="659"/>
      <c r="V429" s="659"/>
      <c r="W429" s="659"/>
      <c r="X429" s="659"/>
      <c r="Y429" s="659"/>
      <c r="Z429" s="659"/>
      <c r="AA429" s="659"/>
    </row>
    <row r="430" spans="10:27" s="1308" customFormat="1" ht="21.75" customHeight="1">
      <c r="J430" s="2840"/>
      <c r="K430" s="659"/>
      <c r="L430" s="659"/>
      <c r="M430" s="659"/>
      <c r="N430" s="659"/>
      <c r="O430" s="659"/>
      <c r="P430" s="659"/>
      <c r="Q430" s="659"/>
      <c r="R430" s="659"/>
      <c r="S430" s="659"/>
      <c r="T430" s="659"/>
      <c r="U430" s="659"/>
      <c r="V430" s="659"/>
      <c r="W430" s="659"/>
      <c r="X430" s="659"/>
      <c r="Y430" s="659"/>
      <c r="Z430" s="659"/>
      <c r="AA430" s="659"/>
    </row>
    <row r="431" spans="10:27" s="1308" customFormat="1" ht="21.75" customHeight="1">
      <c r="J431" s="2840"/>
      <c r="K431" s="659"/>
      <c r="L431" s="659"/>
      <c r="M431" s="659"/>
      <c r="N431" s="659"/>
      <c r="O431" s="659"/>
      <c r="P431" s="659"/>
      <c r="Q431" s="659"/>
      <c r="R431" s="659"/>
      <c r="S431" s="659"/>
      <c r="T431" s="659"/>
      <c r="U431" s="659"/>
      <c r="V431" s="659"/>
      <c r="W431" s="659"/>
      <c r="X431" s="659"/>
      <c r="Y431" s="659"/>
      <c r="Z431" s="659"/>
      <c r="AA431" s="659"/>
    </row>
    <row r="432" spans="10:27" s="1308" customFormat="1" ht="21.75" customHeight="1">
      <c r="J432" s="2840"/>
      <c r="K432" s="659"/>
      <c r="L432" s="659"/>
      <c r="M432" s="659"/>
      <c r="N432" s="659"/>
      <c r="O432" s="659"/>
      <c r="P432" s="659"/>
      <c r="Q432" s="659"/>
      <c r="R432" s="659"/>
      <c r="S432" s="659"/>
      <c r="T432" s="659"/>
      <c r="U432" s="659"/>
      <c r="V432" s="659"/>
      <c r="W432" s="659"/>
      <c r="X432" s="659"/>
      <c r="Y432" s="659"/>
      <c r="Z432" s="659"/>
      <c r="AA432" s="659"/>
    </row>
    <row r="433" spans="10:27" s="1308" customFormat="1" ht="21.75" customHeight="1">
      <c r="J433" s="2840"/>
      <c r="K433" s="659"/>
      <c r="L433" s="659"/>
      <c r="M433" s="659"/>
      <c r="N433" s="659"/>
      <c r="O433" s="659"/>
      <c r="P433" s="659"/>
      <c r="Q433" s="659"/>
      <c r="R433" s="659"/>
      <c r="S433" s="659"/>
      <c r="T433" s="659"/>
      <c r="U433" s="659"/>
      <c r="V433" s="659"/>
      <c r="W433" s="659"/>
      <c r="X433" s="659"/>
      <c r="Y433" s="659"/>
      <c r="Z433" s="659"/>
      <c r="AA433" s="659"/>
    </row>
    <row r="434" spans="10:27" s="1308" customFormat="1" ht="21.75" customHeight="1">
      <c r="J434" s="2840"/>
      <c r="K434" s="659"/>
      <c r="L434" s="659"/>
      <c r="M434" s="659"/>
      <c r="N434" s="659"/>
      <c r="O434" s="659"/>
      <c r="P434" s="659"/>
      <c r="Q434" s="659"/>
      <c r="R434" s="659"/>
      <c r="S434" s="659"/>
      <c r="T434" s="659"/>
      <c r="U434" s="659"/>
      <c r="V434" s="659"/>
      <c r="W434" s="659"/>
      <c r="X434" s="659"/>
      <c r="Y434" s="659"/>
      <c r="Z434" s="659"/>
      <c r="AA434" s="659"/>
    </row>
    <row r="435" spans="10:27" s="1308" customFormat="1" ht="21.75" customHeight="1">
      <c r="J435" s="2840"/>
      <c r="K435" s="659"/>
      <c r="L435" s="659"/>
      <c r="M435" s="659"/>
      <c r="N435" s="659"/>
      <c r="O435" s="659"/>
      <c r="P435" s="659"/>
      <c r="Q435" s="659"/>
      <c r="R435" s="659"/>
      <c r="S435" s="659"/>
      <c r="T435" s="659"/>
      <c r="U435" s="659"/>
      <c r="V435" s="659"/>
      <c r="W435" s="659"/>
      <c r="X435" s="659"/>
      <c r="Y435" s="659"/>
      <c r="Z435" s="659"/>
      <c r="AA435" s="659"/>
    </row>
    <row r="436" spans="10:27" s="1308" customFormat="1" ht="21.75" customHeight="1">
      <c r="J436" s="2840"/>
      <c r="K436" s="659"/>
      <c r="L436" s="659"/>
      <c r="M436" s="659"/>
      <c r="N436" s="659"/>
      <c r="O436" s="659"/>
      <c r="P436" s="659"/>
      <c r="Q436" s="659"/>
      <c r="R436" s="659"/>
      <c r="S436" s="659"/>
      <c r="T436" s="659"/>
      <c r="U436" s="659"/>
      <c r="V436" s="659"/>
      <c r="W436" s="659"/>
      <c r="X436" s="659"/>
      <c r="Y436" s="659"/>
      <c r="Z436" s="659"/>
      <c r="AA436" s="659"/>
    </row>
    <row r="437" spans="10:27" s="1308" customFormat="1" ht="21.75" customHeight="1">
      <c r="J437" s="2840"/>
      <c r="K437" s="659"/>
      <c r="L437" s="659"/>
      <c r="M437" s="659"/>
      <c r="N437" s="659"/>
      <c r="O437" s="659"/>
      <c r="P437" s="659"/>
      <c r="Q437" s="659"/>
      <c r="R437" s="659"/>
      <c r="S437" s="659"/>
      <c r="T437" s="659"/>
      <c r="U437" s="659"/>
      <c r="V437" s="659"/>
      <c r="W437" s="659"/>
      <c r="X437" s="659"/>
      <c r="Y437" s="659"/>
      <c r="Z437" s="659"/>
      <c r="AA437" s="659"/>
    </row>
    <row r="438" spans="10:27" s="1308" customFormat="1" ht="21.75" customHeight="1">
      <c r="J438" s="2840"/>
      <c r="K438" s="659"/>
      <c r="L438" s="659"/>
      <c r="M438" s="659"/>
      <c r="N438" s="659"/>
      <c r="O438" s="659"/>
      <c r="P438" s="659"/>
      <c r="Q438" s="659"/>
      <c r="R438" s="659"/>
      <c r="S438" s="659"/>
      <c r="T438" s="659"/>
      <c r="U438" s="659"/>
      <c r="V438" s="659"/>
      <c r="W438" s="659"/>
      <c r="X438" s="659"/>
      <c r="Y438" s="659"/>
      <c r="Z438" s="659"/>
      <c r="AA438" s="659"/>
    </row>
    <row r="439" spans="10:27" s="1308" customFormat="1" ht="21.75" customHeight="1">
      <c r="J439" s="2840"/>
      <c r="K439" s="659"/>
      <c r="L439" s="659"/>
      <c r="M439" s="659"/>
      <c r="N439" s="659"/>
      <c r="O439" s="659"/>
      <c r="P439" s="659"/>
      <c r="Q439" s="659"/>
      <c r="R439" s="659"/>
      <c r="S439" s="659"/>
      <c r="T439" s="659"/>
      <c r="U439" s="659"/>
      <c r="V439" s="659"/>
      <c r="W439" s="659"/>
      <c r="X439" s="659"/>
      <c r="Y439" s="659"/>
      <c r="Z439" s="659"/>
      <c r="AA439" s="659"/>
    </row>
    <row r="440" spans="10:27" s="1308" customFormat="1" ht="21.75" customHeight="1">
      <c r="J440" s="2840"/>
      <c r="K440" s="659"/>
      <c r="L440" s="659"/>
      <c r="M440" s="659"/>
      <c r="N440" s="659"/>
      <c r="O440" s="659"/>
      <c r="P440" s="659"/>
      <c r="Q440" s="659"/>
      <c r="R440" s="659"/>
      <c r="S440" s="659"/>
      <c r="T440" s="659"/>
      <c r="U440" s="659"/>
      <c r="V440" s="659"/>
      <c r="W440" s="659"/>
      <c r="X440" s="659"/>
      <c r="Y440" s="659"/>
      <c r="Z440" s="659"/>
      <c r="AA440" s="659"/>
    </row>
    <row r="441" spans="10:27" s="1308" customFormat="1" ht="21.75" customHeight="1">
      <c r="J441" s="2840"/>
      <c r="K441" s="659"/>
      <c r="L441" s="659"/>
      <c r="M441" s="659"/>
      <c r="N441" s="659"/>
      <c r="O441" s="659"/>
      <c r="P441" s="659"/>
      <c r="Q441" s="659"/>
      <c r="R441" s="659"/>
      <c r="S441" s="659"/>
      <c r="T441" s="659"/>
      <c r="U441" s="659"/>
      <c r="V441" s="659"/>
      <c r="W441" s="659"/>
      <c r="X441" s="659"/>
      <c r="Y441" s="659"/>
      <c r="Z441" s="659"/>
      <c r="AA441" s="659"/>
    </row>
    <row r="442" spans="10:27" s="1308" customFormat="1" ht="21.75" customHeight="1">
      <c r="J442" s="2840"/>
      <c r="K442" s="659"/>
      <c r="L442" s="659"/>
      <c r="M442" s="659"/>
      <c r="N442" s="659"/>
      <c r="O442" s="659"/>
      <c r="P442" s="659"/>
      <c r="Q442" s="659"/>
      <c r="R442" s="659"/>
      <c r="S442" s="659"/>
      <c r="T442" s="659"/>
      <c r="U442" s="659"/>
      <c r="V442" s="659"/>
      <c r="W442" s="659"/>
      <c r="X442" s="659"/>
      <c r="Y442" s="659"/>
      <c r="Z442" s="659"/>
      <c r="AA442" s="659"/>
    </row>
    <row r="443" spans="10:27" s="1308" customFormat="1" ht="21.75" customHeight="1">
      <c r="J443" s="2840"/>
      <c r="K443" s="659"/>
      <c r="L443" s="659"/>
      <c r="M443" s="659"/>
      <c r="N443" s="659"/>
      <c r="O443" s="659"/>
      <c r="P443" s="659"/>
      <c r="Q443" s="659"/>
      <c r="R443" s="659"/>
      <c r="S443" s="659"/>
      <c r="T443" s="659"/>
      <c r="U443" s="659"/>
      <c r="V443" s="659"/>
      <c r="W443" s="659"/>
      <c r="X443" s="659"/>
      <c r="Y443" s="659"/>
      <c r="Z443" s="659"/>
      <c r="AA443" s="659"/>
    </row>
    <row r="444" spans="10:27" s="1308" customFormat="1" ht="21.75" customHeight="1">
      <c r="J444" s="2840"/>
      <c r="K444" s="659"/>
      <c r="L444" s="659"/>
      <c r="M444" s="659"/>
      <c r="N444" s="659"/>
      <c r="O444" s="659"/>
      <c r="P444" s="659"/>
      <c r="Q444" s="659"/>
      <c r="R444" s="659"/>
      <c r="S444" s="659"/>
      <c r="T444" s="659"/>
      <c r="U444" s="659"/>
      <c r="V444" s="659"/>
      <c r="W444" s="659"/>
      <c r="X444" s="659"/>
      <c r="Y444" s="659"/>
      <c r="Z444" s="659"/>
      <c r="AA444" s="659"/>
    </row>
    <row r="445" spans="10:27" s="1308" customFormat="1" ht="21.75" customHeight="1">
      <c r="J445" s="2840"/>
      <c r="K445" s="659"/>
      <c r="L445" s="659"/>
      <c r="M445" s="659"/>
      <c r="N445" s="659"/>
      <c r="O445" s="659"/>
      <c r="P445" s="659"/>
      <c r="Q445" s="659"/>
      <c r="R445" s="659"/>
      <c r="S445" s="659"/>
      <c r="T445" s="659"/>
      <c r="U445" s="659"/>
      <c r="V445" s="659"/>
      <c r="W445" s="659"/>
      <c r="X445" s="659"/>
      <c r="Y445" s="659"/>
      <c r="Z445" s="659"/>
      <c r="AA445" s="659"/>
    </row>
    <row r="446" spans="10:27" s="1308" customFormat="1" ht="21.75" customHeight="1">
      <c r="J446" s="2840"/>
      <c r="K446" s="659"/>
      <c r="L446" s="659"/>
      <c r="M446" s="659"/>
      <c r="N446" s="659"/>
      <c r="O446" s="659"/>
      <c r="P446" s="659"/>
      <c r="Q446" s="659"/>
      <c r="R446" s="659"/>
      <c r="S446" s="659"/>
      <c r="T446" s="659"/>
      <c r="U446" s="659"/>
      <c r="V446" s="659"/>
      <c r="W446" s="659"/>
      <c r="X446" s="659"/>
      <c r="Y446" s="659"/>
      <c r="Z446" s="659"/>
      <c r="AA446" s="659"/>
    </row>
    <row r="447" spans="10:27" s="1308" customFormat="1" ht="21.75" customHeight="1">
      <c r="J447" s="2840"/>
      <c r="K447" s="659"/>
      <c r="L447" s="659"/>
      <c r="M447" s="659"/>
      <c r="N447" s="659"/>
      <c r="O447" s="659"/>
      <c r="P447" s="659"/>
      <c r="Q447" s="659"/>
      <c r="R447" s="659"/>
      <c r="S447" s="659"/>
      <c r="T447" s="659"/>
      <c r="U447" s="659"/>
      <c r="V447" s="659"/>
      <c r="W447" s="659"/>
      <c r="X447" s="659"/>
      <c r="Y447" s="659"/>
      <c r="Z447" s="659"/>
      <c r="AA447" s="659"/>
    </row>
    <row r="448" spans="10:27" s="1308" customFormat="1" ht="21.75" customHeight="1">
      <c r="J448" s="2840"/>
      <c r="K448" s="659"/>
      <c r="L448" s="659"/>
      <c r="M448" s="659"/>
      <c r="N448" s="659"/>
      <c r="O448" s="659"/>
      <c r="P448" s="659"/>
      <c r="Q448" s="659"/>
      <c r="R448" s="659"/>
      <c r="S448" s="659"/>
      <c r="T448" s="659"/>
      <c r="U448" s="659"/>
      <c r="V448" s="659"/>
      <c r="W448" s="659"/>
      <c r="X448" s="659"/>
      <c r="Y448" s="659"/>
      <c r="Z448" s="659"/>
      <c r="AA448" s="659"/>
    </row>
    <row r="449" spans="10:27" s="1308" customFormat="1" ht="21.75" customHeight="1">
      <c r="J449" s="2840"/>
      <c r="K449" s="659"/>
      <c r="L449" s="659"/>
      <c r="M449" s="659"/>
      <c r="N449" s="659"/>
      <c r="O449" s="659"/>
      <c r="P449" s="659"/>
      <c r="Q449" s="659"/>
      <c r="R449" s="659"/>
      <c r="S449" s="659"/>
      <c r="T449" s="659"/>
      <c r="U449" s="659"/>
      <c r="V449" s="659"/>
      <c r="W449" s="659"/>
      <c r="X449" s="659"/>
      <c r="Y449" s="659"/>
      <c r="Z449" s="659"/>
      <c r="AA449" s="659"/>
    </row>
    <row r="450" spans="10:27" s="1308" customFormat="1" ht="21.75" customHeight="1">
      <c r="J450" s="2840"/>
      <c r="K450" s="659"/>
      <c r="L450" s="659"/>
      <c r="M450" s="659"/>
      <c r="N450" s="659"/>
      <c r="O450" s="659"/>
      <c r="P450" s="659"/>
      <c r="Q450" s="659"/>
      <c r="R450" s="659"/>
      <c r="S450" s="659"/>
      <c r="T450" s="659"/>
      <c r="U450" s="659"/>
      <c r="V450" s="659"/>
      <c r="W450" s="659"/>
      <c r="X450" s="659"/>
      <c r="Y450" s="659"/>
      <c r="Z450" s="659"/>
      <c r="AA450" s="659"/>
    </row>
    <row r="451" spans="10:27" s="1308" customFormat="1" ht="21.75" customHeight="1">
      <c r="J451" s="2840"/>
      <c r="K451" s="659"/>
      <c r="L451" s="659"/>
      <c r="M451" s="659"/>
      <c r="N451" s="659"/>
      <c r="O451" s="659"/>
      <c r="P451" s="659"/>
      <c r="Q451" s="659"/>
      <c r="R451" s="659"/>
      <c r="S451" s="659"/>
      <c r="T451" s="659"/>
      <c r="U451" s="659"/>
      <c r="V451" s="659"/>
      <c r="W451" s="659"/>
      <c r="X451" s="659"/>
      <c r="Y451" s="659"/>
      <c r="Z451" s="659"/>
      <c r="AA451" s="659"/>
    </row>
    <row r="452" spans="10:27" s="1308" customFormat="1" ht="21.75" customHeight="1">
      <c r="J452" s="2840"/>
      <c r="K452" s="659"/>
      <c r="L452" s="659"/>
      <c r="M452" s="659"/>
      <c r="N452" s="659"/>
      <c r="O452" s="659"/>
      <c r="P452" s="659"/>
      <c r="Q452" s="659"/>
      <c r="R452" s="659"/>
      <c r="S452" s="659"/>
      <c r="T452" s="659"/>
      <c r="U452" s="659"/>
      <c r="V452" s="659"/>
      <c r="W452" s="659"/>
      <c r="X452" s="659"/>
      <c r="Y452" s="659"/>
      <c r="Z452" s="659"/>
      <c r="AA452" s="659"/>
    </row>
    <row r="453" spans="10:27" s="1308" customFormat="1" ht="21.75" customHeight="1">
      <c r="J453" s="2840"/>
      <c r="K453" s="659"/>
      <c r="L453" s="659"/>
      <c r="M453" s="659"/>
      <c r="N453" s="659"/>
      <c r="O453" s="659"/>
      <c r="P453" s="659"/>
      <c r="Q453" s="659"/>
      <c r="R453" s="659"/>
      <c r="S453" s="659"/>
      <c r="T453" s="659"/>
      <c r="U453" s="659"/>
      <c r="V453" s="659"/>
      <c r="W453" s="659"/>
      <c r="X453" s="659"/>
      <c r="Y453" s="659"/>
      <c r="Z453" s="659"/>
      <c r="AA453" s="659"/>
    </row>
    <row r="454" spans="10:27" s="1308" customFormat="1" ht="21.75" customHeight="1">
      <c r="J454" s="2840"/>
      <c r="K454" s="659"/>
      <c r="L454" s="659"/>
      <c r="M454" s="659"/>
      <c r="N454" s="659"/>
      <c r="O454" s="659"/>
      <c r="P454" s="659"/>
      <c r="Q454" s="659"/>
      <c r="R454" s="659"/>
      <c r="S454" s="659"/>
      <c r="T454" s="659"/>
      <c r="U454" s="659"/>
      <c r="V454" s="659"/>
      <c r="W454" s="659"/>
      <c r="X454" s="659"/>
      <c r="Y454" s="659"/>
      <c r="Z454" s="659"/>
      <c r="AA454" s="659"/>
    </row>
    <row r="455" spans="10:27" s="1308" customFormat="1" ht="21.75" customHeight="1">
      <c r="J455" s="2840"/>
      <c r="K455" s="659"/>
      <c r="L455" s="659"/>
      <c r="M455" s="659"/>
      <c r="N455" s="659"/>
      <c r="O455" s="659"/>
      <c r="P455" s="659"/>
      <c r="Q455" s="659"/>
      <c r="R455" s="659"/>
      <c r="S455" s="659"/>
      <c r="T455" s="659"/>
      <c r="U455" s="659"/>
      <c r="V455" s="659"/>
      <c r="W455" s="659"/>
      <c r="X455" s="659"/>
      <c r="Y455" s="659"/>
      <c r="Z455" s="659"/>
      <c r="AA455" s="659"/>
    </row>
    <row r="456" spans="10:27" s="1308" customFormat="1" ht="21.75" customHeight="1">
      <c r="J456" s="2840"/>
      <c r="K456" s="659"/>
      <c r="L456" s="659"/>
      <c r="M456" s="659"/>
      <c r="N456" s="659"/>
      <c r="O456" s="659"/>
      <c r="P456" s="659"/>
      <c r="Q456" s="659"/>
      <c r="R456" s="659"/>
      <c r="S456" s="659"/>
      <c r="T456" s="659"/>
      <c r="U456" s="659"/>
      <c r="V456" s="659"/>
      <c r="W456" s="659"/>
      <c r="X456" s="659"/>
      <c r="Y456" s="659"/>
      <c r="Z456" s="659"/>
      <c r="AA456" s="659"/>
    </row>
    <row r="457" spans="10:27" s="1308" customFormat="1" ht="21.75" customHeight="1">
      <c r="J457" s="2840"/>
      <c r="K457" s="659"/>
      <c r="L457" s="659"/>
      <c r="M457" s="659"/>
      <c r="N457" s="659"/>
      <c r="O457" s="659"/>
      <c r="P457" s="659"/>
      <c r="Q457" s="659"/>
      <c r="R457" s="659"/>
      <c r="S457" s="659"/>
      <c r="T457" s="659"/>
      <c r="U457" s="659"/>
      <c r="V457" s="659"/>
      <c r="W457" s="659"/>
      <c r="X457" s="659"/>
      <c r="Y457" s="659"/>
      <c r="Z457" s="659"/>
      <c r="AA457" s="659"/>
    </row>
    <row r="458" spans="10:27" s="1308" customFormat="1" ht="21.75" customHeight="1">
      <c r="J458" s="2840"/>
      <c r="K458" s="659"/>
      <c r="L458" s="659"/>
      <c r="M458" s="659"/>
      <c r="N458" s="659"/>
      <c r="O458" s="659"/>
      <c r="P458" s="659"/>
      <c r="Q458" s="659"/>
      <c r="R458" s="659"/>
      <c r="S458" s="659"/>
      <c r="T458" s="659"/>
      <c r="U458" s="659"/>
      <c r="V458" s="659"/>
      <c r="W458" s="659"/>
      <c r="X458" s="659"/>
      <c r="Y458" s="659"/>
      <c r="Z458" s="659"/>
      <c r="AA458" s="659"/>
    </row>
    <row r="459" spans="10:27" s="1308" customFormat="1" ht="21.75" customHeight="1">
      <c r="J459" s="2840"/>
      <c r="K459" s="659"/>
      <c r="L459" s="659"/>
      <c r="M459" s="659"/>
      <c r="N459" s="659"/>
      <c r="O459" s="659"/>
      <c r="P459" s="659"/>
      <c r="Q459" s="659"/>
      <c r="R459" s="659"/>
      <c r="S459" s="659"/>
      <c r="T459" s="659"/>
      <c r="U459" s="659"/>
      <c r="V459" s="659"/>
      <c r="W459" s="659"/>
      <c r="X459" s="659"/>
      <c r="Y459" s="659"/>
      <c r="Z459" s="659"/>
      <c r="AA459" s="659"/>
    </row>
    <row r="460" spans="10:27" s="1308" customFormat="1" ht="21.75" customHeight="1">
      <c r="J460" s="2840"/>
      <c r="K460" s="659"/>
      <c r="L460" s="659"/>
      <c r="M460" s="659"/>
      <c r="N460" s="659"/>
      <c r="O460" s="659"/>
      <c r="P460" s="659"/>
      <c r="Q460" s="659"/>
      <c r="R460" s="659"/>
      <c r="S460" s="659"/>
      <c r="T460" s="659"/>
      <c r="U460" s="659"/>
      <c r="V460" s="659"/>
      <c r="W460" s="659"/>
      <c r="X460" s="659"/>
      <c r="Y460" s="659"/>
      <c r="Z460" s="659"/>
      <c r="AA460" s="659"/>
    </row>
    <row r="461" spans="10:27" s="1308" customFormat="1" ht="21.75" customHeight="1">
      <c r="J461" s="2840"/>
      <c r="K461" s="659"/>
      <c r="L461" s="659"/>
      <c r="M461" s="659"/>
      <c r="N461" s="659"/>
      <c r="O461" s="659"/>
      <c r="P461" s="659"/>
      <c r="Q461" s="659"/>
      <c r="R461" s="659"/>
      <c r="S461" s="659"/>
      <c r="T461" s="659"/>
      <c r="U461" s="659"/>
      <c r="V461" s="659"/>
      <c r="W461" s="659"/>
      <c r="X461" s="659"/>
      <c r="Y461" s="659"/>
      <c r="Z461" s="659"/>
      <c r="AA461" s="659"/>
    </row>
    <row r="462" spans="10:27" s="1308" customFormat="1" ht="21.75" customHeight="1">
      <c r="J462" s="2840"/>
      <c r="K462" s="659"/>
      <c r="L462" s="659"/>
      <c r="M462" s="659"/>
      <c r="N462" s="659"/>
      <c r="O462" s="659"/>
      <c r="P462" s="659"/>
      <c r="Q462" s="659"/>
      <c r="R462" s="659"/>
      <c r="S462" s="659"/>
      <c r="T462" s="659"/>
      <c r="U462" s="659"/>
      <c r="V462" s="659"/>
      <c r="W462" s="659"/>
      <c r="X462" s="659"/>
      <c r="Y462" s="659"/>
      <c r="Z462" s="659"/>
      <c r="AA462" s="659"/>
    </row>
    <row r="463" spans="10:27" s="1308" customFormat="1" ht="21.75" customHeight="1">
      <c r="J463" s="2840"/>
      <c r="K463" s="659"/>
      <c r="L463" s="659"/>
      <c r="M463" s="659"/>
      <c r="N463" s="659"/>
      <c r="O463" s="659"/>
      <c r="P463" s="659"/>
      <c r="Q463" s="659"/>
      <c r="R463" s="659"/>
      <c r="S463" s="659"/>
      <c r="T463" s="659"/>
      <c r="U463" s="659"/>
      <c r="V463" s="659"/>
      <c r="W463" s="659"/>
      <c r="X463" s="659"/>
      <c r="Y463" s="659"/>
      <c r="Z463" s="659"/>
      <c r="AA463" s="659"/>
    </row>
    <row r="464" spans="10:27" s="1308" customFormat="1" ht="21.75" customHeight="1">
      <c r="J464" s="2840"/>
      <c r="K464" s="659"/>
      <c r="L464" s="659"/>
      <c r="M464" s="659"/>
      <c r="N464" s="659"/>
      <c r="O464" s="659"/>
      <c r="P464" s="659"/>
      <c r="Q464" s="659"/>
      <c r="R464" s="659"/>
      <c r="S464" s="659"/>
      <c r="T464" s="659"/>
      <c r="U464" s="659"/>
      <c r="V464" s="659"/>
      <c r="W464" s="659"/>
      <c r="X464" s="659"/>
      <c r="Y464" s="659"/>
      <c r="Z464" s="659"/>
      <c r="AA464" s="659"/>
    </row>
    <row r="465" spans="10:27" s="1308" customFormat="1" ht="21.75" customHeight="1">
      <c r="J465" s="2840"/>
      <c r="K465" s="659"/>
      <c r="L465" s="659"/>
      <c r="M465" s="659"/>
      <c r="N465" s="659"/>
      <c r="O465" s="659"/>
      <c r="P465" s="659"/>
      <c r="Q465" s="659"/>
      <c r="R465" s="659"/>
      <c r="S465" s="659"/>
      <c r="T465" s="659"/>
      <c r="U465" s="659"/>
      <c r="V465" s="659"/>
      <c r="W465" s="659"/>
      <c r="X465" s="659"/>
      <c r="Y465" s="659"/>
      <c r="Z465" s="659"/>
      <c r="AA465" s="659"/>
    </row>
    <row r="466" spans="10:27" s="1308" customFormat="1" ht="21.75" customHeight="1">
      <c r="J466" s="2840"/>
      <c r="K466" s="659"/>
      <c r="L466" s="659"/>
      <c r="M466" s="659"/>
      <c r="N466" s="659"/>
      <c r="O466" s="659"/>
      <c r="P466" s="659"/>
      <c r="Q466" s="659"/>
      <c r="R466" s="659"/>
      <c r="S466" s="659"/>
      <c r="T466" s="659"/>
      <c r="U466" s="659"/>
      <c r="V466" s="659"/>
      <c r="W466" s="659"/>
      <c r="X466" s="659"/>
      <c r="Y466" s="659"/>
      <c r="Z466" s="659"/>
      <c r="AA466" s="659"/>
    </row>
    <row r="467" spans="10:27" s="1308" customFormat="1" ht="21.75" customHeight="1">
      <c r="J467" s="2840"/>
      <c r="K467" s="659"/>
      <c r="L467" s="659"/>
      <c r="M467" s="659"/>
      <c r="N467" s="659"/>
      <c r="O467" s="659"/>
      <c r="P467" s="659"/>
      <c r="Q467" s="659"/>
      <c r="R467" s="659"/>
      <c r="S467" s="659"/>
      <c r="T467" s="659"/>
      <c r="U467" s="659"/>
      <c r="V467" s="659"/>
      <c r="W467" s="659"/>
      <c r="X467" s="659"/>
      <c r="Y467" s="659"/>
      <c r="Z467" s="659"/>
      <c r="AA467" s="659"/>
    </row>
    <row r="468" spans="10:27" s="1308" customFormat="1" ht="21.75" customHeight="1">
      <c r="J468" s="2840"/>
      <c r="K468" s="659"/>
      <c r="L468" s="659"/>
      <c r="M468" s="659"/>
      <c r="N468" s="659"/>
      <c r="O468" s="659"/>
      <c r="P468" s="659"/>
      <c r="Q468" s="659"/>
      <c r="R468" s="659"/>
      <c r="S468" s="659"/>
      <c r="T468" s="659"/>
      <c r="U468" s="659"/>
      <c r="V468" s="659"/>
      <c r="W468" s="659"/>
      <c r="X468" s="659"/>
      <c r="Y468" s="659"/>
      <c r="Z468" s="659"/>
      <c r="AA468" s="659"/>
    </row>
    <row r="469" spans="10:27" s="1308" customFormat="1" ht="21.75" customHeight="1">
      <c r="J469" s="2840"/>
      <c r="K469" s="659"/>
      <c r="L469" s="659"/>
      <c r="M469" s="659"/>
      <c r="N469" s="659"/>
      <c r="O469" s="659"/>
      <c r="P469" s="659"/>
      <c r="Q469" s="659"/>
      <c r="R469" s="659"/>
      <c r="S469" s="659"/>
      <c r="T469" s="659"/>
      <c r="U469" s="659"/>
      <c r="V469" s="659"/>
      <c r="W469" s="659"/>
      <c r="X469" s="659"/>
      <c r="Y469" s="659"/>
      <c r="Z469" s="659"/>
      <c r="AA469" s="659"/>
    </row>
    <row r="470" spans="10:27" s="1308" customFormat="1" ht="21.75" customHeight="1">
      <c r="J470" s="2840"/>
      <c r="K470" s="659"/>
      <c r="L470" s="659"/>
      <c r="M470" s="659"/>
      <c r="N470" s="659"/>
      <c r="O470" s="659"/>
      <c r="P470" s="659"/>
      <c r="Q470" s="659"/>
      <c r="R470" s="659"/>
      <c r="S470" s="659"/>
      <c r="T470" s="659"/>
      <c r="U470" s="659"/>
      <c r="V470" s="659"/>
      <c r="W470" s="659"/>
      <c r="X470" s="659"/>
      <c r="Y470" s="659"/>
      <c r="Z470" s="659"/>
      <c r="AA470" s="659"/>
    </row>
    <row r="471" spans="10:27" s="1308" customFormat="1" ht="21.75" customHeight="1">
      <c r="J471" s="2840"/>
      <c r="K471" s="659"/>
      <c r="L471" s="659"/>
      <c r="M471" s="659"/>
      <c r="N471" s="659"/>
      <c r="O471" s="659"/>
      <c r="P471" s="659"/>
      <c r="Q471" s="659"/>
      <c r="R471" s="659"/>
      <c r="S471" s="659"/>
      <c r="T471" s="659"/>
      <c r="U471" s="659"/>
      <c r="V471" s="659"/>
      <c r="W471" s="659"/>
      <c r="X471" s="659"/>
      <c r="Y471" s="659"/>
      <c r="Z471" s="659"/>
      <c r="AA471" s="659"/>
    </row>
    <row r="472" spans="10:27" s="1308" customFormat="1" ht="21.75" customHeight="1">
      <c r="J472" s="2840"/>
      <c r="K472" s="659"/>
      <c r="L472" s="659"/>
      <c r="M472" s="659"/>
      <c r="N472" s="659"/>
      <c r="O472" s="659"/>
      <c r="P472" s="659"/>
      <c r="Q472" s="659"/>
      <c r="R472" s="659"/>
      <c r="S472" s="659"/>
      <c r="T472" s="659"/>
      <c r="U472" s="659"/>
      <c r="V472" s="659"/>
      <c r="W472" s="659"/>
      <c r="X472" s="659"/>
      <c r="Y472" s="659"/>
      <c r="Z472" s="659"/>
      <c r="AA472" s="659"/>
    </row>
    <row r="473" spans="10:27" s="1308" customFormat="1" ht="21.75" customHeight="1">
      <c r="J473" s="2840"/>
      <c r="K473" s="659"/>
      <c r="L473" s="659"/>
      <c r="M473" s="659"/>
      <c r="N473" s="659"/>
      <c r="O473" s="659"/>
      <c r="P473" s="659"/>
      <c r="Q473" s="659"/>
      <c r="R473" s="659"/>
      <c r="S473" s="659"/>
      <c r="T473" s="659"/>
      <c r="U473" s="659"/>
      <c r="V473" s="659"/>
      <c r="W473" s="659"/>
      <c r="X473" s="659"/>
      <c r="Y473" s="659"/>
      <c r="Z473" s="659"/>
      <c r="AA473" s="659"/>
    </row>
    <row r="474" spans="10:27" s="1308" customFormat="1" ht="21.75" customHeight="1">
      <c r="J474" s="2840"/>
      <c r="K474" s="659"/>
      <c r="L474" s="659"/>
      <c r="M474" s="659"/>
      <c r="N474" s="659"/>
      <c r="O474" s="659"/>
      <c r="P474" s="659"/>
      <c r="Q474" s="659"/>
      <c r="R474" s="659"/>
      <c r="S474" s="659"/>
      <c r="T474" s="659"/>
      <c r="U474" s="659"/>
      <c r="V474" s="659"/>
      <c r="W474" s="659"/>
      <c r="X474" s="659"/>
      <c r="Y474" s="659"/>
      <c r="Z474" s="659"/>
      <c r="AA474" s="659"/>
    </row>
    <row r="475" spans="10:27" s="1308" customFormat="1" ht="21.75" customHeight="1">
      <c r="J475" s="2840"/>
      <c r="K475" s="659"/>
      <c r="L475" s="659"/>
      <c r="M475" s="659"/>
      <c r="N475" s="659"/>
      <c r="O475" s="659"/>
      <c r="P475" s="659"/>
      <c r="Q475" s="659"/>
      <c r="R475" s="659"/>
      <c r="S475" s="659"/>
      <c r="T475" s="659"/>
      <c r="U475" s="659"/>
      <c r="V475" s="659"/>
      <c r="W475" s="659"/>
      <c r="X475" s="659"/>
      <c r="Y475" s="659"/>
      <c r="Z475" s="659"/>
      <c r="AA475" s="659"/>
    </row>
    <row r="476" spans="10:27" s="1308" customFormat="1" ht="21.75" customHeight="1">
      <c r="J476" s="2840"/>
      <c r="K476" s="659"/>
      <c r="L476" s="659"/>
      <c r="M476" s="659"/>
      <c r="N476" s="659"/>
      <c r="O476" s="659"/>
      <c r="P476" s="659"/>
      <c r="Q476" s="659"/>
      <c r="R476" s="659"/>
      <c r="S476" s="659"/>
      <c r="T476" s="659"/>
      <c r="U476" s="659"/>
      <c r="V476" s="659"/>
      <c r="W476" s="659"/>
      <c r="X476" s="659"/>
      <c r="Y476" s="659"/>
      <c r="Z476" s="659"/>
      <c r="AA476" s="659"/>
    </row>
    <row r="477" spans="10:27" s="1308" customFormat="1" ht="21.75" customHeight="1">
      <c r="J477" s="2840"/>
      <c r="K477" s="659"/>
      <c r="L477" s="659"/>
      <c r="M477" s="659"/>
      <c r="N477" s="659"/>
      <c r="O477" s="659"/>
      <c r="P477" s="659"/>
      <c r="Q477" s="659"/>
      <c r="R477" s="659"/>
      <c r="S477" s="659"/>
      <c r="T477" s="659"/>
      <c r="U477" s="659"/>
      <c r="V477" s="659"/>
      <c r="W477" s="659"/>
      <c r="X477" s="659"/>
      <c r="Y477" s="659"/>
      <c r="Z477" s="659"/>
      <c r="AA477" s="659"/>
    </row>
    <row r="478" spans="10:27" s="1308" customFormat="1" ht="21.75" customHeight="1">
      <c r="J478" s="2840"/>
      <c r="K478" s="659"/>
      <c r="L478" s="659"/>
      <c r="M478" s="659"/>
      <c r="N478" s="659"/>
      <c r="O478" s="659"/>
      <c r="P478" s="659"/>
      <c r="Q478" s="659"/>
      <c r="R478" s="659"/>
      <c r="S478" s="659"/>
      <c r="T478" s="659"/>
      <c r="U478" s="659"/>
      <c r="V478" s="659"/>
      <c r="W478" s="659"/>
      <c r="X478" s="659"/>
      <c r="Y478" s="659"/>
      <c r="Z478" s="659"/>
      <c r="AA478" s="659"/>
    </row>
    <row r="479" spans="10:27" s="1308" customFormat="1" ht="21.75" customHeight="1">
      <c r="J479" s="2840"/>
      <c r="K479" s="659"/>
      <c r="L479" s="659"/>
      <c r="M479" s="659"/>
      <c r="N479" s="659"/>
      <c r="O479" s="659"/>
      <c r="P479" s="659"/>
      <c r="Q479" s="659"/>
      <c r="R479" s="659"/>
      <c r="S479" s="659"/>
      <c r="T479" s="659"/>
      <c r="U479" s="659"/>
      <c r="V479" s="659"/>
      <c r="W479" s="659"/>
      <c r="X479" s="659"/>
      <c r="Y479" s="659"/>
      <c r="Z479" s="659"/>
      <c r="AA479" s="659"/>
    </row>
    <row r="480" spans="10:27" s="1308" customFormat="1" ht="21.75" customHeight="1">
      <c r="J480" s="2840"/>
      <c r="K480" s="659"/>
      <c r="L480" s="659"/>
      <c r="M480" s="659"/>
      <c r="N480" s="659"/>
      <c r="O480" s="659"/>
      <c r="P480" s="659"/>
      <c r="Q480" s="659"/>
      <c r="R480" s="659"/>
      <c r="S480" s="659"/>
      <c r="T480" s="659"/>
      <c r="U480" s="659"/>
      <c r="V480" s="659"/>
      <c r="W480" s="659"/>
      <c r="X480" s="659"/>
      <c r="Y480" s="659"/>
      <c r="Z480" s="659"/>
      <c r="AA480" s="659"/>
    </row>
    <row r="481" spans="10:27" s="1308" customFormat="1" ht="21.75" customHeight="1">
      <c r="J481" s="2840"/>
      <c r="K481" s="659"/>
      <c r="L481" s="659"/>
      <c r="M481" s="659"/>
      <c r="N481" s="659"/>
      <c r="O481" s="659"/>
      <c r="P481" s="659"/>
      <c r="Q481" s="659"/>
      <c r="R481" s="659"/>
      <c r="S481" s="659"/>
      <c r="T481" s="659"/>
      <c r="U481" s="659"/>
      <c r="V481" s="659"/>
      <c r="W481" s="659"/>
      <c r="X481" s="659"/>
      <c r="Y481" s="659"/>
      <c r="Z481" s="659"/>
      <c r="AA481" s="659"/>
    </row>
    <row r="482" spans="10:27" s="1308" customFormat="1" ht="21.75" customHeight="1">
      <c r="J482" s="2840"/>
      <c r="K482" s="659"/>
      <c r="L482" s="659"/>
      <c r="M482" s="659"/>
      <c r="N482" s="659"/>
      <c r="O482" s="659"/>
      <c r="P482" s="659"/>
      <c r="Q482" s="659"/>
      <c r="R482" s="659"/>
      <c r="S482" s="659"/>
      <c r="T482" s="659"/>
      <c r="U482" s="659"/>
      <c r="V482" s="659"/>
      <c r="W482" s="659"/>
      <c r="X482" s="659"/>
      <c r="Y482" s="659"/>
      <c r="Z482" s="659"/>
      <c r="AA482" s="659"/>
    </row>
    <row r="483" spans="10:27" s="1308" customFormat="1" ht="21.75" customHeight="1">
      <c r="J483" s="2840"/>
      <c r="K483" s="659"/>
      <c r="L483" s="659"/>
      <c r="M483" s="659"/>
      <c r="N483" s="659"/>
      <c r="O483" s="659"/>
      <c r="P483" s="659"/>
      <c r="Q483" s="659"/>
      <c r="R483" s="659"/>
      <c r="S483" s="659"/>
      <c r="T483" s="659"/>
      <c r="U483" s="659"/>
      <c r="V483" s="659"/>
      <c r="W483" s="659"/>
      <c r="X483" s="659"/>
      <c r="Y483" s="659"/>
      <c r="Z483" s="659"/>
      <c r="AA483" s="659"/>
    </row>
    <row r="484" spans="10:27" s="1308" customFormat="1" ht="21.75" customHeight="1">
      <c r="J484" s="2840"/>
      <c r="K484" s="659"/>
      <c r="L484" s="659"/>
      <c r="M484" s="659"/>
      <c r="N484" s="659"/>
      <c r="O484" s="659"/>
      <c r="P484" s="659"/>
      <c r="Q484" s="659"/>
      <c r="R484" s="659"/>
      <c r="S484" s="659"/>
      <c r="T484" s="659"/>
      <c r="U484" s="659"/>
      <c r="V484" s="659"/>
      <c r="W484" s="659"/>
      <c r="X484" s="659"/>
      <c r="Y484" s="659"/>
      <c r="Z484" s="659"/>
      <c r="AA484" s="659"/>
    </row>
    <row r="485" spans="10:27" s="1308" customFormat="1" ht="21.75" customHeight="1">
      <c r="J485" s="2840"/>
      <c r="K485" s="659"/>
      <c r="L485" s="659"/>
      <c r="M485" s="659"/>
      <c r="N485" s="659"/>
      <c r="O485" s="659"/>
      <c r="P485" s="659"/>
      <c r="Q485" s="659"/>
      <c r="R485" s="659"/>
      <c r="S485" s="659"/>
      <c r="T485" s="659"/>
      <c r="U485" s="659"/>
      <c r="V485" s="659"/>
      <c r="W485" s="659"/>
      <c r="X485" s="659"/>
      <c r="Y485" s="659"/>
      <c r="Z485" s="659"/>
      <c r="AA485" s="659"/>
    </row>
    <row r="486" spans="10:27" s="1308" customFormat="1" ht="21.75" customHeight="1">
      <c r="J486" s="2840"/>
      <c r="K486" s="659"/>
      <c r="L486" s="659"/>
      <c r="M486" s="659"/>
      <c r="N486" s="659"/>
      <c r="O486" s="659"/>
      <c r="P486" s="659"/>
      <c r="Q486" s="659"/>
      <c r="R486" s="659"/>
      <c r="S486" s="659"/>
      <c r="T486" s="659"/>
      <c r="U486" s="659"/>
      <c r="V486" s="659"/>
      <c r="W486" s="659"/>
      <c r="X486" s="659"/>
      <c r="Y486" s="659"/>
      <c r="Z486" s="659"/>
      <c r="AA486" s="659"/>
    </row>
    <row r="487" spans="10:27" s="1308" customFormat="1" ht="21.75" customHeight="1">
      <c r="J487" s="2840"/>
      <c r="K487" s="659"/>
      <c r="L487" s="659"/>
      <c r="M487" s="659"/>
      <c r="N487" s="659"/>
      <c r="O487" s="659"/>
      <c r="P487" s="659"/>
      <c r="Q487" s="659"/>
      <c r="R487" s="659"/>
      <c r="S487" s="659"/>
      <c r="T487" s="659"/>
      <c r="U487" s="659"/>
      <c r="V487" s="659"/>
      <c r="W487" s="659"/>
      <c r="X487" s="659"/>
      <c r="Y487" s="659"/>
      <c r="Z487" s="659"/>
      <c r="AA487" s="659"/>
    </row>
    <row r="488" spans="10:27" s="1308" customFormat="1" ht="21.75" customHeight="1">
      <c r="J488" s="2840"/>
      <c r="K488" s="659"/>
      <c r="L488" s="659"/>
      <c r="M488" s="659"/>
      <c r="N488" s="659"/>
      <c r="O488" s="659"/>
      <c r="P488" s="659"/>
      <c r="Q488" s="659"/>
      <c r="R488" s="659"/>
      <c r="S488" s="659"/>
      <c r="T488" s="659"/>
      <c r="U488" s="659"/>
      <c r="V488" s="659"/>
      <c r="W488" s="659"/>
      <c r="X488" s="659"/>
      <c r="Y488" s="659"/>
      <c r="Z488" s="659"/>
      <c r="AA488" s="659"/>
    </row>
    <row r="489" spans="10:27" s="1308" customFormat="1" ht="21.75" customHeight="1">
      <c r="J489" s="2840"/>
      <c r="K489" s="659"/>
      <c r="L489" s="659"/>
      <c r="M489" s="659"/>
      <c r="N489" s="659"/>
      <c r="O489" s="659"/>
      <c r="P489" s="659"/>
      <c r="Q489" s="659"/>
      <c r="R489" s="659"/>
      <c r="S489" s="659"/>
      <c r="T489" s="659"/>
      <c r="U489" s="659"/>
      <c r="V489" s="659"/>
      <c r="W489" s="659"/>
      <c r="X489" s="659"/>
      <c r="Y489" s="659"/>
      <c r="Z489" s="659"/>
      <c r="AA489" s="659"/>
    </row>
    <row r="490" spans="10:27" s="1308" customFormat="1" ht="21.75" customHeight="1">
      <c r="J490" s="2840"/>
      <c r="K490" s="659"/>
      <c r="L490" s="659"/>
      <c r="M490" s="659"/>
      <c r="N490" s="659"/>
      <c r="O490" s="659"/>
      <c r="P490" s="659"/>
      <c r="Q490" s="659"/>
      <c r="R490" s="659"/>
      <c r="S490" s="659"/>
      <c r="T490" s="659"/>
      <c r="U490" s="659"/>
      <c r="V490" s="659"/>
      <c r="W490" s="659"/>
      <c r="X490" s="659"/>
      <c r="Y490" s="659"/>
      <c r="Z490" s="659"/>
      <c r="AA490" s="659"/>
    </row>
    <row r="491" spans="10:27" s="1308" customFormat="1" ht="21.75" customHeight="1">
      <c r="J491" s="2840"/>
      <c r="K491" s="659"/>
      <c r="L491" s="659"/>
      <c r="M491" s="659"/>
      <c r="N491" s="659"/>
      <c r="O491" s="659"/>
      <c r="P491" s="659"/>
      <c r="Q491" s="659"/>
      <c r="R491" s="659"/>
      <c r="S491" s="659"/>
      <c r="T491" s="659"/>
      <c r="U491" s="659"/>
      <c r="V491" s="659"/>
      <c r="W491" s="659"/>
      <c r="X491" s="659"/>
      <c r="Y491" s="659"/>
      <c r="Z491" s="659"/>
      <c r="AA491" s="659"/>
    </row>
    <row r="492" spans="10:27" s="1308" customFormat="1" ht="21.75" customHeight="1">
      <c r="J492" s="2840"/>
      <c r="K492" s="659"/>
      <c r="L492" s="659"/>
      <c r="M492" s="659"/>
      <c r="N492" s="659"/>
      <c r="O492" s="659"/>
      <c r="P492" s="659"/>
      <c r="Q492" s="659"/>
      <c r="R492" s="659"/>
      <c r="S492" s="659"/>
      <c r="T492" s="659"/>
      <c r="U492" s="659"/>
      <c r="V492" s="659"/>
      <c r="W492" s="659"/>
      <c r="X492" s="659"/>
      <c r="Y492" s="659"/>
      <c r="Z492" s="659"/>
      <c r="AA492" s="659"/>
    </row>
    <row r="493" spans="10:27" s="1308" customFormat="1" ht="21.75" customHeight="1">
      <c r="J493" s="2840"/>
      <c r="K493" s="659"/>
      <c r="L493" s="659"/>
      <c r="M493" s="659"/>
      <c r="N493" s="659"/>
      <c r="O493" s="659"/>
      <c r="P493" s="659"/>
      <c r="Q493" s="659"/>
      <c r="R493" s="659"/>
      <c r="S493" s="659"/>
      <c r="T493" s="659"/>
      <c r="U493" s="659"/>
      <c r="V493" s="659"/>
      <c r="W493" s="659"/>
      <c r="X493" s="659"/>
      <c r="Y493" s="659"/>
      <c r="Z493" s="659"/>
      <c r="AA493" s="659"/>
    </row>
    <row r="494" spans="10:27" s="1308" customFormat="1" ht="21.75" customHeight="1">
      <c r="J494" s="2840"/>
      <c r="K494" s="659"/>
      <c r="L494" s="659"/>
      <c r="M494" s="659"/>
      <c r="N494" s="659"/>
      <c r="O494" s="659"/>
      <c r="P494" s="659"/>
      <c r="Q494" s="659"/>
      <c r="R494" s="659"/>
      <c r="S494" s="659"/>
      <c r="T494" s="659"/>
      <c r="U494" s="659"/>
      <c r="V494" s="659"/>
      <c r="W494" s="659"/>
      <c r="X494" s="659"/>
      <c r="Y494" s="659"/>
      <c r="Z494" s="659"/>
      <c r="AA494" s="659"/>
    </row>
    <row r="495" spans="10:27" s="1308" customFormat="1" ht="21.75" customHeight="1">
      <c r="J495" s="2840"/>
      <c r="K495" s="659"/>
      <c r="L495" s="659"/>
      <c r="M495" s="659"/>
      <c r="N495" s="659"/>
      <c r="O495" s="659"/>
      <c r="P495" s="659"/>
      <c r="Q495" s="659"/>
      <c r="R495" s="659"/>
      <c r="S495" s="659"/>
      <c r="T495" s="659"/>
      <c r="U495" s="659"/>
      <c r="V495" s="659"/>
      <c r="W495" s="659"/>
      <c r="X495" s="659"/>
      <c r="Y495" s="659"/>
      <c r="Z495" s="659"/>
      <c r="AA495" s="659"/>
    </row>
    <row r="496" spans="10:27" s="1308" customFormat="1" ht="21.75" customHeight="1">
      <c r="J496" s="2840"/>
      <c r="K496" s="659"/>
      <c r="L496" s="659"/>
      <c r="M496" s="659"/>
      <c r="N496" s="659"/>
      <c r="O496" s="659"/>
      <c r="P496" s="659"/>
      <c r="Q496" s="659"/>
      <c r="R496" s="659"/>
      <c r="S496" s="659"/>
      <c r="T496" s="659"/>
      <c r="U496" s="659"/>
      <c r="V496" s="659"/>
      <c r="W496" s="659"/>
      <c r="X496" s="659"/>
      <c r="Y496" s="659"/>
      <c r="Z496" s="659"/>
      <c r="AA496" s="659"/>
    </row>
    <row r="497" spans="10:27" s="1308" customFormat="1" ht="21.75" customHeight="1">
      <c r="J497" s="2840"/>
      <c r="K497" s="659"/>
      <c r="L497" s="659"/>
      <c r="M497" s="659"/>
      <c r="N497" s="659"/>
      <c r="O497" s="659"/>
      <c r="P497" s="659"/>
      <c r="Q497" s="659"/>
      <c r="R497" s="659"/>
      <c r="S497" s="659"/>
      <c r="T497" s="659"/>
      <c r="U497" s="659"/>
      <c r="V497" s="659"/>
      <c r="W497" s="659"/>
      <c r="X497" s="659"/>
      <c r="Y497" s="659"/>
      <c r="Z497" s="659"/>
      <c r="AA497" s="659"/>
    </row>
    <row r="498" spans="10:27" s="1308" customFormat="1" ht="21.75" customHeight="1">
      <c r="J498" s="2840"/>
      <c r="K498" s="659"/>
      <c r="L498" s="659"/>
      <c r="M498" s="659"/>
      <c r="N498" s="659"/>
      <c r="O498" s="659"/>
      <c r="P498" s="659"/>
      <c r="Q498" s="659"/>
      <c r="R498" s="659"/>
      <c r="S498" s="659"/>
      <c r="T498" s="659"/>
      <c r="U498" s="659"/>
      <c r="V498" s="659"/>
      <c r="W498" s="659"/>
      <c r="X498" s="659"/>
      <c r="Y498" s="659"/>
      <c r="Z498" s="659"/>
      <c r="AA498" s="659"/>
    </row>
    <row r="499" spans="10:27" s="1308" customFormat="1" ht="21.75" customHeight="1">
      <c r="J499" s="2840"/>
      <c r="K499" s="659"/>
      <c r="L499" s="659"/>
      <c r="M499" s="659"/>
      <c r="N499" s="659"/>
      <c r="O499" s="659"/>
      <c r="P499" s="659"/>
      <c r="Q499" s="659"/>
      <c r="R499" s="659"/>
      <c r="S499" s="659"/>
      <c r="T499" s="659"/>
      <c r="U499" s="659"/>
      <c r="V499" s="659"/>
      <c r="W499" s="659"/>
      <c r="X499" s="659"/>
      <c r="Y499" s="659"/>
      <c r="Z499" s="659"/>
      <c r="AA499" s="659"/>
    </row>
    <row r="500" spans="10:27" s="1308" customFormat="1" ht="21.75" customHeight="1">
      <c r="J500" s="2840"/>
      <c r="K500" s="659"/>
      <c r="L500" s="659"/>
      <c r="M500" s="659"/>
      <c r="N500" s="659"/>
      <c r="O500" s="659"/>
      <c r="P500" s="659"/>
      <c r="Q500" s="659"/>
      <c r="R500" s="659"/>
      <c r="S500" s="659"/>
      <c r="T500" s="659"/>
      <c r="U500" s="659"/>
      <c r="V500" s="659"/>
      <c r="W500" s="659"/>
      <c r="X500" s="659"/>
      <c r="Y500" s="659"/>
      <c r="Z500" s="659"/>
      <c r="AA500" s="659"/>
    </row>
    <row r="501" spans="10:27" s="1308" customFormat="1" ht="21.75" customHeight="1">
      <c r="J501" s="2840"/>
      <c r="K501" s="659"/>
      <c r="L501" s="659"/>
      <c r="M501" s="659"/>
      <c r="N501" s="659"/>
      <c r="O501" s="659"/>
      <c r="P501" s="659"/>
      <c r="Q501" s="659"/>
      <c r="R501" s="659"/>
      <c r="S501" s="659"/>
      <c r="T501" s="659"/>
      <c r="U501" s="659"/>
      <c r="V501" s="659"/>
      <c r="W501" s="659"/>
      <c r="X501" s="659"/>
      <c r="Y501" s="659"/>
      <c r="Z501" s="659"/>
      <c r="AA501" s="659"/>
    </row>
    <row r="502" spans="10:27" s="1308" customFormat="1" ht="21.75" customHeight="1">
      <c r="J502" s="2840"/>
      <c r="K502" s="659"/>
      <c r="L502" s="659"/>
      <c r="M502" s="659"/>
      <c r="N502" s="659"/>
      <c r="O502" s="659"/>
      <c r="P502" s="659"/>
      <c r="Q502" s="659"/>
      <c r="R502" s="659"/>
      <c r="S502" s="659"/>
      <c r="T502" s="659"/>
      <c r="U502" s="659"/>
      <c r="V502" s="659"/>
      <c r="W502" s="659"/>
      <c r="X502" s="659"/>
      <c r="Y502" s="659"/>
      <c r="Z502" s="659"/>
      <c r="AA502" s="659"/>
    </row>
    <row r="503" spans="10:27" s="1308" customFormat="1" ht="21.75" customHeight="1">
      <c r="J503" s="2840"/>
      <c r="K503" s="659"/>
      <c r="L503" s="659"/>
      <c r="M503" s="659"/>
      <c r="N503" s="659"/>
      <c r="O503" s="659"/>
      <c r="P503" s="659"/>
      <c r="Q503" s="659"/>
      <c r="R503" s="659"/>
      <c r="S503" s="659"/>
      <c r="T503" s="659"/>
      <c r="U503" s="659"/>
      <c r="V503" s="659"/>
      <c r="W503" s="659"/>
      <c r="X503" s="659"/>
      <c r="Y503" s="659"/>
      <c r="Z503" s="659"/>
      <c r="AA503" s="659"/>
    </row>
    <row r="504" spans="10:27" s="1308" customFormat="1" ht="21.75" customHeight="1">
      <c r="J504" s="2840"/>
      <c r="K504" s="659"/>
      <c r="L504" s="659"/>
      <c r="M504" s="659"/>
      <c r="N504" s="659"/>
      <c r="O504" s="659"/>
      <c r="P504" s="659"/>
      <c r="Q504" s="659"/>
      <c r="R504" s="659"/>
      <c r="S504" s="659"/>
      <c r="T504" s="659"/>
      <c r="U504" s="659"/>
      <c r="V504" s="659"/>
      <c r="W504" s="659"/>
      <c r="X504" s="659"/>
      <c r="Y504" s="659"/>
      <c r="Z504" s="659"/>
      <c r="AA504" s="659"/>
    </row>
    <row r="505" spans="10:27" s="1308" customFormat="1" ht="21.75" customHeight="1">
      <c r="J505" s="2840"/>
      <c r="K505" s="659"/>
      <c r="L505" s="659"/>
      <c r="M505" s="659"/>
      <c r="N505" s="659"/>
      <c r="O505" s="659"/>
      <c r="P505" s="659"/>
      <c r="Q505" s="659"/>
      <c r="R505" s="659"/>
      <c r="S505" s="659"/>
      <c r="T505" s="659"/>
      <c r="U505" s="659"/>
      <c r="V505" s="659"/>
      <c r="W505" s="659"/>
      <c r="X505" s="659"/>
      <c r="Y505" s="659"/>
      <c r="Z505" s="659"/>
      <c r="AA505" s="659"/>
    </row>
    <row r="506" spans="10:27" s="1308" customFormat="1" ht="21.75" customHeight="1">
      <c r="J506" s="2840"/>
      <c r="K506" s="659"/>
      <c r="L506" s="659"/>
      <c r="M506" s="659"/>
      <c r="N506" s="659"/>
      <c r="O506" s="659"/>
      <c r="P506" s="659"/>
      <c r="Q506" s="659"/>
      <c r="R506" s="659"/>
      <c r="S506" s="659"/>
      <c r="T506" s="659"/>
      <c r="U506" s="659"/>
      <c r="V506" s="659"/>
      <c r="W506" s="659"/>
      <c r="X506" s="659"/>
      <c r="Y506" s="659"/>
      <c r="Z506" s="659"/>
      <c r="AA506" s="659"/>
    </row>
    <row r="507" spans="10:27" s="1308" customFormat="1" ht="21.75" customHeight="1">
      <c r="J507" s="2840"/>
      <c r="K507" s="659"/>
      <c r="L507" s="659"/>
      <c r="M507" s="659"/>
      <c r="N507" s="659"/>
      <c r="O507" s="659"/>
      <c r="P507" s="659"/>
      <c r="Q507" s="659"/>
      <c r="R507" s="659"/>
      <c r="S507" s="659"/>
      <c r="T507" s="659"/>
      <c r="U507" s="659"/>
      <c r="V507" s="659"/>
      <c r="W507" s="659"/>
      <c r="X507" s="659"/>
      <c r="Y507" s="659"/>
      <c r="Z507" s="659"/>
      <c r="AA507" s="659"/>
    </row>
    <row r="508" spans="10:27" s="1308" customFormat="1" ht="21.75" customHeight="1">
      <c r="J508" s="2840"/>
      <c r="K508" s="659"/>
      <c r="L508" s="659"/>
      <c r="M508" s="659"/>
      <c r="N508" s="659"/>
      <c r="O508" s="659"/>
      <c r="P508" s="659"/>
      <c r="Q508" s="659"/>
      <c r="R508" s="659"/>
      <c r="S508" s="659"/>
      <c r="T508" s="659"/>
      <c r="U508" s="659"/>
      <c r="V508" s="659"/>
      <c r="W508" s="659"/>
      <c r="X508" s="659"/>
      <c r="Y508" s="659"/>
      <c r="Z508" s="659"/>
      <c r="AA508" s="659"/>
    </row>
    <row r="509" spans="10:27" s="1308" customFormat="1" ht="21.75" customHeight="1">
      <c r="J509" s="2840"/>
      <c r="K509" s="659"/>
      <c r="L509" s="659"/>
      <c r="M509" s="659"/>
      <c r="N509" s="659"/>
      <c r="O509" s="659"/>
      <c r="P509" s="659"/>
      <c r="Q509" s="659"/>
      <c r="R509" s="659"/>
      <c r="S509" s="659"/>
      <c r="T509" s="659"/>
      <c r="U509" s="659"/>
      <c r="V509" s="659"/>
      <c r="W509" s="659"/>
      <c r="X509" s="659"/>
      <c r="Y509" s="659"/>
      <c r="Z509" s="659"/>
      <c r="AA509" s="659"/>
    </row>
    <row r="510" spans="10:27" s="1308" customFormat="1" ht="21.75" customHeight="1">
      <c r="J510" s="2840"/>
      <c r="K510" s="659"/>
      <c r="L510" s="659"/>
      <c r="M510" s="659"/>
      <c r="N510" s="659"/>
      <c r="O510" s="659"/>
      <c r="P510" s="659"/>
      <c r="Q510" s="659"/>
      <c r="R510" s="659"/>
      <c r="S510" s="659"/>
      <c r="T510" s="659"/>
      <c r="U510" s="659"/>
      <c r="V510" s="659"/>
      <c r="W510" s="659"/>
      <c r="X510" s="659"/>
      <c r="Y510" s="659"/>
      <c r="Z510" s="659"/>
      <c r="AA510" s="659"/>
    </row>
    <row r="511" spans="10:27" s="1308" customFormat="1" ht="21.75" customHeight="1">
      <c r="J511" s="2840"/>
      <c r="K511" s="659"/>
      <c r="L511" s="659"/>
      <c r="M511" s="659"/>
      <c r="N511" s="659"/>
      <c r="O511" s="659"/>
      <c r="P511" s="659"/>
      <c r="Q511" s="659"/>
      <c r="R511" s="659"/>
      <c r="S511" s="659"/>
      <c r="T511" s="659"/>
      <c r="U511" s="659"/>
      <c r="V511" s="659"/>
      <c r="W511" s="659"/>
      <c r="X511" s="659"/>
      <c r="Y511" s="659"/>
      <c r="Z511" s="659"/>
      <c r="AA511" s="659"/>
    </row>
    <row r="512" spans="10:27" s="1308" customFormat="1" ht="21.75" customHeight="1">
      <c r="J512" s="2840"/>
      <c r="K512" s="659"/>
      <c r="L512" s="659"/>
      <c r="M512" s="659"/>
      <c r="N512" s="659"/>
      <c r="O512" s="659"/>
      <c r="P512" s="659"/>
      <c r="Q512" s="659"/>
      <c r="R512" s="659"/>
      <c r="S512" s="659"/>
      <c r="T512" s="659"/>
      <c r="U512" s="659"/>
      <c r="V512" s="659"/>
      <c r="W512" s="659"/>
      <c r="X512" s="659"/>
      <c r="Y512" s="659"/>
      <c r="Z512" s="659"/>
      <c r="AA512" s="659"/>
    </row>
    <row r="513" spans="6:27" s="1308" customFormat="1" ht="21.75" customHeight="1">
      <c r="J513" s="2840"/>
      <c r="K513" s="659"/>
      <c r="L513" s="659"/>
      <c r="M513" s="659"/>
      <c r="N513" s="659"/>
      <c r="O513" s="659"/>
      <c r="P513" s="659"/>
      <c r="Q513" s="659"/>
      <c r="R513" s="659"/>
      <c r="S513" s="659"/>
      <c r="T513" s="659"/>
      <c r="U513" s="659"/>
      <c r="V513" s="659"/>
      <c r="W513" s="659"/>
      <c r="X513" s="659"/>
      <c r="Y513" s="659"/>
      <c r="Z513" s="659"/>
      <c r="AA513" s="659"/>
    </row>
    <row r="514" spans="6:27" s="1308" customFormat="1" ht="21.75" customHeight="1">
      <c r="J514" s="2840"/>
      <c r="K514" s="659"/>
      <c r="L514" s="659"/>
      <c r="M514" s="659"/>
      <c r="N514" s="659"/>
      <c r="O514" s="659"/>
      <c r="P514" s="659"/>
      <c r="Q514" s="659"/>
      <c r="R514" s="659"/>
      <c r="S514" s="659"/>
      <c r="T514" s="659"/>
      <c r="U514" s="659"/>
      <c r="V514" s="659"/>
      <c r="W514" s="659"/>
      <c r="X514" s="659"/>
      <c r="Y514" s="659"/>
      <c r="Z514" s="659"/>
      <c r="AA514" s="659"/>
    </row>
    <row r="515" spans="6:27" s="1308" customFormat="1" ht="21.75" customHeight="1">
      <c r="J515" s="2840"/>
      <c r="K515" s="659"/>
      <c r="L515" s="659"/>
      <c r="M515" s="659"/>
      <c r="N515" s="659"/>
      <c r="O515" s="659"/>
      <c r="P515" s="659"/>
      <c r="Q515" s="659"/>
      <c r="R515" s="659"/>
      <c r="S515" s="659"/>
      <c r="T515" s="659"/>
      <c r="U515" s="659"/>
      <c r="V515" s="659"/>
      <c r="W515" s="659"/>
      <c r="X515" s="659"/>
      <c r="Y515" s="659"/>
      <c r="Z515" s="659"/>
      <c r="AA515" s="659"/>
    </row>
    <row r="516" spans="6:27" s="1308" customFormat="1" ht="21.75" customHeight="1">
      <c r="F516" s="1462"/>
      <c r="G516" s="1462"/>
      <c r="H516" s="1462"/>
      <c r="I516" s="1462"/>
      <c r="J516" s="2840"/>
      <c r="K516" s="659"/>
      <c r="L516" s="659"/>
      <c r="M516" s="659"/>
      <c r="N516" s="659"/>
      <c r="O516" s="659"/>
      <c r="P516" s="659"/>
      <c r="Q516" s="659"/>
      <c r="R516" s="659"/>
      <c r="S516" s="659"/>
      <c r="T516" s="659"/>
      <c r="U516" s="659"/>
      <c r="V516" s="659"/>
      <c r="W516" s="659"/>
      <c r="X516" s="659"/>
      <c r="Y516" s="659"/>
      <c r="Z516" s="659"/>
      <c r="AA516" s="659"/>
    </row>
  </sheetData>
  <sheetProtection password="CEE9" sheet="1" objects="1" scenarios="1" formatCells="0" formatColumns="0" formatRows="0"/>
  <mergeCells count="138">
    <mergeCell ref="O56:P56"/>
    <mergeCell ref="L54:M54"/>
    <mergeCell ref="L55:M55"/>
    <mergeCell ref="G49:G51"/>
    <mergeCell ref="D127:I127"/>
    <mergeCell ref="E91:G91"/>
    <mergeCell ref="F116:G116"/>
    <mergeCell ref="K45:P45"/>
    <mergeCell ref="L46:M46"/>
    <mergeCell ref="N46:P46"/>
    <mergeCell ref="L47:M47"/>
    <mergeCell ref="N47:P47"/>
    <mergeCell ref="N49:P49"/>
    <mergeCell ref="L48:M48"/>
    <mergeCell ref="N48:P48"/>
    <mergeCell ref="L49:M49"/>
    <mergeCell ref="F110:G111"/>
    <mergeCell ref="F112:G113"/>
    <mergeCell ref="K57:K58"/>
    <mergeCell ref="K50:P50"/>
    <mergeCell ref="L53:M53"/>
    <mergeCell ref="L51:M51"/>
    <mergeCell ref="L52:M52"/>
    <mergeCell ref="L57:L58"/>
    <mergeCell ref="L56:M56"/>
    <mergeCell ref="K63:K69"/>
    <mergeCell ref="H119:I119"/>
    <mergeCell ref="C119:C120"/>
    <mergeCell ref="A122:C122"/>
    <mergeCell ref="A99:D99"/>
    <mergeCell ref="E92:H92"/>
    <mergeCell ref="E93:H93"/>
    <mergeCell ref="E94:H94"/>
    <mergeCell ref="D119:E119"/>
    <mergeCell ref="F104:G104"/>
    <mergeCell ref="A119:A120"/>
    <mergeCell ref="F119:G119"/>
    <mergeCell ref="F109:G109"/>
    <mergeCell ref="F106:G106"/>
    <mergeCell ref="F99:I99"/>
    <mergeCell ref="A84:B84"/>
    <mergeCell ref="A83:H83"/>
    <mergeCell ref="A100:B100"/>
    <mergeCell ref="H100:I100"/>
    <mergeCell ref="F100:G100"/>
    <mergeCell ref="G90:H90"/>
    <mergeCell ref="A129:C129"/>
    <mergeCell ref="A127:C127"/>
    <mergeCell ref="D128:I128"/>
    <mergeCell ref="H116:I116"/>
    <mergeCell ref="A110:B110"/>
    <mergeCell ref="A118:I118"/>
    <mergeCell ref="K59:K60"/>
    <mergeCell ref="L59:L60"/>
    <mergeCell ref="L61:M61"/>
    <mergeCell ref="D122:E122"/>
    <mergeCell ref="A123:C123"/>
    <mergeCell ref="A126:C126"/>
    <mergeCell ref="A124:C124"/>
    <mergeCell ref="F122:G122"/>
    <mergeCell ref="A101:A102"/>
    <mergeCell ref="A103:A104"/>
    <mergeCell ref="H104:I104"/>
    <mergeCell ref="H109:I109"/>
    <mergeCell ref="F105:G105"/>
    <mergeCell ref="F107:G107"/>
    <mergeCell ref="A105:D105"/>
    <mergeCell ref="A106:B107"/>
    <mergeCell ref="A2:I2"/>
    <mergeCell ref="A5:A7"/>
    <mergeCell ref="B5:B7"/>
    <mergeCell ref="E76:H76"/>
    <mergeCell ref="B49:C49"/>
    <mergeCell ref="B50:C50"/>
    <mergeCell ref="B54:C54"/>
    <mergeCell ref="D8:D9"/>
    <mergeCell ref="B10:B11"/>
    <mergeCell ref="A3:I3"/>
    <mergeCell ref="C5:C7"/>
    <mergeCell ref="D5:D7"/>
    <mergeCell ref="E4:I4"/>
    <mergeCell ref="D10:D11"/>
    <mergeCell ref="C12:C13"/>
    <mergeCell ref="D12:D13"/>
    <mergeCell ref="C14:C16"/>
    <mergeCell ref="A71:B71"/>
    <mergeCell ref="B14:B16"/>
    <mergeCell ref="A62:B62"/>
    <mergeCell ref="D14:D16"/>
    <mergeCell ref="A24:A25"/>
    <mergeCell ref="A70:H70"/>
    <mergeCell ref="B51:C51"/>
    <mergeCell ref="A8:A9"/>
    <mergeCell ref="E78:H78"/>
    <mergeCell ref="A46:G46"/>
    <mergeCell ref="B58:C58"/>
    <mergeCell ref="B52:C52"/>
    <mergeCell ref="B53:C53"/>
    <mergeCell ref="C8:C9"/>
    <mergeCell ref="A36:A38"/>
    <mergeCell ref="B8:B9"/>
    <mergeCell ref="A10:A11"/>
    <mergeCell ref="B12:B13"/>
    <mergeCell ref="A48:C48"/>
    <mergeCell ref="B57:C57"/>
    <mergeCell ref="A45:C45"/>
    <mergeCell ref="A12:A13"/>
    <mergeCell ref="A14:A16"/>
    <mergeCell ref="A55:C55"/>
    <mergeCell ref="C10:C11"/>
    <mergeCell ref="A56:C56"/>
    <mergeCell ref="A59:C59"/>
    <mergeCell ref="A61:E61"/>
    <mergeCell ref="E18:I18"/>
    <mergeCell ref="A132:I132"/>
    <mergeCell ref="F117:I117"/>
    <mergeCell ref="A128:C128"/>
    <mergeCell ref="H101:I101"/>
    <mergeCell ref="F101:G101"/>
    <mergeCell ref="F114:G115"/>
    <mergeCell ref="D123:I123"/>
    <mergeCell ref="D124:I124"/>
    <mergeCell ref="A125:C125"/>
    <mergeCell ref="D125:I125"/>
    <mergeCell ref="D126:I126"/>
    <mergeCell ref="A112:B113"/>
    <mergeCell ref="F108:G108"/>
    <mergeCell ref="A114:B115"/>
    <mergeCell ref="D129:I129"/>
    <mergeCell ref="A116:B117"/>
    <mergeCell ref="A108:B108"/>
    <mergeCell ref="A109:B109"/>
    <mergeCell ref="A111:B111"/>
    <mergeCell ref="A130:C130"/>
    <mergeCell ref="B119:B120"/>
    <mergeCell ref="F102:G103"/>
    <mergeCell ref="H122:I122"/>
    <mergeCell ref="D130:I130"/>
  </mergeCells>
  <phoneticPr fontId="8" type="noConversion"/>
  <conditionalFormatting sqref="C5:C7">
    <cfRule type="cellIs" dxfId="183" priority="21" stopIfTrue="1" operator="equal">
      <formula>25</formula>
    </cfRule>
  </conditionalFormatting>
  <conditionalFormatting sqref="C8:C9">
    <cfRule type="cellIs" dxfId="182" priority="19" stopIfTrue="1" operator="equal">
      <formula>15</formula>
    </cfRule>
  </conditionalFormatting>
  <conditionalFormatting sqref="C14:C16">
    <cfRule type="cellIs" dxfId="181" priority="13" stopIfTrue="1" operator="equal">
      <formula>30</formula>
    </cfRule>
  </conditionalFormatting>
  <conditionalFormatting sqref="D5:D7">
    <cfRule type="cellIs" dxfId="180" priority="10" stopIfTrue="1" operator="equal">
      <formula>25</formula>
    </cfRule>
  </conditionalFormatting>
  <conditionalFormatting sqref="D8:D9">
    <cfRule type="cellIs" dxfId="179" priority="9" stopIfTrue="1" operator="equal">
      <formula>15</formula>
    </cfRule>
  </conditionalFormatting>
  <conditionalFormatting sqref="C10:D13">
    <cfRule type="cellIs" dxfId="178" priority="8" stopIfTrue="1" operator="equal">
      <formula>15</formula>
    </cfRule>
  </conditionalFormatting>
  <conditionalFormatting sqref="D14:D16">
    <cfRule type="cellIs" dxfId="177" priority="6" stopIfTrue="1" operator="equal">
      <formula>30</formula>
    </cfRule>
  </conditionalFormatting>
  <conditionalFormatting sqref="C90">
    <cfRule type="expression" dxfId="176" priority="3" stopIfTrue="1">
      <formula>$H$88&lt;&gt;"仅含出让金"</formula>
    </cfRule>
  </conditionalFormatting>
  <conditionalFormatting sqref="C91">
    <cfRule type="expression" dxfId="175" priority="2" stopIfTrue="1">
      <formula>$H$91="由企业提供"</formula>
    </cfRule>
  </conditionalFormatting>
  <dataValidations count="16">
    <dataValidation type="list" allowBlank="1" showInputMessage="1" showErrorMessage="1" sqref="C4:D4">
      <formula1>估价方法</formula1>
    </dataValidation>
    <dataValidation type="list" allowBlank="1" showInputMessage="1" showErrorMessage="1" sqref="H55:H56">
      <formula1>"个人住宅,正常"</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F45">
      <formula1>"100%,80%,60%,64%"</formula1>
    </dataValidation>
    <dataValidation type="list" allowBlank="1" showInputMessage="1" showErrorMessage="1" sqref="D33">
      <formula1>"成本法成本比率,收益法收益比率,收益法成本比率,自定义"</formula1>
    </dataValidation>
    <dataValidation type="list" allowBlank="1" showInputMessage="1" showErrorMessage="1" sqref="H88">
      <formula1>"仅含出让金,出让金+开发费"</formula1>
    </dataValidation>
    <dataValidation type="list" allowBlank="1" showInputMessage="1" showErrorMessage="1" sqref="F75">
      <formula1>"买卖合同,购房发票"</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D119:E119">
      <formula1>"出让国有建设用地使用权价值,划拨国有建设用地使用权价值"</formula1>
    </dataValidation>
    <dataValidation type="list" allowBlank="1" showInputMessage="1" showErrorMessage="1" sqref="C133">
      <formula1>"无,有"</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H91">
      <formula1>"企业提供（在右侧录入）,——"</formula1>
    </dataValidation>
    <dataValidation type="list" allowBlank="1" showInputMessage="1" showErrorMessage="1" sqref="G77">
      <formula1>"个人住宅,2016年5月1日前购买,2016年5月1日后购买"</formula1>
    </dataValidation>
    <dataValidation type="list" allowBlank="1" showInputMessage="1" showErrorMessage="1" sqref="A27">
      <formula1>"成本价,优惠价,标准价,经适房,按经适房管理"</formula1>
    </dataValidation>
    <dataValidation type="list" allowBlank="1" showInputMessage="1" showErrorMessage="1" sqref="D92">
      <formula1>"0,5%,10%"</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3" max="8" man="1"/>
    <brk id="97" max="8" man="1"/>
    <brk id="146"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rgb="FFFF0000"/>
  </sheetPr>
  <dimension ref="A1:AJ520"/>
  <sheetViews>
    <sheetView view="pageBreakPreview" zoomScale="70" zoomScaleNormal="100" zoomScaleSheetLayoutView="70" zoomScalePageLayoutView="80" workbookViewId="0">
      <selection activeCell="N19" sqref="N19"/>
    </sheetView>
  </sheetViews>
  <sheetFormatPr defaultColWidth="12.625" defaultRowHeight="21.75" customHeight="1"/>
  <cols>
    <col min="1" max="1" width="12.625" style="1462"/>
    <col min="2" max="2" width="17.625" style="1462" customWidth="1"/>
    <col min="3" max="4" width="12.625" style="1462" customWidth="1"/>
    <col min="5" max="9" width="12.625" style="1462"/>
    <col min="10" max="10" width="4.125" style="2840" customWidth="1"/>
    <col min="11" max="12" width="12.625" style="659" customWidth="1"/>
    <col min="13" max="13" width="12.625" style="659"/>
    <col min="14" max="14" width="14.125" style="659" bestFit="1" customWidth="1"/>
    <col min="15" max="27" width="12.625" style="659"/>
    <col min="28" max="36" width="12.625" style="1308"/>
    <col min="37" max="16384" width="12.625" style="1462"/>
  </cols>
  <sheetData>
    <row r="1" spans="1:15" ht="21.75" customHeight="1">
      <c r="A1" s="1460" t="s">
        <v>1882</v>
      </c>
      <c r="B1" s="1461"/>
      <c r="C1" s="1461"/>
      <c r="D1" s="1461"/>
      <c r="E1" s="1461"/>
      <c r="F1" s="1461"/>
      <c r="G1" s="1461"/>
      <c r="H1" s="1461"/>
      <c r="I1" s="1461"/>
    </row>
    <row r="2" spans="1:15" ht="21.75" customHeight="1">
      <c r="A2" s="3385" t="s">
        <v>1883</v>
      </c>
      <c r="B2" s="3385"/>
      <c r="C2" s="3385"/>
      <c r="D2" s="3385"/>
      <c r="E2" s="3385"/>
      <c r="F2" s="3385"/>
      <c r="G2" s="3385"/>
      <c r="H2" s="3385"/>
      <c r="I2" s="3385"/>
      <c r="J2" s="2872"/>
    </row>
    <row r="3" spans="1:15" ht="12.75">
      <c r="A3" s="3309" t="s">
        <v>1711</v>
      </c>
      <c r="B3" s="3310"/>
      <c r="C3" s="3310"/>
      <c r="D3" s="3310"/>
      <c r="E3" s="3310"/>
      <c r="F3" s="3310"/>
      <c r="G3" s="3310"/>
      <c r="H3" s="3310"/>
      <c r="I3" s="3310"/>
      <c r="J3" s="2842"/>
    </row>
    <row r="4" spans="1:15" ht="14.25">
      <c r="A4" s="2710" t="s">
        <v>1712</v>
      </c>
      <c r="B4" s="2710" t="s">
        <v>1713</v>
      </c>
      <c r="C4" s="2711" t="s">
        <v>2918</v>
      </c>
      <c r="D4" s="2711" t="s">
        <v>2919</v>
      </c>
      <c r="E4" s="3255" t="s">
        <v>1884</v>
      </c>
      <c r="F4" s="3293"/>
      <c r="G4" s="3293"/>
      <c r="H4" s="3293"/>
      <c r="I4" s="3294"/>
      <c r="J4" s="2843"/>
      <c r="L4" s="1461" t="str">
        <f>IF(ISNUMBER(FIND("比较法",'结果表 (1修多)'!C4)),"比较法",IF(ISNUMBER(FIND("成本法",'结果表 (1修多)'!C4)),"成本法",IF(ISNUMBER(FIND("假设开发法",'结果表 (1修多)'!C4)),"假设开发法",IF(ISNUMBER(FIND("收益法",'结果表 (1修多)'!C4)),"收益法","基准地价系数修正法"))))</f>
        <v>成本法</v>
      </c>
      <c r="M4" s="1461" t="str">
        <f>IF(ISNUMBER(FIND("比较法",'结果表 (1修多)'!D4)),"比较法",IF(ISNUMBER(FIND("成本法",'结果表 (1修多)'!D4)),"成本法",IF(ISNUMBER(FIND("假设开发法",'结果表 (1修多)'!D4)),"假设开发法",IF(ISNUMBER(FIND("收益法",'结果表 (1修多)'!D4)),"收益法","基准地价系数修正法"))))</f>
        <v>收益法</v>
      </c>
      <c r="N4" s="1461"/>
      <c r="O4" s="1461"/>
    </row>
    <row r="5" spans="1:15" ht="12.75">
      <c r="A5" s="3286" t="s">
        <v>1715</v>
      </c>
      <c r="B5" s="3286">
        <v>25</v>
      </c>
      <c r="C5" s="3295"/>
      <c r="D5" s="3308"/>
      <c r="E5" s="12" t="s">
        <v>1716</v>
      </c>
      <c r="F5" s="2089"/>
      <c r="G5" s="2089"/>
      <c r="H5" s="2089"/>
      <c r="I5" s="2084"/>
      <c r="J5" s="2843"/>
    </row>
    <row r="6" spans="1:15" ht="12.75">
      <c r="A6" s="3286"/>
      <c r="B6" s="3286"/>
      <c r="C6" s="3311"/>
      <c r="D6" s="3308"/>
      <c r="E6" s="12" t="s">
        <v>1717</v>
      </c>
      <c r="F6" s="2089"/>
      <c r="G6" s="2089"/>
      <c r="H6" s="2089"/>
      <c r="I6" s="2084"/>
      <c r="J6" s="2843"/>
    </row>
    <row r="7" spans="1:15" ht="12.75">
      <c r="A7" s="3286"/>
      <c r="B7" s="3286"/>
      <c r="C7" s="3296"/>
      <c r="D7" s="3308"/>
      <c r="E7" s="12" t="s">
        <v>1718</v>
      </c>
      <c r="F7" s="2089"/>
      <c r="G7" s="2089"/>
      <c r="H7" s="2089"/>
      <c r="I7" s="2084"/>
      <c r="J7" s="2843"/>
    </row>
    <row r="8" spans="1:15" ht="12.75">
      <c r="A8" s="3286" t="s">
        <v>1719</v>
      </c>
      <c r="B8" s="3286">
        <v>15</v>
      </c>
      <c r="C8" s="3295"/>
      <c r="D8" s="3308"/>
      <c r="E8" s="12" t="s">
        <v>1720</v>
      </c>
      <c r="F8" s="2089"/>
      <c r="G8" s="2089"/>
      <c r="H8" s="2089"/>
      <c r="I8" s="2084"/>
      <c r="J8" s="2843"/>
    </row>
    <row r="9" spans="1:15" ht="12.75">
      <c r="A9" s="3286"/>
      <c r="B9" s="3286"/>
      <c r="C9" s="3296"/>
      <c r="D9" s="3308"/>
      <c r="E9" s="12" t="s">
        <v>1721</v>
      </c>
      <c r="F9" s="2089"/>
      <c r="G9" s="2089"/>
      <c r="H9" s="2089"/>
      <c r="I9" s="2084"/>
      <c r="J9" s="2843"/>
    </row>
    <row r="10" spans="1:15" ht="12.75">
      <c r="A10" s="3286" t="s">
        <v>1722</v>
      </c>
      <c r="B10" s="3286">
        <v>15</v>
      </c>
      <c r="C10" s="3295"/>
      <c r="D10" s="3308"/>
      <c r="E10" s="12" t="s">
        <v>1723</v>
      </c>
      <c r="F10" s="2089"/>
      <c r="G10" s="2089"/>
      <c r="H10" s="2089"/>
      <c r="I10" s="2084"/>
      <c r="J10" s="2843"/>
    </row>
    <row r="11" spans="1:15" ht="12.75">
      <c r="A11" s="3286"/>
      <c r="B11" s="3286"/>
      <c r="C11" s="3296"/>
      <c r="D11" s="3308"/>
      <c r="E11" s="12" t="s">
        <v>1724</v>
      </c>
      <c r="F11" s="2089"/>
      <c r="G11" s="2089"/>
      <c r="H11" s="2089"/>
      <c r="I11" s="2084"/>
      <c r="J11" s="2843"/>
    </row>
    <row r="12" spans="1:15" ht="12.75">
      <c r="A12" s="3286" t="s">
        <v>1725</v>
      </c>
      <c r="B12" s="3286">
        <v>15</v>
      </c>
      <c r="C12" s="3295"/>
      <c r="D12" s="3308"/>
      <c r="E12" s="12" t="s">
        <v>1726</v>
      </c>
      <c r="F12" s="2089"/>
      <c r="G12" s="2089"/>
      <c r="H12" s="2089"/>
      <c r="I12" s="2084"/>
      <c r="J12" s="2843"/>
    </row>
    <row r="13" spans="1:15" ht="12.75">
      <c r="A13" s="3286"/>
      <c r="B13" s="3286"/>
      <c r="C13" s="3296"/>
      <c r="D13" s="3308"/>
      <c r="E13" s="12" t="s">
        <v>1727</v>
      </c>
      <c r="F13" s="2089"/>
      <c r="G13" s="2089"/>
      <c r="H13" s="2089"/>
      <c r="I13" s="2084"/>
      <c r="J13" s="2843"/>
    </row>
    <row r="14" spans="1:15" ht="12.75">
      <c r="A14" s="3286" t="s">
        <v>1728</v>
      </c>
      <c r="B14" s="3286">
        <v>30</v>
      </c>
      <c r="C14" s="3295">
        <v>4</v>
      </c>
      <c r="D14" s="3308">
        <v>6</v>
      </c>
      <c r="E14" s="12" t="s">
        <v>1729</v>
      </c>
      <c r="F14" s="2089"/>
      <c r="G14" s="2089"/>
      <c r="H14" s="2089"/>
      <c r="I14" s="2084"/>
      <c r="J14" s="2843"/>
    </row>
    <row r="15" spans="1:15" ht="12.75">
      <c r="A15" s="3286"/>
      <c r="B15" s="3286"/>
      <c r="C15" s="3311"/>
      <c r="D15" s="3308"/>
      <c r="E15" s="12" t="s">
        <v>1730</v>
      </c>
      <c r="F15" s="2089"/>
      <c r="G15" s="2089"/>
      <c r="H15" s="2089"/>
      <c r="I15" s="2084"/>
      <c r="J15" s="2843"/>
    </row>
    <row r="16" spans="1:15" ht="12.75">
      <c r="A16" s="3286"/>
      <c r="B16" s="3286"/>
      <c r="C16" s="3296"/>
      <c r="D16" s="3308"/>
      <c r="E16" s="12" t="s">
        <v>1731</v>
      </c>
      <c r="F16" s="2089"/>
      <c r="G16" s="2089"/>
      <c r="H16" s="2089"/>
      <c r="I16" s="2084"/>
      <c r="J16" s="2843"/>
    </row>
    <row r="17" spans="1:36" ht="15">
      <c r="A17" s="2712" t="s">
        <v>1732</v>
      </c>
      <c r="B17" s="2094"/>
      <c r="C17" s="2713">
        <f>SUM(C5:C16)</f>
        <v>4</v>
      </c>
      <c r="D17" s="2713">
        <f>SUM(D5:D16)</f>
        <v>6</v>
      </c>
      <c r="E17" s="2563"/>
      <c r="F17" s="2563"/>
      <c r="G17" s="2563"/>
      <c r="H17" s="2563"/>
      <c r="I17" s="2563"/>
      <c r="J17" s="2844"/>
    </row>
    <row r="18" spans="1:36" ht="32.450000000000003" customHeight="1" thickBot="1">
      <c r="A18" s="2714" t="s">
        <v>1733</v>
      </c>
      <c r="B18" s="2715"/>
      <c r="C18" s="2716">
        <f>ROUND(C17/SUM(C17:D17),2)</f>
        <v>0.4</v>
      </c>
      <c r="D18" s="2716">
        <f>1-C18</f>
        <v>0.6</v>
      </c>
      <c r="E18" s="3304" t="s">
        <v>2818</v>
      </c>
      <c r="F18" s="3305"/>
      <c r="G18" s="3305"/>
      <c r="H18" s="3305"/>
      <c r="I18" s="3305"/>
      <c r="J18" s="2844"/>
    </row>
    <row r="19" spans="1:36" ht="15">
      <c r="A19" s="2717" t="s">
        <v>1734</v>
      </c>
      <c r="B19" s="2718" t="s">
        <v>1735</v>
      </c>
      <c r="C19" s="2719">
        <f ca="1">SUMIF(INDIRECT("'"&amp;C4&amp;"'"&amp;"!A:A"),'结果表 (1修多)'!B19,INDIRECT("'"&amp;C4&amp;"'"&amp;"!B:B"))</f>
        <v>657</v>
      </c>
      <c r="D19" s="2720">
        <f ca="1">SUMIF(INDIRECT("'"&amp;D4&amp;"'"&amp;"!A:A"),'结果表 (1修多)'!B19,INDIRECT("'"&amp;D4&amp;"'"&amp;"!B:B"))</f>
        <v>402</v>
      </c>
      <c r="E19" s="2717" t="s">
        <v>1736</v>
      </c>
      <c r="F19" s="2718" t="s">
        <v>1735</v>
      </c>
      <c r="G19" s="2721">
        <f ca="1">ROUND(C19*$C$18+D19*$D$18,0)</f>
        <v>504</v>
      </c>
      <c r="H19" s="2722" t="str">
        <f>'数据-取费表'!B3</f>
        <v>万元</v>
      </c>
      <c r="I19" s="2563"/>
      <c r="J19" s="2844"/>
    </row>
    <row r="20" spans="1:36" ht="15">
      <c r="A20" s="2723"/>
      <c r="B20" s="1694" t="s">
        <v>1737</v>
      </c>
      <c r="C20" s="1919">
        <f ca="1">SUMIF(INDIRECT("'"&amp;C4&amp;"'"&amp;"!A:A"),'结果表 (1修多)'!B20,INDIRECT("'"&amp;C4&amp;"'"&amp;"!B:B"))</f>
        <v>42143</v>
      </c>
      <c r="D20" s="1922">
        <f ca="1">SUMIF(INDIRECT("'"&amp;D4&amp;"'"&amp;"!A:A"),'结果表 (1修多)'!B20,INDIRECT("'"&amp;D4&amp;"'"&amp;"!B:B"))</f>
        <v>25807</v>
      </c>
      <c r="E20" s="2723"/>
      <c r="F20" s="1694" t="s">
        <v>1737</v>
      </c>
      <c r="G20" s="2093">
        <f ca="1">ROUND(C20*$C$18+D20*$D$18,0)</f>
        <v>32341</v>
      </c>
      <c r="H20" s="2724" t="s">
        <v>1738</v>
      </c>
      <c r="I20" s="2563"/>
      <c r="J20" s="2844"/>
    </row>
    <row r="21" spans="1:36" ht="15" customHeight="1" thickBot="1">
      <c r="A21" s="2725"/>
      <c r="B21" s="2726"/>
      <c r="C21" s="2726"/>
      <c r="D21" s="2727"/>
      <c r="E21" s="2725"/>
      <c r="F21" s="2726"/>
      <c r="G21" s="2728"/>
      <c r="H21" s="2729"/>
      <c r="I21" s="2563"/>
      <c r="J21" s="2844"/>
    </row>
    <row r="22" spans="1:36" ht="15" thickBot="1">
      <c r="A22" s="2730" t="s">
        <v>1739</v>
      </c>
      <c r="B22" s="2731"/>
      <c r="C22" s="2645"/>
      <c r="D22" s="2732">
        <f ca="1">IF(C19&lt;D19,D19/C19-1,C19/D19-1)</f>
        <v>0.63432835820895517</v>
      </c>
      <c r="E22" s="947"/>
      <c r="F22" s="947"/>
      <c r="G22" s="947"/>
      <c r="H22" s="947"/>
      <c r="I22" s="947"/>
      <c r="J22" s="2844"/>
    </row>
    <row r="23" spans="1:36" ht="13.5" thickBot="1">
      <c r="A23" s="2563"/>
      <c r="B23" s="2563"/>
      <c r="C23" s="2563"/>
      <c r="D23" s="2563"/>
      <c r="E23" s="947"/>
      <c r="F23" s="947"/>
      <c r="G23" s="947"/>
      <c r="H23" s="947"/>
      <c r="I23" s="947"/>
      <c r="J23" s="2844"/>
    </row>
    <row r="24" spans="1:36" ht="21.75" customHeight="1">
      <c r="A24" s="3297" t="s">
        <v>1740</v>
      </c>
      <c r="B24" s="2718" t="s">
        <v>1735</v>
      </c>
      <c r="C24" s="2721">
        <f>D30</f>
        <v>0</v>
      </c>
      <c r="D24" s="2674"/>
      <c r="E24" s="947"/>
      <c r="F24" s="947"/>
      <c r="G24" s="947"/>
      <c r="H24" s="947"/>
      <c r="I24" s="947"/>
      <c r="J24" s="2844"/>
    </row>
    <row r="25" spans="1:36" ht="21.75" customHeight="1">
      <c r="A25" s="3314"/>
      <c r="B25" s="1694" t="s">
        <v>1737</v>
      </c>
      <c r="C25" s="2733">
        <f>IF(B30=0,0,C30)</f>
        <v>0</v>
      </c>
      <c r="D25" s="2734"/>
      <c r="E25" s="947"/>
      <c r="F25" s="947"/>
      <c r="G25" s="947"/>
      <c r="H25" s="947"/>
      <c r="I25" s="947"/>
      <c r="J25" s="2844"/>
    </row>
    <row r="26" spans="1:36" ht="13.5" customHeight="1">
      <c r="A26" s="2735" t="s">
        <v>1741</v>
      </c>
      <c r="B26" s="2736" t="s">
        <v>1742</v>
      </c>
      <c r="C26" s="2736" t="s">
        <v>1743</v>
      </c>
      <c r="D26" s="2737" t="s">
        <v>1744</v>
      </c>
      <c r="E26" s="947"/>
      <c r="F26" s="947"/>
      <c r="G26" s="947"/>
      <c r="H26" s="947"/>
      <c r="I26" s="947"/>
      <c r="J26" s="2844"/>
    </row>
    <row r="27" spans="1:36" ht="14.25">
      <c r="A27" s="2738" t="s">
        <v>1885</v>
      </c>
      <c r="B27" s="2736">
        <v>0</v>
      </c>
      <c r="C27" s="2736">
        <v>0</v>
      </c>
      <c r="D27" s="2737">
        <f>ROUND(C27*B27/10000,0)</f>
        <v>0</v>
      </c>
      <c r="E27" s="947"/>
      <c r="F27" s="947"/>
      <c r="G27" s="947"/>
      <c r="H27" s="947"/>
      <c r="I27" s="947"/>
      <c r="J27" s="2844"/>
    </row>
    <row r="28" spans="1:36" ht="14.25">
      <c r="A28" s="2735"/>
      <c r="B28" s="2736"/>
      <c r="C28" s="2736"/>
      <c r="D28" s="2737">
        <f>ROUND(C28*B28/10000,0)</f>
        <v>0</v>
      </c>
      <c r="E28" s="947"/>
      <c r="F28" s="947"/>
      <c r="G28" s="947"/>
      <c r="H28" s="947"/>
      <c r="I28" s="947"/>
      <c r="J28" s="2844"/>
    </row>
    <row r="29" spans="1:36" ht="14.25">
      <c r="A29" s="2735"/>
      <c r="B29" s="2736"/>
      <c r="C29" s="2736"/>
      <c r="D29" s="2737">
        <f t="shared" ref="D29" si="0">ROUND(C29*B29/10000,0)</f>
        <v>0</v>
      </c>
      <c r="E29" s="947"/>
      <c r="F29" s="947"/>
      <c r="G29" s="947"/>
      <c r="H29" s="947"/>
      <c r="I29" s="947"/>
      <c r="J29" s="2844"/>
    </row>
    <row r="30" spans="1:36" ht="15" thickBot="1">
      <c r="A30" s="2771" t="s">
        <v>1886</v>
      </c>
      <c r="B30" s="2772"/>
      <c r="C30" s="2772"/>
      <c r="D30" s="2772"/>
      <c r="E30" s="2739" t="s">
        <v>2822</v>
      </c>
      <c r="F30" s="2563"/>
      <c r="G30" s="2563"/>
      <c r="H30" s="2563"/>
      <c r="I30" s="2563"/>
      <c r="J30" s="2844"/>
    </row>
    <row r="31" spans="1:36" s="2837" customFormat="1" ht="27.6" customHeight="1" thickTop="1" thickBot="1">
      <c r="A31" s="2832"/>
      <c r="B31" s="2833"/>
      <c r="C31" s="2833"/>
      <c r="D31" s="2833"/>
      <c r="E31" s="2833"/>
      <c r="F31" s="2833"/>
      <c r="G31" s="2833"/>
      <c r="H31" s="2833"/>
      <c r="I31" s="2834" t="s">
        <v>2823</v>
      </c>
      <c r="J31" s="2846"/>
      <c r="K31" s="2835"/>
      <c r="L31" s="2835"/>
      <c r="M31" s="2835"/>
      <c r="N31" s="2835"/>
      <c r="O31" s="2835"/>
      <c r="P31" s="2835"/>
      <c r="Q31" s="2835"/>
      <c r="R31" s="2835"/>
      <c r="S31" s="2835"/>
      <c r="T31" s="2835"/>
      <c r="U31" s="2835"/>
      <c r="V31" s="2835"/>
      <c r="W31" s="2835"/>
      <c r="X31" s="2835"/>
      <c r="Y31" s="2835"/>
      <c r="Z31" s="2835"/>
      <c r="AA31" s="2835"/>
      <c r="AB31" s="2836"/>
      <c r="AC31" s="2836"/>
      <c r="AD31" s="2836"/>
      <c r="AE31" s="2836"/>
      <c r="AF31" s="2836"/>
      <c r="AG31" s="2836"/>
      <c r="AH31" s="2836"/>
      <c r="AI31" s="2836"/>
      <c r="AJ31" s="2836"/>
    </row>
    <row r="32" spans="1:36" s="1465" customFormat="1" ht="16.5" thickTop="1" thickBot="1">
      <c r="A32" s="3362" t="s">
        <v>1887</v>
      </c>
      <c r="B32" s="3362"/>
      <c r="C32" s="3362"/>
      <c r="D32" s="3362"/>
      <c r="E32" s="3362"/>
      <c r="F32" s="3362"/>
      <c r="G32" s="3362"/>
      <c r="H32" s="3362"/>
      <c r="I32" s="3362"/>
      <c r="J32" s="2873"/>
      <c r="K32" s="659"/>
      <c r="L32" s="659"/>
      <c r="M32" s="659"/>
      <c r="N32" s="659"/>
      <c r="O32" s="659"/>
      <c r="P32" s="659"/>
      <c r="Q32" s="659"/>
      <c r="R32" s="659"/>
      <c r="S32" s="659"/>
      <c r="T32" s="659"/>
      <c r="U32" s="659"/>
      <c r="V32" s="659"/>
      <c r="W32" s="659"/>
      <c r="X32" s="659"/>
      <c r="Y32" s="659"/>
      <c r="Z32" s="659"/>
      <c r="AA32" s="659"/>
      <c r="AB32" s="1308"/>
      <c r="AC32" s="1308"/>
      <c r="AD32" s="1308"/>
      <c r="AE32" s="1308"/>
      <c r="AF32" s="1308"/>
      <c r="AG32" s="1308"/>
      <c r="AH32" s="1308"/>
      <c r="AI32" s="1308"/>
      <c r="AJ32" s="1308"/>
    </row>
    <row r="33" spans="1:16" ht="15">
      <c r="A33" s="1511"/>
      <c r="B33" s="2773" t="s">
        <v>1888</v>
      </c>
      <c r="C33" s="2774">
        <f ca="1">典型户型修正!R27</f>
        <v>32341</v>
      </c>
      <c r="D33" s="2563" t="s">
        <v>1889</v>
      </c>
      <c r="E33" s="947"/>
      <c r="F33" s="947"/>
      <c r="G33" s="947"/>
      <c r="H33" s="947"/>
      <c r="I33" s="947"/>
      <c r="J33" s="2844"/>
    </row>
    <row r="34" spans="1:16" ht="15">
      <c r="A34" s="1512" t="s">
        <v>1890</v>
      </c>
      <c r="B34" s="2775" t="s">
        <v>1891</v>
      </c>
      <c r="C34" s="2776">
        <f ca="1">典型户型修正!B2</f>
        <v>2708</v>
      </c>
      <c r="D34" s="2777" t="str">
        <f>IF('数据-取费表'!B3="万元","万元","元")</f>
        <v>万元</v>
      </c>
      <c r="E34" s="947"/>
      <c r="F34" s="947"/>
      <c r="G34" s="947"/>
      <c r="H34" s="947"/>
      <c r="I34" s="947"/>
      <c r="J34" s="2844"/>
    </row>
    <row r="35" spans="1:16" ht="15.75" thickBot="1">
      <c r="A35" s="1513"/>
      <c r="B35" s="2778" t="s">
        <v>1892</v>
      </c>
      <c r="C35" s="2727">
        <f ca="1">典型户型修正!B3</f>
        <v>32189</v>
      </c>
      <c r="D35" s="2563" t="s">
        <v>1893</v>
      </c>
      <c r="E35" s="947"/>
      <c r="F35" s="947"/>
      <c r="G35" s="947"/>
      <c r="H35" s="947"/>
      <c r="I35" s="947"/>
      <c r="J35" s="2844"/>
    </row>
    <row r="36" spans="1:16" ht="15">
      <c r="A36" s="1514"/>
      <c r="B36" s="1468" t="s">
        <v>1894</v>
      </c>
      <c r="C36" s="2779">
        <f>IF('数据-取费表'!B3="万元",典型户型修正!V25,典型户型修正!U25)</f>
        <v>0</v>
      </c>
      <c r="D36" s="2563" t="str">
        <f>D34</f>
        <v>万元</v>
      </c>
      <c r="E36" s="947"/>
      <c r="F36" s="947"/>
      <c r="G36" s="947"/>
      <c r="H36" s="947"/>
      <c r="I36" s="947"/>
      <c r="J36" s="2844"/>
    </row>
    <row r="37" spans="1:16" ht="15.75" thickBot="1">
      <c r="A37" s="1467"/>
      <c r="B37" s="1469" t="s">
        <v>1895</v>
      </c>
      <c r="C37" s="2780">
        <f>IF('数据-取费表'!B3="万元",典型户型修正!Y25,典型户型修正!X25)</f>
        <v>0</v>
      </c>
      <c r="D37" s="2563" t="str">
        <f>D34</f>
        <v>万元</v>
      </c>
      <c r="E37" s="947"/>
      <c r="F37" s="947"/>
      <c r="G37" s="947"/>
      <c r="H37" s="947"/>
      <c r="I37" s="947"/>
      <c r="J37" s="2844"/>
    </row>
    <row r="38" spans="1:16" ht="15.75" thickBot="1">
      <c r="A38" s="3297" t="s">
        <v>1896</v>
      </c>
      <c r="B38" s="1468" t="s">
        <v>1897</v>
      </c>
      <c r="C38" s="2754"/>
      <c r="D38" s="2755"/>
      <c r="E38" s="1680"/>
      <c r="F38" s="1680"/>
      <c r="G38" s="947"/>
      <c r="H38" s="947"/>
      <c r="I38" s="947"/>
      <c r="J38" s="2844"/>
    </row>
    <row r="39" spans="1:16" ht="15.75" thickBot="1">
      <c r="A39" s="3298"/>
      <c r="B39" s="2094" t="s">
        <v>1898</v>
      </c>
      <c r="C39" s="2756"/>
      <c r="D39" s="1311"/>
      <c r="E39" s="1311"/>
      <c r="F39" s="1680"/>
      <c r="G39" s="1311"/>
      <c r="H39" s="1311"/>
      <c r="I39" s="1311"/>
      <c r="J39" s="2848"/>
    </row>
    <row r="40" spans="1:16" ht="15.75" thickBot="1">
      <c r="A40" s="3299"/>
      <c r="B40" s="1469" t="s">
        <v>1899</v>
      </c>
      <c r="C40" s="2757"/>
      <c r="D40" s="2758" t="s">
        <v>1900</v>
      </c>
      <c r="E40" s="1311"/>
      <c r="F40" s="1680"/>
      <c r="G40" s="1311"/>
      <c r="H40" s="1311"/>
      <c r="I40" s="1311"/>
      <c r="J40" s="2848"/>
    </row>
    <row r="41" spans="1:16" ht="15">
      <c r="A41" s="2723" t="s">
        <v>1901</v>
      </c>
      <c r="B41" s="2759" t="s">
        <v>1902</v>
      </c>
      <c r="C41" s="2760" t="s">
        <v>1903</v>
      </c>
      <c r="D41" s="2760" t="s">
        <v>1904</v>
      </c>
      <c r="E41" s="2761" t="s">
        <v>1905</v>
      </c>
      <c r="F41" s="1680"/>
      <c r="G41" s="1311"/>
      <c r="H41" s="1311"/>
      <c r="I41" s="1311"/>
      <c r="J41" s="2848"/>
    </row>
    <row r="42" spans="1:16" ht="14.25">
      <c r="A42" s="2762" t="s">
        <v>1906</v>
      </c>
      <c r="B42" s="2763"/>
      <c r="C42" s="2764"/>
      <c r="D42" s="2764"/>
      <c r="E42" s="2765"/>
      <c r="F42" s="1680"/>
      <c r="G42" s="1311"/>
      <c r="H42" s="1311"/>
      <c r="I42" s="1311"/>
      <c r="J42" s="2848"/>
    </row>
    <row r="43" spans="1:16" ht="14.25">
      <c r="A43" s="2762" t="s">
        <v>1907</v>
      </c>
      <c r="B43" s="2763"/>
      <c r="C43" s="2764"/>
      <c r="D43" s="2764"/>
      <c r="E43" s="2765"/>
      <c r="F43" s="1680"/>
      <c r="G43" s="1311"/>
      <c r="H43" s="1311"/>
      <c r="I43" s="1311"/>
      <c r="J43" s="2848"/>
    </row>
    <row r="44" spans="1:16" ht="15" thickBot="1">
      <c r="A44" s="2766"/>
      <c r="B44" s="2767"/>
      <c r="C44" s="2768"/>
      <c r="D44" s="2768"/>
      <c r="E44" s="2753"/>
      <c r="F44" s="1680"/>
      <c r="G44" s="1311"/>
      <c r="H44" s="1311"/>
      <c r="I44" s="1311"/>
      <c r="J44" s="2848"/>
    </row>
    <row r="45" spans="1:16" ht="12.75">
      <c r="A45" s="1481"/>
      <c r="B45" s="1481"/>
      <c r="C45" s="1481"/>
      <c r="D45" s="1481"/>
      <c r="E45" s="1481"/>
      <c r="F45" s="1437"/>
      <c r="G45" s="1437"/>
      <c r="H45" s="1437"/>
      <c r="I45" s="2769"/>
      <c r="J45" s="2849"/>
    </row>
    <row r="46" spans="1:16" ht="18.75">
      <c r="A46" s="1471" t="s">
        <v>1908</v>
      </c>
      <c r="B46" s="1472"/>
      <c r="C46" s="1472"/>
      <c r="D46" s="2781"/>
      <c r="E46" s="2781"/>
      <c r="F46" s="2781"/>
      <c r="G46" s="2781"/>
      <c r="H46" s="2781"/>
      <c r="I46" s="2838" t="s">
        <v>2817</v>
      </c>
      <c r="J46" s="2874"/>
      <c r="K46" s="1475" t="s">
        <v>1763</v>
      </c>
      <c r="L46" s="1476"/>
      <c r="M46" s="1476"/>
      <c r="N46" s="1476"/>
      <c r="O46" s="1476"/>
      <c r="P46" s="1476"/>
    </row>
    <row r="47" spans="1:16" ht="14.25" customHeight="1" thickBot="1">
      <c r="A47" s="3301" t="s">
        <v>1909</v>
      </c>
      <c r="B47" s="3302"/>
      <c r="C47" s="3261"/>
      <c r="D47" s="246">
        <f ca="1">ROUND(I104*F47,0)</f>
        <v>2708</v>
      </c>
      <c r="E47" s="1542" t="s">
        <v>1910</v>
      </c>
      <c r="F47" s="2561">
        <v>1</v>
      </c>
      <c r="G47" s="2562" t="s">
        <v>1911</v>
      </c>
      <c r="H47" s="947"/>
      <c r="I47" s="947"/>
      <c r="J47" s="2844"/>
      <c r="K47" s="3387" t="s">
        <v>1767</v>
      </c>
      <c r="L47" s="3387"/>
      <c r="M47" s="3387"/>
      <c r="N47" s="3387"/>
      <c r="O47" s="3387"/>
      <c r="P47" s="3387"/>
    </row>
    <row r="48" spans="1:16" ht="14.25" customHeight="1">
      <c r="A48" s="3290" t="s">
        <v>1768</v>
      </c>
      <c r="B48" s="3291"/>
      <c r="C48" s="3291"/>
      <c r="D48" s="3291"/>
      <c r="E48" s="3291"/>
      <c r="F48" s="3291"/>
      <c r="G48" s="3292"/>
      <c r="H48" s="2976"/>
      <c r="I48" s="947"/>
      <c r="J48" s="2844"/>
      <c r="K48" s="2513">
        <v>1</v>
      </c>
      <c r="L48" s="3382" t="s">
        <v>1769</v>
      </c>
      <c r="M48" s="3382"/>
      <c r="N48" s="3388"/>
      <c r="O48" s="3388"/>
      <c r="P48" s="3388"/>
    </row>
    <row r="49" spans="1:17" ht="12" customHeight="1">
      <c r="A49" s="38" t="s">
        <v>1770</v>
      </c>
      <c r="B49" s="39"/>
      <c r="C49" s="40"/>
      <c r="D49" s="1099" t="s">
        <v>1771</v>
      </c>
      <c r="E49" s="235" t="s">
        <v>1772</v>
      </c>
      <c r="F49" s="41" t="s">
        <v>1773</v>
      </c>
      <c r="G49" s="2564" t="s">
        <v>1774</v>
      </c>
      <c r="H49" s="2976"/>
      <c r="I49" s="947"/>
      <c r="J49" s="2844"/>
      <c r="K49" s="2513">
        <v>2</v>
      </c>
      <c r="L49" s="3382" t="s">
        <v>1775</v>
      </c>
      <c r="M49" s="3382"/>
      <c r="N49" s="3389">
        <f>'数据-取费表'!B2</f>
        <v>44334</v>
      </c>
      <c r="O49" s="3389"/>
      <c r="P49" s="3389"/>
    </row>
    <row r="50" spans="1:17" ht="25.5">
      <c r="A50" s="3300" t="s">
        <v>1776</v>
      </c>
      <c r="B50" s="3254"/>
      <c r="C50" s="3254"/>
      <c r="D50" s="12">
        <f ca="1">IF(H50="情况1",0,IF(H50="情况2",D54,IF(H50="情况3",D55,IF(H50="情况4",D56))))</f>
        <v>144</v>
      </c>
      <c r="E50" s="2092" t="str">
        <f>IF(H50="情况4","(销售额-原购置价)×税（费）率","销售额×税（费）率")</f>
        <v>销售额×税（费）率</v>
      </c>
      <c r="F50" s="2565">
        <f>IF(H50="情况1","免征",'数据-取费表'!E29)</f>
        <v>5.6000000000000001E-2</v>
      </c>
      <c r="G50" s="2566" t="s">
        <v>1777</v>
      </c>
      <c r="H50" s="2567" t="s">
        <v>1778</v>
      </c>
      <c r="I50" s="2976"/>
      <c r="J50" s="2851"/>
      <c r="K50" s="2513">
        <v>3</v>
      </c>
      <c r="L50" s="3382" t="s">
        <v>1779</v>
      </c>
      <c r="M50" s="3382"/>
      <c r="N50" s="3383">
        <f ca="1">I104</f>
        <v>2708</v>
      </c>
      <c r="O50" s="3383"/>
      <c r="P50" s="3383"/>
    </row>
    <row r="51" spans="1:17" ht="25.5" customHeight="1">
      <c r="A51" s="2091" t="s">
        <v>1780</v>
      </c>
      <c r="B51" s="3293" t="s">
        <v>1781</v>
      </c>
      <c r="C51" s="3293"/>
      <c r="D51" s="2568">
        <v>0</v>
      </c>
      <c r="E51" s="261" t="s">
        <v>1782</v>
      </c>
      <c r="F51" s="2569" t="s">
        <v>48</v>
      </c>
      <c r="G51" s="3350"/>
      <c r="H51" s="2570" t="s">
        <v>2742</v>
      </c>
      <c r="I51" s="2571"/>
      <c r="J51" s="2852"/>
      <c r="K51" s="2513">
        <v>4</v>
      </c>
      <c r="L51" s="3382" t="str">
        <f>IF(项目基本情况!F5="房地产抵押价值","房地产抵押价值","抵押担保权已注销时的房地产抵押价值")</f>
        <v>抵押担保权已注销时的房地产抵押价值</v>
      </c>
      <c r="M51" s="3382"/>
      <c r="N51" s="3383" t="str">
        <f>IF(项目基本情况!F5="房地产抵押价值",I112,I114)</f>
        <v>——</v>
      </c>
      <c r="O51" s="3383"/>
      <c r="P51" s="3383"/>
    </row>
    <row r="52" spans="1:17" ht="25.5" customHeight="1">
      <c r="A52" s="2081"/>
      <c r="B52" s="3293" t="s">
        <v>1783</v>
      </c>
      <c r="C52" s="3293"/>
      <c r="D52" s="2572"/>
      <c r="E52" s="269"/>
      <c r="F52" s="2569"/>
      <c r="G52" s="3351"/>
      <c r="H52" s="2573" t="s">
        <v>2743</v>
      </c>
      <c r="I52" s="2571"/>
      <c r="J52" s="2852"/>
      <c r="K52" s="3382" t="s">
        <v>1784</v>
      </c>
      <c r="L52" s="3382"/>
      <c r="M52" s="3382"/>
      <c r="N52" s="3382"/>
      <c r="O52" s="3382"/>
      <c r="P52" s="3382"/>
    </row>
    <row r="53" spans="1:17" ht="20.45" customHeight="1">
      <c r="A53" s="2574"/>
      <c r="B53" s="3293" t="s">
        <v>1785</v>
      </c>
      <c r="C53" s="3293"/>
      <c r="D53" s="1099"/>
      <c r="E53" s="264"/>
      <c r="F53" s="2569"/>
      <c r="G53" s="3352"/>
      <c r="H53" s="2573" t="s">
        <v>2744</v>
      </c>
      <c r="I53" s="2571"/>
      <c r="J53" s="2852"/>
      <c r="K53" s="2514" t="s">
        <v>1786</v>
      </c>
      <c r="L53" s="3382" t="s">
        <v>1787</v>
      </c>
      <c r="M53" s="3382"/>
      <c r="N53" s="2514" t="s">
        <v>1788</v>
      </c>
      <c r="O53" s="2514" t="s">
        <v>1789</v>
      </c>
      <c r="P53" s="2514" t="s">
        <v>1790</v>
      </c>
    </row>
    <row r="54" spans="1:17" ht="24" customHeight="1">
      <c r="A54" s="2082" t="s">
        <v>1791</v>
      </c>
      <c r="B54" s="3293" t="s">
        <v>1792</v>
      </c>
      <c r="C54" s="3293"/>
      <c r="D54" s="1099">
        <f ca="1">ROUND(D47*'数据-取费表'!E29/(1+'数据-取费表'!F30),0)</f>
        <v>144</v>
      </c>
      <c r="E54" s="2092" t="s">
        <v>1793</v>
      </c>
      <c r="F54" s="2575">
        <f>'数据-取费表'!E29</f>
        <v>5.6000000000000001E-2</v>
      </c>
      <c r="G54" s="2576"/>
      <c r="H54" s="947"/>
      <c r="I54" s="2977"/>
      <c r="J54" s="2852"/>
      <c r="K54" s="2513">
        <v>1</v>
      </c>
      <c r="L54" s="3378" t="s">
        <v>1794</v>
      </c>
      <c r="M54" s="3378"/>
      <c r="N54" s="2515">
        <f ca="1">D50</f>
        <v>144</v>
      </c>
      <c r="O54" s="2513" t="str">
        <f>E50</f>
        <v>销售额×税（费）率</v>
      </c>
      <c r="P54" s="2516">
        <f>F50</f>
        <v>5.6000000000000001E-2</v>
      </c>
    </row>
    <row r="55" spans="1:17" ht="12" customHeight="1">
      <c r="A55" s="2082" t="s">
        <v>1795</v>
      </c>
      <c r="B55" s="3255" t="s">
        <v>2836</v>
      </c>
      <c r="C55" s="3294"/>
      <c r="D55" s="1099">
        <f ca="1">ROUND(D47*'数据-取费表'!E29/(1+'数据-取费表'!F30),0)</f>
        <v>144</v>
      </c>
      <c r="E55" s="2092" t="s">
        <v>1793</v>
      </c>
      <c r="F55" s="2575">
        <f>'数据-取费表'!E29</f>
        <v>5.6000000000000001E-2</v>
      </c>
      <c r="G55" s="2576"/>
      <c r="H55" s="947"/>
      <c r="I55" s="2977"/>
      <c r="J55" s="2852"/>
      <c r="K55" s="2513">
        <v>2</v>
      </c>
      <c r="L55" s="3378" t="s">
        <v>1796</v>
      </c>
      <c r="M55" s="3378"/>
      <c r="N55" s="2515">
        <f t="shared" ref="N55:P56" ca="1" si="1">D57</f>
        <v>1</v>
      </c>
      <c r="O55" s="2513" t="str">
        <f t="shared" si="1"/>
        <v>销售额×税（费）率</v>
      </c>
      <c r="P55" s="2516">
        <f t="shared" si="1"/>
        <v>5.0000000000000001E-4</v>
      </c>
    </row>
    <row r="56" spans="1:17" ht="12" customHeight="1">
      <c r="A56" s="2082" t="s">
        <v>1797</v>
      </c>
      <c r="B56" s="3255" t="s">
        <v>2837</v>
      </c>
      <c r="C56" s="3294"/>
      <c r="D56" s="1099">
        <f ca="1">C70</f>
        <v>144</v>
      </c>
      <c r="E56" s="264" t="s">
        <v>1798</v>
      </c>
      <c r="F56" s="2575">
        <f>'数据-取费表'!E29</f>
        <v>5.6000000000000001E-2</v>
      </c>
      <c r="G56" s="2576"/>
      <c r="H56" s="2978"/>
      <c r="I56" s="2977"/>
      <c r="J56" s="2852"/>
      <c r="K56" s="2513">
        <v>3</v>
      </c>
      <c r="L56" s="3378" t="s">
        <v>1799</v>
      </c>
      <c r="M56" s="3378"/>
      <c r="N56" s="2515">
        <f t="shared" ca="1" si="1"/>
        <v>1533</v>
      </c>
      <c r="O56" s="2513" t="str">
        <f t="shared" si="1"/>
        <v>增值额×税（费）率</v>
      </c>
      <c r="P56" s="2517" t="str">
        <f t="shared" si="1"/>
        <v>——</v>
      </c>
    </row>
    <row r="57" spans="1:17" ht="24" customHeight="1">
      <c r="A57" s="3253" t="s">
        <v>1800</v>
      </c>
      <c r="B57" s="3254"/>
      <c r="C57" s="3254"/>
      <c r="D57" s="12">
        <f ca="1">IF(H57="个人住宅",0,ROUND(D47*I57,0))</f>
        <v>1</v>
      </c>
      <c r="E57" s="2092" t="s">
        <v>1801</v>
      </c>
      <c r="F57" s="2575">
        <f>IF(H57="正常",I57,"免征")</f>
        <v>5.0000000000000001E-4</v>
      </c>
      <c r="G57" s="2576"/>
      <c r="H57" s="2567" t="s">
        <v>1802</v>
      </c>
      <c r="I57" s="74">
        <f>'数据-取费表'!E37</f>
        <v>5.0000000000000001E-4</v>
      </c>
      <c r="J57" s="2852"/>
      <c r="K57" s="2513">
        <f>IF(H61="非个人房产","",4)</f>
        <v>4</v>
      </c>
      <c r="L57" s="3378" t="str">
        <f>IF(H61="非个人房产","——","个人所得税")</f>
        <v>个人所得税</v>
      </c>
      <c r="M57" s="3378"/>
      <c r="N57" s="2518">
        <f ca="1">D61</f>
        <v>27</v>
      </c>
      <c r="O57" s="2519" t="str">
        <f>E61</f>
        <v>销售额×税（费）率</v>
      </c>
      <c r="P57" s="2520">
        <f>F61</f>
        <v>0.01</v>
      </c>
    </row>
    <row r="58" spans="1:17" ht="24.75">
      <c r="A58" s="3253" t="s">
        <v>1803</v>
      </c>
      <c r="B58" s="3254"/>
      <c r="C58" s="3254"/>
      <c r="D58" s="12">
        <f ca="1">IF(H58="个人住宅",D59,D60)</f>
        <v>1533</v>
      </c>
      <c r="E58" s="2092" t="s">
        <v>1804</v>
      </c>
      <c r="F58" s="2575" t="str">
        <f>IF(H58="正常",F60,"免征")</f>
        <v>——</v>
      </c>
      <c r="G58" s="2577" t="s">
        <v>1805</v>
      </c>
      <c r="H58" s="2578" t="s">
        <v>1802</v>
      </c>
      <c r="I58" s="2979"/>
      <c r="J58" s="2852"/>
      <c r="K58" s="2513" t="str">
        <f>IF(项目基本情况!I6="上海银行",IF(K57="",4,K57+1),"")</f>
        <v/>
      </c>
      <c r="L58" s="3380" t="str">
        <f>IF(项目基本情况!I6="上海银行","其他处置费用","")</f>
        <v/>
      </c>
      <c r="M58" s="3381"/>
      <c r="N58" s="2515" t="str">
        <f>IF(项目基本情况!I6="上海银行",N71,"")</f>
        <v/>
      </c>
      <c r="O58" s="3380" t="str">
        <f>IF(项目基本情况!I6="上海银行","包含处置中涉及的律师、诉讼、拍卖、评估等费用","")</f>
        <v/>
      </c>
      <c r="P58" s="3384"/>
    </row>
    <row r="59" spans="1:17" ht="12.75">
      <c r="A59" s="2082" t="s">
        <v>1780</v>
      </c>
      <c r="B59" s="3255" t="s">
        <v>1806</v>
      </c>
      <c r="C59" s="3294"/>
      <c r="D59" s="2568">
        <v>0</v>
      </c>
      <c r="E59" s="261" t="s">
        <v>1782</v>
      </c>
      <c r="F59" s="235"/>
      <c r="G59" s="2576"/>
      <c r="H59" s="2979"/>
      <c r="I59" s="2979"/>
      <c r="J59" s="2852"/>
      <c r="K59" s="3378">
        <f>IF(AND(K57="",K58=""),4,IF(项目基本情况!I6="上海银行",K58+1,K57+1))</f>
        <v>5</v>
      </c>
      <c r="L59" s="3378" t="s">
        <v>1807</v>
      </c>
      <c r="M59" s="2521" t="s">
        <v>1808</v>
      </c>
      <c r="N59" s="2522"/>
      <c r="O59" s="2523">
        <f ca="1">SUMIF(N54:N58,"&lt;9e307")</f>
        <v>1705</v>
      </c>
      <c r="P59" s="2524"/>
      <c r="Q59" s="1306" t="e">
        <f ca="1">O59/N51</f>
        <v>#VALUE!</v>
      </c>
    </row>
    <row r="60" spans="1:17" ht="24.75">
      <c r="A60" s="2082" t="s">
        <v>1791</v>
      </c>
      <c r="B60" s="3255" t="s">
        <v>1809</v>
      </c>
      <c r="C60" s="3293"/>
      <c r="D60" s="12">
        <f ca="1">IF(H60="转让取得",C83,C99)</f>
        <v>1533</v>
      </c>
      <c r="E60" s="2092" t="s">
        <v>1804</v>
      </c>
      <c r="F60" s="235" t="s">
        <v>48</v>
      </c>
      <c r="G60" s="2576"/>
      <c r="H60" s="2578" t="s">
        <v>1810</v>
      </c>
      <c r="I60" s="2979"/>
      <c r="J60" s="2852"/>
      <c r="K60" s="3378"/>
      <c r="L60" s="3378"/>
      <c r="M60" s="2521" t="s">
        <v>1811</v>
      </c>
      <c r="N60" s="2525"/>
      <c r="O60" s="2526" t="str">
        <f ca="1">IF(H19="元",NUMBERSTRING(INT(O59),2)&amp;"元整",NUMBERSTRING(INT(O59*10000),2)&amp;"元整")</f>
        <v>壹仟柒佰零伍万元整</v>
      </c>
      <c r="P60" s="2527"/>
    </row>
    <row r="61" spans="1:17" ht="26.25" thickBot="1">
      <c r="A61" s="3277" t="s">
        <v>1812</v>
      </c>
      <c r="B61" s="3278"/>
      <c r="C61" s="3278"/>
      <c r="D61" s="69">
        <f ca="1">IF(H61="非个人房产","——",IF(H61="个人住宅（满五唯一有凭证）",0,IF(H61="个人其他（无凭证）",ROUND(D47*F61,0),ROUND(C69*F61,0))))</f>
        <v>27</v>
      </c>
      <c r="E61" s="2083" t="str">
        <f>IF(H61="非个人房产","——",IF(H61="个人其他（无凭证）","销售额×税（费）率",IF(H61="个人住宅（满五唯一有凭证）","免征","差额计税")))</f>
        <v>销售额×税（费）率</v>
      </c>
      <c r="F61" s="2782">
        <f>IF(OR(H61="非个人房产",H61="个人住宅（满五唯一有凭证）"),"——",IF(H61="个人其他（有凭证）",20%,1%))</f>
        <v>0.01</v>
      </c>
      <c r="G61" s="2822" t="s">
        <v>2815</v>
      </c>
      <c r="H61" s="2096" t="s">
        <v>2741</v>
      </c>
      <c r="I61" s="2880" t="s">
        <v>2827</v>
      </c>
      <c r="J61" s="2852"/>
      <c r="K61" s="3376">
        <f>K59+1</f>
        <v>6</v>
      </c>
      <c r="L61" s="3378" t="s">
        <v>1813</v>
      </c>
      <c r="M61" s="2513" t="s">
        <v>1808</v>
      </c>
      <c r="N61" s="2528"/>
      <c r="O61" s="2529" t="e">
        <f ca="1">N51-O59</f>
        <v>#VALUE!</v>
      </c>
      <c r="P61" s="2530"/>
    </row>
    <row r="62" spans="1:17" ht="12" customHeight="1">
      <c r="A62" s="1457"/>
      <c r="B62" s="2563"/>
      <c r="C62" s="2563"/>
      <c r="D62" s="2563"/>
      <c r="E62" s="1457"/>
      <c r="F62" s="2979"/>
      <c r="G62" s="2979"/>
      <c r="H62" s="2974"/>
      <c r="I62" s="947"/>
      <c r="J62" s="2852"/>
      <c r="K62" s="3377"/>
      <c r="L62" s="3378"/>
      <c r="M62" s="2521" t="s">
        <v>1811</v>
      </c>
      <c r="N62" s="2525"/>
      <c r="O62" s="2526" t="e">
        <f ca="1">IF(H19="元",NUMBERSTRING(INT(O61),2)&amp;"元整",NUMBERSTRING(INT(O61*10000),2)&amp;"元整")</f>
        <v>#VALUE!</v>
      </c>
      <c r="P62" s="2527"/>
    </row>
    <row r="63" spans="1:17" ht="13.5" thickBot="1">
      <c r="A63" s="3379" t="s">
        <v>1814</v>
      </c>
      <c r="B63" s="3379"/>
      <c r="C63" s="3379"/>
      <c r="D63" s="3379"/>
      <c r="E63" s="3379"/>
      <c r="F63" s="2979"/>
      <c r="G63" s="2979"/>
      <c r="H63" s="2974"/>
      <c r="I63" s="947"/>
      <c r="J63" s="2844"/>
      <c r="K63" s="2513">
        <f>K61+1</f>
        <v>7</v>
      </c>
      <c r="L63" s="3378" t="s">
        <v>1815</v>
      </c>
      <c r="M63" s="3378"/>
      <c r="N63" s="2531"/>
      <c r="O63" s="2532" t="e">
        <f ca="1">IF(H19="元",ROUND(O61/项目基本情况!C12,0),ROUND(O61*10000/项目基本情况!C12,0))</f>
        <v>#VALUE!</v>
      </c>
      <c r="P63" s="2533"/>
    </row>
    <row r="64" spans="1:17" ht="12.75">
      <c r="A64" s="3312" t="s">
        <v>1816</v>
      </c>
      <c r="B64" s="3313"/>
      <c r="C64" s="1607"/>
      <c r="D64" s="1607" t="s">
        <v>1817</v>
      </c>
      <c r="E64" s="45" t="s">
        <v>1818</v>
      </c>
      <c r="F64" s="2979"/>
      <c r="G64" s="2979"/>
      <c r="H64" s="2974"/>
      <c r="I64" s="947"/>
      <c r="J64" s="2844"/>
      <c r="K64" s="1308"/>
      <c r="L64" s="1308"/>
      <c r="M64" s="1308"/>
      <c r="N64" s="1308"/>
      <c r="O64" s="1308"/>
    </row>
    <row r="65" spans="1:36" ht="12.75">
      <c r="A65" s="46">
        <v>1</v>
      </c>
      <c r="B65" s="47" t="s">
        <v>1819</v>
      </c>
      <c r="C65" s="2783">
        <f ca="1">ROUND((C66+C67)/(1+'数据-取费表'!F30),0)</f>
        <v>2579</v>
      </c>
      <c r="D65" s="47"/>
      <c r="E65" s="48"/>
      <c r="F65" s="2979"/>
      <c r="G65" s="2979"/>
      <c r="H65" s="2974"/>
      <c r="I65" s="947"/>
      <c r="J65" s="2844"/>
      <c r="K65" s="3386" t="s">
        <v>1820</v>
      </c>
      <c r="L65" s="1307" t="s">
        <v>1821</v>
      </c>
      <c r="M65" s="1307" t="e">
        <f>IF(N51&gt;10000,N51*0.5%,IF(AND(N51&gt;1000,N51&lt;=10000),N51*1%,IF(AND(N51&gt;100,N51&lt;=1000),N51*3%,IF(AND(N51&gt;10,N51&lt;=100),N51*5%,N51*8%))))</f>
        <v>#VALUE!</v>
      </c>
      <c r="N65" s="235" t="e">
        <f>ROUND(M65,1)</f>
        <v>#VALUE!</v>
      </c>
      <c r="O65" s="2534"/>
    </row>
    <row r="66" spans="1:36" ht="12.75">
      <c r="A66" s="49" t="s">
        <v>71</v>
      </c>
      <c r="B66" s="50" t="s">
        <v>1822</v>
      </c>
      <c r="C66" s="2784">
        <f ca="1">D47</f>
        <v>2708</v>
      </c>
      <c r="D66" s="50" t="s">
        <v>41</v>
      </c>
      <c r="E66" s="52"/>
      <c r="F66" s="2979"/>
      <c r="G66" s="2979"/>
      <c r="H66" s="2974"/>
      <c r="I66" s="947"/>
      <c r="J66" s="2844"/>
      <c r="K66" s="3386"/>
      <c r="L66" s="1307" t="s">
        <v>1823</v>
      </c>
      <c r="M66" s="1307" t="e">
        <f>IF(N51&gt;2000,N51*0.5%,IF(AND(N51&gt;1000,N51&lt;=2000),N51*0.6%,IF(AND(N51&gt;500,N51&lt;=1000),N51*0.7%,IF(AND(N51&gt;200,N51&lt;=500),N51*0.8%,IF(AND(N51&gt;100,N51&lt;=200),N51*0.9%,IF(AND(N51&gt;50,N51&lt;=100),N51*1%,IF(AND(N51&gt;20,N51&lt;=50),N51*1.5%,IF(AND(N51&gt;10,N51&lt;=20),N51*2%,IF(AND(N51&gt;1,N51&lt;=10),N51*2.5%)))))))))</f>
        <v>#VALUE!</v>
      </c>
      <c r="N66" s="235" t="e">
        <f t="shared" ref="N66:N67" si="2">ROUND(M66,1)</f>
        <v>#VALUE!</v>
      </c>
      <c r="O66" s="2534" t="s">
        <v>1824</v>
      </c>
    </row>
    <row r="67" spans="1:36" ht="12.75">
      <c r="A67" s="49" t="s">
        <v>72</v>
      </c>
      <c r="B67" s="50" t="s">
        <v>1825</v>
      </c>
      <c r="C67" s="2785"/>
      <c r="D67" s="50"/>
      <c r="E67" s="52"/>
      <c r="F67" s="2979"/>
      <c r="G67" s="2979"/>
      <c r="H67" s="2974"/>
      <c r="I67" s="947"/>
      <c r="J67" s="2844"/>
      <c r="K67" s="3386"/>
      <c r="L67" s="1307" t="s">
        <v>1826</v>
      </c>
      <c r="M67" s="1307" t="e">
        <f>IF(N51&gt;1000,N51*0.1%,IF(AND(N51&gt;500,N51&lt;=1000),N51*0.5%,IF(AND(N51&gt;50,N51&lt;=500),N51*1%,IF(AND(N51&gt;1,N51&lt;=50),N51*1.5%))))</f>
        <v>#VALUE!</v>
      </c>
      <c r="N67" s="235" t="e">
        <f t="shared" si="2"/>
        <v>#VALUE!</v>
      </c>
      <c r="O67" s="2534" t="s">
        <v>1824</v>
      </c>
    </row>
    <row r="68" spans="1:36" ht="12.75">
      <c r="A68" s="53" t="s">
        <v>47</v>
      </c>
      <c r="B68" s="54" t="s">
        <v>1827</v>
      </c>
      <c r="C68" s="2786"/>
      <c r="D68" s="54" t="s">
        <v>41</v>
      </c>
      <c r="E68" s="1316" t="s">
        <v>1828</v>
      </c>
      <c r="F68" s="2979"/>
      <c r="G68" s="2979"/>
      <c r="H68" s="2974"/>
      <c r="I68" s="947"/>
      <c r="J68" s="2844"/>
      <c r="K68" s="3386"/>
      <c r="L68" s="1307" t="s">
        <v>1829</v>
      </c>
      <c r="M68" s="1307" t="e">
        <f>N51*0.5%</f>
        <v>#VALUE!</v>
      </c>
      <c r="N68" s="235" t="e">
        <f>IF(M68&gt;0.5,0.5,ROUND(M68,0))</f>
        <v>#VALUE!</v>
      </c>
      <c r="O68" s="2534" t="s">
        <v>1830</v>
      </c>
    </row>
    <row r="69" spans="1:36" ht="12.75">
      <c r="A69" s="53" t="s">
        <v>42</v>
      </c>
      <c r="B69" s="54" t="s">
        <v>1831</v>
      </c>
      <c r="C69" s="2787">
        <f ca="1">C65-C68</f>
        <v>2579</v>
      </c>
      <c r="D69" s="50" t="s">
        <v>41</v>
      </c>
      <c r="E69" s="52"/>
      <c r="F69" s="2979"/>
      <c r="G69" s="2979"/>
      <c r="H69" s="2974"/>
      <c r="I69" s="947"/>
      <c r="J69" s="2844"/>
      <c r="K69" s="3386"/>
      <c r="L69" s="1307" t="s">
        <v>1832</v>
      </c>
      <c r="M69" s="1307" t="e">
        <f>IF(N51&gt;=10000,(8.25+(N51-10000)*0.01%),IF(AND(N51&gt;=8000,N51&lt;10000),(7.85+(N51-8000)*0.02%),IF(AND(N51&gt;=5000,N51&lt;8000),(6.65+(N51-5000)*0.04%),IF(AND(N51&gt;=2000,N51&lt;5000),(4.25+(PN51-2000)*0.08%),IF(AND(N51&gt;=1000,N51&lt;2000),(2.75+(N51-1000)*0.15%),IF(AND(N51&gt;=100,N51&lt;1000),(0.5+(N51-100)*0.25%),IF(AND(N51&gt;0,N51&lt;100),N51*0.5%)))))))</f>
        <v>#VALUE!</v>
      </c>
      <c r="N69" s="235" t="e">
        <f>ROUND(M69*0.9,1)</f>
        <v>#VALUE!</v>
      </c>
      <c r="O69" s="2534"/>
    </row>
    <row r="70" spans="1:36" ht="13.5" thickBot="1">
      <c r="A70" s="55" t="s">
        <v>46</v>
      </c>
      <c r="B70" s="56" t="s">
        <v>1833</v>
      </c>
      <c r="C70" s="2788">
        <f ca="1">IF(C69&lt;=0,0,ROUND(C69*D70,0))</f>
        <v>144</v>
      </c>
      <c r="D70" s="2242">
        <f>'数据-取费表'!E29</f>
        <v>5.6000000000000001E-2</v>
      </c>
      <c r="E70" s="57"/>
      <c r="F70" s="2979"/>
      <c r="G70" s="2979"/>
      <c r="H70" s="2974"/>
      <c r="I70" s="947"/>
      <c r="J70" s="2844"/>
      <c r="K70" s="3386"/>
      <c r="L70" s="1307" t="s">
        <v>1834</v>
      </c>
      <c r="M70" s="1307" t="e">
        <f>IF(N51&gt;10000,N51*0.5%,IF(AND(N51&gt;5000,N51&lt;=10000),N51*1%,IF(AND(N51&gt;1000,N51&lt;=5000),N51*2%,IF(AND(N51&gt;200,N51&lt;=1000),N51*3%,N51*5%))))</f>
        <v>#VALUE!</v>
      </c>
      <c r="N70" s="235" t="e">
        <f>ROUND(M70,1)</f>
        <v>#VALUE!</v>
      </c>
      <c r="O70" s="2534"/>
    </row>
    <row r="71" spans="1:36" s="1465" customFormat="1" ht="7.5" customHeight="1">
      <c r="A71" s="1477"/>
      <c r="B71" s="1478"/>
      <c r="C71" s="2789"/>
      <c r="D71" s="2285"/>
      <c r="E71" s="1481"/>
      <c r="F71" s="1457"/>
      <c r="G71" s="1457"/>
      <c r="H71" s="1481"/>
      <c r="I71" s="2563"/>
      <c r="J71" s="2844"/>
      <c r="K71" s="3386"/>
      <c r="L71" s="1307" t="s">
        <v>1835</v>
      </c>
      <c r="M71" s="1307"/>
      <c r="N71" s="235" t="e">
        <f>ROUND(SUM(N65:N70),0)</f>
        <v>#VALUE!</v>
      </c>
      <c r="O71" s="2535" t="e">
        <f>N71/N51</f>
        <v>#VALUE!</v>
      </c>
      <c r="P71" s="659"/>
      <c r="Q71" s="659"/>
      <c r="R71" s="659"/>
      <c r="S71" s="659"/>
      <c r="T71" s="659"/>
      <c r="U71" s="659"/>
      <c r="V71" s="659"/>
      <c r="W71" s="659"/>
      <c r="X71" s="659"/>
      <c r="Y71" s="659"/>
      <c r="Z71" s="659"/>
      <c r="AA71" s="659"/>
      <c r="AB71" s="1308"/>
      <c r="AC71" s="1308"/>
      <c r="AD71" s="1308"/>
      <c r="AE71" s="1308"/>
      <c r="AF71" s="1308"/>
      <c r="AG71" s="1308"/>
      <c r="AH71" s="1308"/>
      <c r="AI71" s="1308"/>
      <c r="AJ71" s="1308"/>
    </row>
    <row r="72" spans="1:36" s="1483" customFormat="1" ht="15" thickBot="1">
      <c r="A72" s="3373" t="s">
        <v>1836</v>
      </c>
      <c r="B72" s="3374"/>
      <c r="C72" s="3374"/>
      <c r="D72" s="3374"/>
      <c r="E72" s="3374"/>
      <c r="F72" s="3374"/>
      <c r="G72" s="3374"/>
      <c r="H72" s="3374"/>
      <c r="I72" s="1482"/>
      <c r="J72" s="2853"/>
      <c r="K72" s="976"/>
      <c r="L72" s="976"/>
      <c r="M72" s="976"/>
      <c r="N72" s="976"/>
      <c r="O72" s="976"/>
      <c r="P72" s="976"/>
      <c r="Q72" s="976"/>
      <c r="R72" s="976"/>
      <c r="S72" s="976"/>
      <c r="T72" s="976"/>
      <c r="U72" s="976"/>
      <c r="V72" s="976"/>
      <c r="W72" s="976"/>
      <c r="X72" s="976"/>
      <c r="Y72" s="976"/>
      <c r="Z72" s="976"/>
      <c r="AA72" s="976"/>
      <c r="AB72" s="1484"/>
      <c r="AC72" s="1484"/>
      <c r="AD72" s="1484"/>
      <c r="AE72" s="1484"/>
      <c r="AF72" s="1484"/>
      <c r="AG72" s="1484"/>
      <c r="AH72" s="1484"/>
      <c r="AI72" s="1484"/>
      <c r="AJ72" s="1484"/>
    </row>
    <row r="73" spans="1:36" s="1483" customFormat="1" ht="14.25">
      <c r="A73" s="3312" t="s">
        <v>1816</v>
      </c>
      <c r="B73" s="3313"/>
      <c r="C73" s="1607"/>
      <c r="D73" s="1607" t="s">
        <v>1817</v>
      </c>
      <c r="E73" s="58" t="s">
        <v>1818</v>
      </c>
      <c r="F73" s="59"/>
      <c r="G73" s="59"/>
      <c r="H73" s="60"/>
      <c r="I73" s="2790"/>
      <c r="J73" s="2875"/>
      <c r="K73" s="976"/>
      <c r="L73" s="976"/>
      <c r="M73" s="976"/>
      <c r="N73" s="976"/>
      <c r="O73" s="976"/>
      <c r="P73" s="976"/>
      <c r="Q73" s="976"/>
      <c r="R73" s="976"/>
      <c r="S73" s="976"/>
      <c r="T73" s="976"/>
      <c r="U73" s="976"/>
      <c r="V73" s="976"/>
      <c r="W73" s="976"/>
      <c r="X73" s="976"/>
      <c r="Y73" s="976"/>
      <c r="Z73" s="976"/>
      <c r="AA73" s="976"/>
      <c r="AB73" s="1484"/>
      <c r="AC73" s="1484"/>
      <c r="AD73" s="1484"/>
      <c r="AE73" s="1484"/>
      <c r="AF73" s="1484"/>
      <c r="AG73" s="1484"/>
      <c r="AH73" s="1484"/>
      <c r="AI73" s="1484"/>
      <c r="AJ73" s="1484"/>
    </row>
    <row r="74" spans="1:36" s="1483" customFormat="1" ht="14.25">
      <c r="A74" s="61">
        <v>1</v>
      </c>
      <c r="B74" s="54" t="s">
        <v>1837</v>
      </c>
      <c r="C74" s="2787">
        <f ca="1">ROUND(D47/(1+'数据-取费表'!F30),0)</f>
        <v>2579</v>
      </c>
      <c r="D74" s="50" t="s">
        <v>41</v>
      </c>
      <c r="E74" s="2088"/>
      <c r="F74" s="2089"/>
      <c r="G74" s="2089"/>
      <c r="H74" s="62"/>
      <c r="I74" s="2790"/>
      <c r="J74" s="2875"/>
      <c r="K74" s="976"/>
      <c r="L74" s="976"/>
      <c r="M74" s="976"/>
      <c r="N74" s="976"/>
      <c r="O74" s="976"/>
      <c r="P74" s="976"/>
      <c r="Q74" s="976"/>
      <c r="R74" s="976"/>
      <c r="S74" s="976"/>
      <c r="T74" s="976"/>
      <c r="U74" s="976"/>
      <c r="V74" s="976"/>
      <c r="W74" s="976"/>
      <c r="X74" s="976"/>
      <c r="Y74" s="976"/>
      <c r="Z74" s="976"/>
      <c r="AA74" s="976"/>
      <c r="AB74" s="1484"/>
      <c r="AC74" s="1484"/>
      <c r="AD74" s="1484"/>
      <c r="AE74" s="1484"/>
      <c r="AF74" s="1484"/>
      <c r="AG74" s="1484"/>
      <c r="AH74" s="1484"/>
      <c r="AI74" s="1484"/>
      <c r="AJ74" s="1484"/>
    </row>
    <row r="75" spans="1:36" s="1483" customFormat="1" ht="14.25">
      <c r="A75" s="63">
        <v>2</v>
      </c>
      <c r="B75" s="41" t="s">
        <v>1839</v>
      </c>
      <c r="C75" s="2787">
        <f ca="1">C76+C80</f>
        <v>15</v>
      </c>
      <c r="D75" s="50" t="s">
        <v>41</v>
      </c>
      <c r="E75" s="2088"/>
      <c r="F75" s="2089"/>
      <c r="G75" s="2089"/>
      <c r="H75" s="62"/>
      <c r="I75" s="2790"/>
      <c r="J75" s="2875"/>
      <c r="K75" s="976"/>
      <c r="L75" s="976"/>
      <c r="M75" s="976"/>
      <c r="N75" s="976"/>
      <c r="O75" s="976"/>
      <c r="P75" s="976"/>
      <c r="Q75" s="976"/>
      <c r="R75" s="976"/>
      <c r="S75" s="976"/>
      <c r="T75" s="976"/>
      <c r="U75" s="976"/>
      <c r="V75" s="976"/>
      <c r="W75" s="976"/>
      <c r="X75" s="976"/>
      <c r="Y75" s="976"/>
      <c r="Z75" s="976"/>
      <c r="AA75" s="976"/>
      <c r="AB75" s="1484"/>
      <c r="AC75" s="1484"/>
      <c r="AD75" s="1484"/>
      <c r="AE75" s="1484"/>
      <c r="AF75" s="1484"/>
      <c r="AG75" s="1484"/>
      <c r="AH75" s="1484"/>
      <c r="AI75" s="1484"/>
      <c r="AJ75" s="1484"/>
    </row>
    <row r="76" spans="1:36" s="1483" customFormat="1" ht="14.25">
      <c r="A76" s="49" t="s">
        <v>73</v>
      </c>
      <c r="B76" s="50" t="s">
        <v>1840</v>
      </c>
      <c r="C76" s="50">
        <f>ROUND(IF(G79="2016年5月1日后购买",C77/(1+'数据-取费表'!F30)+C78+C79,C77+C78+C79),0)</f>
        <v>0</v>
      </c>
      <c r="D76" s="50" t="s">
        <v>41</v>
      </c>
      <c r="E76" s="2088"/>
      <c r="F76" s="2089"/>
      <c r="G76" s="2089"/>
      <c r="H76" s="62"/>
      <c r="I76" s="2790"/>
      <c r="J76" s="2875"/>
      <c r="K76" s="976"/>
      <c r="L76" s="976"/>
      <c r="M76" s="976"/>
      <c r="N76" s="976"/>
      <c r="O76" s="976"/>
      <c r="P76" s="976"/>
      <c r="Q76" s="976"/>
      <c r="R76" s="976"/>
      <c r="S76" s="976"/>
      <c r="T76" s="976"/>
      <c r="U76" s="976"/>
      <c r="V76" s="976"/>
      <c r="W76" s="976"/>
      <c r="X76" s="976"/>
      <c r="Y76" s="976"/>
      <c r="Z76" s="976"/>
      <c r="AA76" s="976"/>
      <c r="AB76" s="1484"/>
      <c r="AC76" s="1484"/>
      <c r="AD76" s="1484"/>
      <c r="AE76" s="1484"/>
      <c r="AF76" s="1484"/>
      <c r="AG76" s="1484"/>
      <c r="AH76" s="1484"/>
      <c r="AI76" s="1484"/>
      <c r="AJ76" s="1484"/>
    </row>
    <row r="77" spans="1:36" s="1483" customFormat="1" ht="14.25">
      <c r="A77" s="49" t="s">
        <v>74</v>
      </c>
      <c r="B77" s="50" t="s">
        <v>1841</v>
      </c>
      <c r="C77" s="2268"/>
      <c r="D77" s="50" t="s">
        <v>41</v>
      </c>
      <c r="E77" s="64" t="s">
        <v>1842</v>
      </c>
      <c r="F77" s="2791" t="s">
        <v>1843</v>
      </c>
      <c r="G77" s="64" t="s">
        <v>1844</v>
      </c>
      <c r="H77" s="2792"/>
      <c r="I77" s="608"/>
      <c r="J77" s="2876"/>
      <c r="K77" s="976"/>
      <c r="L77" s="976"/>
      <c r="M77" s="976"/>
      <c r="N77" s="976"/>
      <c r="O77" s="976"/>
      <c r="P77" s="976"/>
      <c r="Q77" s="976"/>
      <c r="R77" s="976"/>
      <c r="S77" s="976"/>
      <c r="T77" s="976"/>
      <c r="U77" s="976"/>
      <c r="V77" s="976"/>
      <c r="W77" s="976"/>
      <c r="X77" s="976"/>
      <c r="Y77" s="976"/>
      <c r="Z77" s="976"/>
      <c r="AA77" s="976"/>
      <c r="AB77" s="1484"/>
      <c r="AC77" s="1484"/>
      <c r="AD77" s="1484"/>
      <c r="AE77" s="1484"/>
      <c r="AF77" s="1484"/>
      <c r="AG77" s="1484"/>
      <c r="AH77" s="1484"/>
      <c r="AI77" s="1484"/>
      <c r="AJ77" s="1484"/>
    </row>
    <row r="78" spans="1:36" s="1483" customFormat="1" ht="24.75" customHeight="1">
      <c r="A78" s="49" t="s">
        <v>75</v>
      </c>
      <c r="B78" s="65" t="s">
        <v>1845</v>
      </c>
      <c r="C78" s="50">
        <f>IF(F77="购房发票",ROUND(C77*H77*D78,0),0)</f>
        <v>0</v>
      </c>
      <c r="D78" s="2793">
        <v>0.05</v>
      </c>
      <c r="E78" s="3255" t="s">
        <v>1846</v>
      </c>
      <c r="F78" s="3293"/>
      <c r="G78" s="3293"/>
      <c r="H78" s="3307"/>
      <c r="I78" s="2790"/>
      <c r="J78" s="2875"/>
      <c r="K78" s="976"/>
      <c r="L78" s="976"/>
      <c r="M78" s="976"/>
      <c r="N78" s="976"/>
      <c r="O78" s="976"/>
      <c r="P78" s="976"/>
      <c r="Q78" s="976"/>
      <c r="R78" s="976"/>
      <c r="S78" s="976"/>
      <c r="T78" s="976"/>
      <c r="U78" s="976"/>
      <c r="V78" s="976"/>
      <c r="W78" s="976"/>
      <c r="X78" s="976"/>
      <c r="Y78" s="976"/>
      <c r="Z78" s="976"/>
      <c r="AA78" s="976"/>
      <c r="AB78" s="1484"/>
      <c r="AC78" s="1484"/>
      <c r="AD78" s="1484"/>
      <c r="AE78" s="1484"/>
      <c r="AF78" s="1484"/>
      <c r="AG78" s="1484"/>
      <c r="AH78" s="1484"/>
      <c r="AI78" s="1484"/>
      <c r="AJ78" s="1484"/>
    </row>
    <row r="79" spans="1:36" s="1483" customFormat="1" ht="24.75" customHeight="1">
      <c r="A79" s="49" t="s">
        <v>76</v>
      </c>
      <c r="B79" s="50" t="s">
        <v>1847</v>
      </c>
      <c r="C79" s="50">
        <f>ROUND(IF(G79="个人住宅",0,IF(G79="2016年5月1日前购买",C77*D79,C77*D79/(1+'数据-取费表'!F30))),0)</f>
        <v>0</v>
      </c>
      <c r="D79" s="2794">
        <f>'数据-取费表'!E36+'数据-取费表'!E37</f>
        <v>3.0499999999999999E-2</v>
      </c>
      <c r="E79" s="12" t="s">
        <v>1848</v>
      </c>
      <c r="F79" s="2095"/>
      <c r="G79" s="1486" t="s">
        <v>1849</v>
      </c>
      <c r="H79" s="2090" t="str">
        <f>IF(G79="个人买卖住房","免征印花税"," ")</f>
        <v xml:space="preserve"> </v>
      </c>
      <c r="I79" s="2790"/>
      <c r="J79" s="2875"/>
      <c r="K79" s="976"/>
      <c r="L79" s="976"/>
      <c r="M79" s="976"/>
      <c r="N79" s="976"/>
      <c r="O79" s="976"/>
      <c r="P79" s="976"/>
      <c r="Q79" s="976"/>
      <c r="R79" s="976"/>
      <c r="S79" s="976"/>
      <c r="T79" s="976"/>
      <c r="U79" s="976"/>
      <c r="V79" s="976"/>
      <c r="W79" s="976"/>
      <c r="X79" s="976"/>
      <c r="Y79" s="976"/>
      <c r="Z79" s="976"/>
      <c r="AA79" s="976"/>
      <c r="AB79" s="1484"/>
      <c r="AC79" s="1484"/>
      <c r="AD79" s="1484"/>
      <c r="AE79" s="1484"/>
      <c r="AF79" s="1484"/>
      <c r="AG79" s="1484"/>
      <c r="AH79" s="1484"/>
      <c r="AI79" s="1484"/>
      <c r="AJ79" s="1484"/>
    </row>
    <row r="80" spans="1:36" s="1483" customFormat="1" ht="24.75" customHeight="1">
      <c r="A80" s="49" t="s">
        <v>77</v>
      </c>
      <c r="B80" s="50" t="s">
        <v>1850</v>
      </c>
      <c r="C80" s="2795">
        <f ca="1">ROUND(D47*D80/(1+'数据-取费表'!F30),0)</f>
        <v>15</v>
      </c>
      <c r="D80" s="2796">
        <f>'数据-取费表'!E31</f>
        <v>6.000000000000001E-3</v>
      </c>
      <c r="E80" s="3287" t="s">
        <v>1851</v>
      </c>
      <c r="F80" s="3288"/>
      <c r="G80" s="3288"/>
      <c r="H80" s="3289"/>
      <c r="I80" s="609"/>
      <c r="J80" s="2877"/>
      <c r="K80" s="976"/>
      <c r="L80" s="976"/>
      <c r="M80" s="976"/>
      <c r="N80" s="976"/>
      <c r="O80" s="976"/>
      <c r="P80" s="976"/>
      <c r="Q80" s="976"/>
      <c r="R80" s="976"/>
      <c r="S80" s="976"/>
      <c r="T80" s="976"/>
      <c r="U80" s="976"/>
      <c r="V80" s="976"/>
      <c r="W80" s="976"/>
      <c r="X80" s="976"/>
      <c r="Y80" s="976"/>
      <c r="Z80" s="976"/>
      <c r="AA80" s="976"/>
      <c r="AB80" s="1484"/>
      <c r="AC80" s="1484"/>
      <c r="AD80" s="1484"/>
      <c r="AE80" s="1484"/>
      <c r="AF80" s="1484"/>
      <c r="AG80" s="1484"/>
      <c r="AH80" s="1484"/>
      <c r="AI80" s="1484"/>
      <c r="AJ80" s="1484"/>
    </row>
    <row r="81" spans="1:36" s="1483" customFormat="1" ht="14.25">
      <c r="A81" s="53" t="s">
        <v>42</v>
      </c>
      <c r="B81" s="54" t="s">
        <v>1852</v>
      </c>
      <c r="C81" s="2787">
        <f ca="1">C74-C75</f>
        <v>2564</v>
      </c>
      <c r="D81" s="50" t="s">
        <v>41</v>
      </c>
      <c r="E81" s="2088"/>
      <c r="F81" s="2089"/>
      <c r="G81" s="2089"/>
      <c r="H81" s="62"/>
      <c r="I81" s="2790"/>
      <c r="J81" s="2875"/>
      <c r="K81" s="976"/>
      <c r="L81" s="976"/>
      <c r="M81" s="976"/>
      <c r="N81" s="976"/>
      <c r="O81" s="976"/>
      <c r="P81" s="976"/>
      <c r="Q81" s="976"/>
      <c r="R81" s="976"/>
      <c r="S81" s="976"/>
      <c r="T81" s="976"/>
      <c r="U81" s="976"/>
      <c r="V81" s="976"/>
      <c r="W81" s="976"/>
      <c r="X81" s="976"/>
      <c r="Y81" s="976"/>
      <c r="Z81" s="976"/>
      <c r="AA81" s="976"/>
      <c r="AB81" s="1484"/>
      <c r="AC81" s="1484"/>
      <c r="AD81" s="1484"/>
      <c r="AE81" s="1484"/>
      <c r="AF81" s="1484"/>
      <c r="AG81" s="1484"/>
      <c r="AH81" s="1484"/>
      <c r="AI81" s="1484"/>
      <c r="AJ81" s="1484"/>
    </row>
    <row r="82" spans="1:36" s="1483" customFormat="1" ht="14.25">
      <c r="A82" s="53" t="s">
        <v>43</v>
      </c>
      <c r="B82" s="54" t="s">
        <v>1853</v>
      </c>
      <c r="C82" s="2797">
        <f ca="1">IF(C81&lt;=0,0,C81/C75)</f>
        <v>170.93333333333334</v>
      </c>
      <c r="D82" s="50" t="s">
        <v>41</v>
      </c>
      <c r="E82" s="12" t="str">
        <f ca="1">IF(C82&gt;=200%,"增值额超过扣除项目金额200%",IF(C82&gt;=100%,"增值额超过扣除项目金额100%，未超过200%",IF(C82&gt;=50%,"增值额超过扣除项目金额50%，未超过100%",IF(C82&lt;50%,"增值额未超过扣除项目金额50%"))))</f>
        <v>增值额超过扣除项目金额200%</v>
      </c>
      <c r="F82" s="2089"/>
      <c r="G82" s="2089"/>
      <c r="H82" s="62"/>
      <c r="I82" s="2790"/>
      <c r="J82" s="2875"/>
      <c r="K82" s="976"/>
      <c r="L82" s="976"/>
      <c r="M82" s="976"/>
      <c r="N82" s="976"/>
      <c r="O82" s="976"/>
      <c r="P82" s="976"/>
      <c r="Q82" s="976"/>
      <c r="R82" s="976"/>
      <c r="S82" s="976"/>
      <c r="T82" s="976"/>
      <c r="U82" s="976"/>
      <c r="V82" s="976"/>
      <c r="W82" s="976"/>
      <c r="X82" s="976"/>
      <c r="Y82" s="976"/>
      <c r="Z82" s="976"/>
      <c r="AA82" s="976"/>
      <c r="AB82" s="1484"/>
      <c r="AC82" s="1484"/>
      <c r="AD82" s="1484"/>
      <c r="AE82" s="1484"/>
      <c r="AF82" s="1484"/>
      <c r="AG82" s="1484"/>
      <c r="AH82" s="1484"/>
      <c r="AI82" s="1484"/>
      <c r="AJ82" s="1484"/>
    </row>
    <row r="83" spans="1:36" s="1483" customFormat="1" ht="15" thickBot="1">
      <c r="A83" s="55" t="s">
        <v>44</v>
      </c>
      <c r="B83" s="56" t="s">
        <v>1854</v>
      </c>
      <c r="C83" s="2798">
        <f ca="1">ROUND(IF(C81&lt;=0,0,IF(C82&gt;=200%,C81*60%-C75*35%,IF(C82&gt;=100%,C81*50%-C75*15%,IF(C82&gt;=50%,C81*40%-C75*5%,IF(C82&lt;50%,C81*30%,0))))),0)</f>
        <v>1533</v>
      </c>
      <c r="D83" s="2172" t="s">
        <v>41</v>
      </c>
      <c r="E83" s="69" t="str">
        <f ca="1">IF(E82="增值额未超过扣除项目金额50%","土地增值税税额=增值额×30%",IF(E82="增值额超过扣除项目金额50%，未超过100%","土地增值税税额=增值额×40%－扣除项目金额×5% ",IF(E82="增值额超过扣除项目金额100%，未超过200%","土地增值税税额=增值额×50%－扣除项目金额×15%",IF(E82="增值额超过扣除项目金额200%","土地增值税税额=增值额×60%－扣除项目金额×35%"))))</f>
        <v>土地增值税税额=增值额×60%－扣除项目金额×35%</v>
      </c>
      <c r="F83" s="70"/>
      <c r="G83" s="70"/>
      <c r="H83" s="71"/>
      <c r="I83" s="2790"/>
      <c r="J83" s="2875"/>
      <c r="K83" s="976"/>
      <c r="L83" s="976"/>
      <c r="M83" s="976"/>
      <c r="N83" s="976"/>
      <c r="O83" s="976"/>
      <c r="P83" s="976"/>
      <c r="Q83" s="976"/>
      <c r="R83" s="976"/>
      <c r="S83" s="976"/>
      <c r="T83" s="976"/>
      <c r="U83" s="976"/>
      <c r="V83" s="976"/>
      <c r="W83" s="976"/>
      <c r="X83" s="976"/>
      <c r="Y83" s="976"/>
      <c r="Z83" s="976"/>
      <c r="AA83" s="976"/>
      <c r="AB83" s="1484"/>
      <c r="AC83" s="1484"/>
      <c r="AD83" s="1484"/>
      <c r="AE83" s="1484"/>
      <c r="AF83" s="1484"/>
      <c r="AG83" s="1484"/>
      <c r="AH83" s="1484"/>
      <c r="AI83" s="1484"/>
      <c r="AJ83" s="1484"/>
    </row>
    <row r="84" spans="1:36" s="1483" customFormat="1" ht="7.5" customHeight="1">
      <c r="A84" s="608"/>
      <c r="B84" s="608"/>
      <c r="C84" s="608"/>
      <c r="D84" s="608"/>
      <c r="E84" s="608"/>
      <c r="F84" s="608"/>
      <c r="G84" s="608"/>
      <c r="H84" s="609"/>
      <c r="I84" s="609"/>
      <c r="J84" s="2877"/>
      <c r="K84" s="976"/>
      <c r="L84" s="976"/>
      <c r="M84" s="976"/>
      <c r="N84" s="976"/>
      <c r="O84" s="976"/>
      <c r="P84" s="976"/>
      <c r="Q84" s="976"/>
      <c r="R84" s="976"/>
      <c r="S84" s="976"/>
      <c r="T84" s="976"/>
      <c r="U84" s="976"/>
      <c r="V84" s="976"/>
      <c r="W84" s="976"/>
      <c r="X84" s="976"/>
      <c r="Y84" s="976"/>
      <c r="Z84" s="976"/>
      <c r="AA84" s="976"/>
      <c r="AB84" s="1484"/>
      <c r="AC84" s="1484"/>
      <c r="AD84" s="1484"/>
      <c r="AE84" s="1484"/>
      <c r="AF84" s="1484"/>
      <c r="AG84" s="1484"/>
      <c r="AH84" s="1484"/>
      <c r="AI84" s="1484"/>
      <c r="AJ84" s="1484"/>
    </row>
    <row r="85" spans="1:36" s="1483" customFormat="1" ht="15" thickBot="1">
      <c r="A85" s="3373" t="s">
        <v>1855</v>
      </c>
      <c r="B85" s="3374"/>
      <c r="C85" s="3374"/>
      <c r="D85" s="3374"/>
      <c r="E85" s="3374"/>
      <c r="F85" s="3374"/>
      <c r="G85" s="3374"/>
      <c r="H85" s="3374"/>
      <c r="I85" s="608"/>
      <c r="J85" s="2876"/>
      <c r="K85" s="976"/>
      <c r="L85" s="976"/>
      <c r="M85" s="976"/>
      <c r="N85" s="976"/>
      <c r="O85" s="976"/>
      <c r="P85" s="976"/>
      <c r="Q85" s="976"/>
      <c r="R85" s="976"/>
      <c r="S85" s="976"/>
      <c r="T85" s="976"/>
      <c r="U85" s="976"/>
      <c r="V85" s="976"/>
      <c r="W85" s="976"/>
      <c r="X85" s="976"/>
      <c r="Y85" s="976"/>
      <c r="Z85" s="976"/>
      <c r="AA85" s="976"/>
      <c r="AB85" s="1484"/>
      <c r="AC85" s="1484"/>
      <c r="AD85" s="1484"/>
      <c r="AE85" s="1484"/>
      <c r="AF85" s="1484"/>
      <c r="AG85" s="1484"/>
      <c r="AH85" s="1484"/>
      <c r="AI85" s="1484"/>
      <c r="AJ85" s="1484"/>
    </row>
    <row r="86" spans="1:36" s="1483" customFormat="1" ht="14.25">
      <c r="A86" s="3312" t="s">
        <v>1816</v>
      </c>
      <c r="B86" s="3313"/>
      <c r="C86" s="1607"/>
      <c r="D86" s="1607" t="s">
        <v>1817</v>
      </c>
      <c r="E86" s="58" t="s">
        <v>1818</v>
      </c>
      <c r="F86" s="59"/>
      <c r="G86" s="59"/>
      <c r="H86" s="72"/>
      <c r="I86" s="608"/>
      <c r="J86" s="2876"/>
      <c r="K86" s="976"/>
      <c r="L86" s="976"/>
      <c r="M86" s="976"/>
      <c r="N86" s="976"/>
      <c r="O86" s="976"/>
      <c r="P86" s="976"/>
      <c r="Q86" s="976"/>
      <c r="R86" s="976"/>
      <c r="S86" s="976"/>
      <c r="T86" s="976"/>
      <c r="U86" s="976"/>
      <c r="V86" s="976"/>
      <c r="W86" s="976"/>
      <c r="X86" s="976"/>
      <c r="Y86" s="976"/>
      <c r="Z86" s="976"/>
      <c r="AA86" s="976"/>
      <c r="AB86" s="1484"/>
      <c r="AC86" s="1484"/>
      <c r="AD86" s="1484"/>
      <c r="AE86" s="1484"/>
      <c r="AF86" s="1484"/>
      <c r="AG86" s="1484"/>
      <c r="AH86" s="1484"/>
      <c r="AI86" s="1484"/>
      <c r="AJ86" s="1484"/>
    </row>
    <row r="87" spans="1:36" s="1483" customFormat="1" ht="14.25">
      <c r="A87" s="61">
        <v>1</v>
      </c>
      <c r="B87" s="54" t="s">
        <v>1837</v>
      </c>
      <c r="C87" s="2787">
        <f ca="1">ROUND(D47/(1+'数据-取费表'!F30),0)</f>
        <v>2579</v>
      </c>
      <c r="D87" s="50" t="s">
        <v>41</v>
      </c>
      <c r="E87" s="2088"/>
      <c r="F87" s="2089"/>
      <c r="G87" s="2089"/>
      <c r="H87" s="73"/>
      <c r="I87" s="608"/>
      <c r="J87" s="2876"/>
      <c r="K87" s="976"/>
      <c r="L87" s="976"/>
      <c r="M87" s="976"/>
      <c r="N87" s="976"/>
      <c r="O87" s="976"/>
      <c r="P87" s="976"/>
      <c r="Q87" s="976"/>
      <c r="R87" s="976"/>
      <c r="S87" s="976"/>
      <c r="T87" s="976"/>
      <c r="U87" s="976"/>
      <c r="V87" s="976"/>
      <c r="W87" s="976"/>
      <c r="X87" s="976"/>
      <c r="Y87" s="976"/>
      <c r="Z87" s="976"/>
      <c r="AA87" s="976"/>
      <c r="AB87" s="1484"/>
      <c r="AC87" s="1484"/>
      <c r="AD87" s="1484"/>
      <c r="AE87" s="1484"/>
      <c r="AF87" s="1484"/>
      <c r="AG87" s="1484"/>
      <c r="AH87" s="1484"/>
      <c r="AI87" s="1484"/>
      <c r="AJ87" s="1484"/>
    </row>
    <row r="88" spans="1:36" s="1483" customFormat="1" ht="14.25">
      <c r="A88" s="63">
        <v>2</v>
      </c>
      <c r="B88" s="41" t="s">
        <v>1839</v>
      </c>
      <c r="C88" s="2787">
        <f ca="1">IF(H90="仅含出让金",C89+C92+C93+C94+C95+C96,C89+C93+C94+C95+C96)</f>
        <v>15</v>
      </c>
      <c r="D88" s="2799"/>
      <c r="E88" s="2088"/>
      <c r="F88" s="2089"/>
      <c r="G88" s="2089"/>
      <c r="H88" s="73"/>
      <c r="I88" s="608"/>
      <c r="J88" s="2876"/>
      <c r="K88" s="976"/>
      <c r="L88" s="976"/>
      <c r="M88" s="976"/>
      <c r="N88" s="976"/>
      <c r="O88" s="976"/>
      <c r="P88" s="976"/>
      <c r="Q88" s="976"/>
      <c r="R88" s="976"/>
      <c r="S88" s="976"/>
      <c r="T88" s="976"/>
      <c r="U88" s="976"/>
      <c r="V88" s="976"/>
      <c r="W88" s="976"/>
      <c r="X88" s="976"/>
      <c r="Y88" s="976"/>
      <c r="Z88" s="976"/>
      <c r="AA88" s="976"/>
      <c r="AB88" s="1484"/>
      <c r="AC88" s="1484"/>
      <c r="AD88" s="1484"/>
      <c r="AE88" s="1484"/>
      <c r="AF88" s="1484"/>
      <c r="AG88" s="1484"/>
      <c r="AH88" s="1484"/>
      <c r="AI88" s="1484"/>
      <c r="AJ88" s="1484"/>
    </row>
    <row r="89" spans="1:36" s="1483" customFormat="1" ht="14.25">
      <c r="A89" s="49" t="s">
        <v>73</v>
      </c>
      <c r="B89" s="50" t="s">
        <v>1856</v>
      </c>
      <c r="C89" s="2795">
        <f>C90+C91</f>
        <v>0</v>
      </c>
      <c r="D89" s="2796"/>
      <c r="E89" s="2085"/>
      <c r="F89" s="2086"/>
      <c r="G89" s="2086"/>
      <c r="H89" s="2087"/>
      <c r="I89" s="608"/>
      <c r="J89" s="2876"/>
      <c r="K89" s="976"/>
      <c r="L89" s="976"/>
      <c r="M89" s="976"/>
      <c r="N89" s="976"/>
      <c r="O89" s="976"/>
      <c r="P89" s="976"/>
      <c r="Q89" s="976"/>
      <c r="R89" s="976"/>
      <c r="S89" s="976"/>
      <c r="T89" s="976"/>
      <c r="U89" s="976"/>
      <c r="V89" s="976"/>
      <c r="W89" s="976"/>
      <c r="X89" s="976"/>
      <c r="Y89" s="976"/>
      <c r="Z89" s="976"/>
      <c r="AA89" s="976"/>
      <c r="AB89" s="1484"/>
      <c r="AC89" s="1484"/>
      <c r="AD89" s="1484"/>
      <c r="AE89" s="1484"/>
      <c r="AF89" s="1484"/>
      <c r="AG89" s="1484"/>
      <c r="AH89" s="1484"/>
      <c r="AI89" s="1484"/>
      <c r="AJ89" s="1484"/>
    </row>
    <row r="90" spans="1:36" s="1483" customFormat="1" ht="14.25">
      <c r="A90" s="49" t="s">
        <v>74</v>
      </c>
      <c r="B90" s="50" t="s">
        <v>1857</v>
      </c>
      <c r="C90" s="2800"/>
      <c r="D90" s="2796"/>
      <c r="E90" s="74" t="s">
        <v>1858</v>
      </c>
      <c r="F90" s="2086"/>
      <c r="G90" s="75" t="s">
        <v>1859</v>
      </c>
      <c r="H90" s="1488"/>
      <c r="I90" s="608"/>
      <c r="J90" s="2876"/>
      <c r="K90" s="2971" t="s">
        <v>2819</v>
      </c>
      <c r="L90" s="1484"/>
      <c r="M90" s="1484"/>
      <c r="N90" s="1484"/>
      <c r="O90" s="1484"/>
      <c r="P90" s="1484"/>
      <c r="Q90" s="1484"/>
      <c r="R90" s="1484"/>
      <c r="S90" s="1484"/>
      <c r="T90" s="976"/>
      <c r="U90" s="976"/>
      <c r="V90" s="976"/>
      <c r="W90" s="976"/>
      <c r="X90" s="976"/>
      <c r="Y90" s="976"/>
      <c r="Z90" s="976"/>
      <c r="AA90" s="976"/>
      <c r="AB90" s="1484"/>
      <c r="AC90" s="1484"/>
      <c r="AD90" s="1484"/>
      <c r="AE90" s="1484"/>
      <c r="AF90" s="1484"/>
      <c r="AG90" s="1484"/>
      <c r="AH90" s="1484"/>
      <c r="AI90" s="1484"/>
      <c r="AJ90" s="1484"/>
    </row>
    <row r="91" spans="1:36" s="1483" customFormat="1" ht="14.25">
      <c r="A91" s="49" t="s">
        <v>75</v>
      </c>
      <c r="B91" s="50" t="s">
        <v>1847</v>
      </c>
      <c r="C91" s="2795">
        <f>ROUND(C90*D91,0)</f>
        <v>0</v>
      </c>
      <c r="D91" s="2796">
        <f>'数据-取费表'!E36+'数据-取费表'!E37</f>
        <v>3.0499999999999999E-2</v>
      </c>
      <c r="E91" s="74" t="s">
        <v>1860</v>
      </c>
      <c r="F91" s="2086"/>
      <c r="G91" s="2086"/>
      <c r="H91" s="2087"/>
      <c r="I91" s="608"/>
      <c r="J91" s="2876"/>
      <c r="K91" s="976"/>
      <c r="L91" s="976"/>
      <c r="M91" s="976"/>
      <c r="N91" s="976"/>
      <c r="O91" s="976"/>
      <c r="P91" s="976"/>
      <c r="Q91" s="976"/>
      <c r="R91" s="976"/>
      <c r="S91" s="976"/>
      <c r="T91" s="976"/>
      <c r="U91" s="976"/>
      <c r="V91" s="976"/>
      <c r="W91" s="976"/>
      <c r="X91" s="976"/>
      <c r="Y91" s="976"/>
      <c r="Z91" s="976"/>
      <c r="AA91" s="976"/>
      <c r="AB91" s="1484"/>
      <c r="AC91" s="1484"/>
      <c r="AD91" s="1484"/>
      <c r="AE91" s="1484"/>
      <c r="AF91" s="1484"/>
      <c r="AG91" s="1484"/>
      <c r="AH91" s="1484"/>
      <c r="AI91" s="1484"/>
      <c r="AJ91" s="1484"/>
    </row>
    <row r="92" spans="1:36" s="1483" customFormat="1" ht="14.25">
      <c r="A92" s="49" t="s">
        <v>77</v>
      </c>
      <c r="B92" s="50" t="s">
        <v>1861</v>
      </c>
      <c r="C92" s="2800"/>
      <c r="D92" s="2796"/>
      <c r="E92" s="74" t="str">
        <f>IF(H90="-","土地取得成本中已包含该笔费用"," ")</f>
        <v xml:space="preserve"> </v>
      </c>
      <c r="F92" s="2086"/>
      <c r="G92" s="3348" t="s">
        <v>2736</v>
      </c>
      <c r="H92" s="3375"/>
      <c r="I92" s="608"/>
      <c r="J92" s="2876"/>
      <c r="K92" s="2971" t="s">
        <v>2820</v>
      </c>
      <c r="L92" s="1484"/>
      <c r="M92" s="1484"/>
      <c r="N92" s="1484"/>
      <c r="O92" s="1484"/>
      <c r="P92" s="1484"/>
      <c r="Q92" s="1484"/>
      <c r="R92" s="1484"/>
      <c r="S92" s="1484"/>
      <c r="T92" s="976"/>
      <c r="U92" s="976"/>
      <c r="V92" s="976"/>
      <c r="W92" s="976"/>
      <c r="X92" s="976"/>
      <c r="Y92" s="976"/>
      <c r="Z92" s="976"/>
      <c r="AA92" s="976"/>
      <c r="AB92" s="1484"/>
      <c r="AC92" s="1484"/>
      <c r="AD92" s="1484"/>
      <c r="AE92" s="1484"/>
      <c r="AF92" s="1484"/>
      <c r="AG92" s="1484"/>
      <c r="AH92" s="1484"/>
      <c r="AI92" s="1484"/>
      <c r="AJ92" s="1484"/>
    </row>
    <row r="93" spans="1:36" s="1483" customFormat="1" ht="30.75" customHeight="1">
      <c r="A93" s="49" t="s">
        <v>78</v>
      </c>
      <c r="B93" s="50" t="s">
        <v>1862</v>
      </c>
      <c r="C93" s="2795">
        <f>IF(H93="——",成本法!C33,I93)</f>
        <v>0</v>
      </c>
      <c r="D93" s="2796"/>
      <c r="E93" s="3287" t="s">
        <v>1863</v>
      </c>
      <c r="F93" s="3288"/>
      <c r="G93" s="3288"/>
      <c r="H93" s="1489" t="s">
        <v>1864</v>
      </c>
      <c r="I93" s="2801"/>
      <c r="J93" s="2878"/>
      <c r="K93" s="976"/>
      <c r="L93" s="976"/>
      <c r="M93" s="976"/>
      <c r="N93" s="976"/>
      <c r="O93" s="976"/>
      <c r="P93" s="976"/>
      <c r="Q93" s="976"/>
      <c r="R93" s="976"/>
      <c r="S93" s="976"/>
      <c r="T93" s="976"/>
      <c r="U93" s="976"/>
      <c r="V93" s="976"/>
      <c r="W93" s="976"/>
      <c r="X93" s="976"/>
      <c r="Y93" s="976"/>
      <c r="Z93" s="976"/>
      <c r="AA93" s="976"/>
      <c r="AB93" s="1484"/>
      <c r="AC93" s="1484"/>
      <c r="AD93" s="1484"/>
      <c r="AE93" s="1484"/>
      <c r="AF93" s="1484"/>
      <c r="AG93" s="1484"/>
      <c r="AH93" s="1484"/>
      <c r="AI93" s="1484"/>
      <c r="AJ93" s="1484"/>
    </row>
    <row r="94" spans="1:36" s="1483" customFormat="1" ht="25.5" customHeight="1">
      <c r="A94" s="49" t="s">
        <v>79</v>
      </c>
      <c r="B94" s="50" t="s">
        <v>1865</v>
      </c>
      <c r="C94" s="2795">
        <f>ROUND((C89+C92+C93)*D94,0)</f>
        <v>0</v>
      </c>
      <c r="D94" s="2796">
        <v>0.1</v>
      </c>
      <c r="E94" s="3287" t="s">
        <v>1866</v>
      </c>
      <c r="F94" s="3288"/>
      <c r="G94" s="3288"/>
      <c r="H94" s="3289"/>
      <c r="I94" s="608"/>
      <c r="J94" s="2876"/>
      <c r="K94" s="2972" t="s">
        <v>2821</v>
      </c>
      <c r="L94" s="1484"/>
      <c r="M94" s="1484"/>
      <c r="N94" s="1484"/>
      <c r="O94" s="1484"/>
      <c r="P94" s="1484"/>
      <c r="Q94" s="976"/>
      <c r="R94" s="976"/>
      <c r="S94" s="976"/>
      <c r="T94" s="976"/>
      <c r="U94" s="976"/>
      <c r="V94" s="976"/>
      <c r="W94" s="976"/>
      <c r="X94" s="976"/>
      <c r="Y94" s="976"/>
      <c r="Z94" s="976"/>
      <c r="AA94" s="976"/>
      <c r="AB94" s="1484"/>
      <c r="AC94" s="1484"/>
      <c r="AD94" s="1484"/>
      <c r="AE94" s="1484"/>
      <c r="AF94" s="1484"/>
      <c r="AG94" s="1484"/>
      <c r="AH94" s="1484"/>
      <c r="AI94" s="1484"/>
      <c r="AJ94" s="1484"/>
    </row>
    <row r="95" spans="1:36" s="1483" customFormat="1" ht="25.5" customHeight="1">
      <c r="A95" s="49" t="s">
        <v>80</v>
      </c>
      <c r="B95" s="50" t="s">
        <v>1850</v>
      </c>
      <c r="C95" s="2795">
        <f ca="1">ROUND(D47*D95/(1+'数据-取费表'!F30),0)</f>
        <v>15</v>
      </c>
      <c r="D95" s="2796">
        <f>'数据-取费表'!E31</f>
        <v>6.000000000000001E-3</v>
      </c>
      <c r="E95" s="3287" t="s">
        <v>1851</v>
      </c>
      <c r="F95" s="3288"/>
      <c r="G95" s="3288"/>
      <c r="H95" s="3289"/>
      <c r="I95" s="608"/>
      <c r="J95" s="2876"/>
      <c r="K95" s="976"/>
      <c r="L95" s="976"/>
      <c r="M95" s="976"/>
      <c r="N95" s="976"/>
      <c r="O95" s="976"/>
      <c r="P95" s="976"/>
      <c r="Q95" s="976"/>
      <c r="R95" s="976"/>
      <c r="S95" s="976"/>
      <c r="T95" s="976"/>
      <c r="U95" s="976"/>
      <c r="V95" s="976"/>
      <c r="W95" s="976"/>
      <c r="X95" s="976"/>
      <c r="Y95" s="976"/>
      <c r="Z95" s="976"/>
      <c r="AA95" s="976"/>
      <c r="AB95" s="1484"/>
      <c r="AC95" s="1484"/>
      <c r="AD95" s="1484"/>
      <c r="AE95" s="1484"/>
      <c r="AF95" s="1484"/>
      <c r="AG95" s="1484"/>
      <c r="AH95" s="1484"/>
      <c r="AI95" s="1484"/>
      <c r="AJ95" s="1484"/>
    </row>
    <row r="96" spans="1:36" s="1483" customFormat="1" ht="25.5" customHeight="1">
      <c r="A96" s="49" t="s">
        <v>81</v>
      </c>
      <c r="B96" s="50" t="s">
        <v>1867</v>
      </c>
      <c r="C96" s="2795">
        <f>ROUND((C89+C92+C93)*D96,0)</f>
        <v>0</v>
      </c>
      <c r="D96" s="2796">
        <v>0.2</v>
      </c>
      <c r="E96" s="3287" t="s">
        <v>1868</v>
      </c>
      <c r="F96" s="3288"/>
      <c r="G96" s="3288"/>
      <c r="H96" s="3289"/>
      <c r="I96" s="608"/>
      <c r="J96" s="2876"/>
      <c r="K96" s="976"/>
      <c r="L96" s="976"/>
      <c r="M96" s="976"/>
      <c r="N96" s="976"/>
      <c r="O96" s="976"/>
      <c r="P96" s="976"/>
      <c r="Q96" s="976"/>
      <c r="R96" s="976"/>
      <c r="S96" s="976"/>
      <c r="T96" s="976"/>
      <c r="U96" s="976"/>
      <c r="V96" s="976"/>
      <c r="W96" s="976"/>
      <c r="X96" s="976"/>
      <c r="Y96" s="976"/>
      <c r="Z96" s="976"/>
      <c r="AA96" s="976"/>
      <c r="AB96" s="1484"/>
      <c r="AC96" s="1484"/>
      <c r="AD96" s="1484"/>
      <c r="AE96" s="1484"/>
      <c r="AF96" s="1484"/>
      <c r="AG96" s="1484"/>
      <c r="AH96" s="1484"/>
      <c r="AI96" s="1484"/>
      <c r="AJ96" s="1484"/>
    </row>
    <row r="97" spans="1:36" s="1483" customFormat="1" ht="14.25">
      <c r="A97" s="53" t="s">
        <v>42</v>
      </c>
      <c r="B97" s="54" t="s">
        <v>1852</v>
      </c>
      <c r="C97" s="2787">
        <f ca="1">ROUND(C87-C88,0)</f>
        <v>2564</v>
      </c>
      <c r="D97" s="50" t="s">
        <v>41</v>
      </c>
      <c r="E97" s="2088"/>
      <c r="F97" s="2089"/>
      <c r="G97" s="2089"/>
      <c r="H97" s="73"/>
      <c r="I97" s="608"/>
      <c r="J97" s="2876"/>
      <c r="K97" s="976"/>
      <c r="L97" s="976"/>
      <c r="M97" s="976"/>
      <c r="N97" s="976"/>
      <c r="O97" s="976"/>
      <c r="P97" s="976"/>
      <c r="Q97" s="976"/>
      <c r="R97" s="976"/>
      <c r="S97" s="976"/>
      <c r="T97" s="976"/>
      <c r="U97" s="976"/>
      <c r="V97" s="976"/>
      <c r="W97" s="976"/>
      <c r="X97" s="976"/>
      <c r="Y97" s="976"/>
      <c r="Z97" s="976"/>
      <c r="AA97" s="976"/>
      <c r="AB97" s="1484"/>
      <c r="AC97" s="1484"/>
      <c r="AD97" s="1484"/>
      <c r="AE97" s="1484"/>
      <c r="AF97" s="1484"/>
      <c r="AG97" s="1484"/>
      <c r="AH97" s="1484"/>
      <c r="AI97" s="1484"/>
      <c r="AJ97" s="1484"/>
    </row>
    <row r="98" spans="1:36" s="1483" customFormat="1" ht="14.25">
      <c r="A98" s="53" t="s">
        <v>43</v>
      </c>
      <c r="B98" s="54" t="s">
        <v>1853</v>
      </c>
      <c r="C98" s="2797">
        <f ca="1">IF(C97&lt;=0,0,C97/C88)</f>
        <v>170.93333333333334</v>
      </c>
      <c r="D98" s="50" t="s">
        <v>41</v>
      </c>
      <c r="E98" s="12" t="str">
        <f ca="1">IF(C98&gt;=200%,"增值额超过扣除项目金额200%",IF(C98&gt;=100%,"增值额超过扣除项目金额100%，未超过200%",IF(C98&gt;=50%,"增值额超过扣除项目金额50%，未超过100%",IF(C98&lt;50%,"增值额未超过扣除项目金额50%"))))</f>
        <v>增值额超过扣除项目金额200%</v>
      </c>
      <c r="F98" s="2089"/>
      <c r="G98" s="2089"/>
      <c r="H98" s="73"/>
      <c r="I98" s="608"/>
      <c r="J98" s="2876"/>
      <c r="K98" s="976"/>
      <c r="L98" s="976"/>
      <c r="M98" s="976"/>
      <c r="N98" s="976"/>
      <c r="O98" s="976"/>
      <c r="P98" s="976"/>
      <c r="Q98" s="976"/>
      <c r="R98" s="976"/>
      <c r="S98" s="976"/>
      <c r="T98" s="976"/>
      <c r="U98" s="976"/>
      <c r="V98" s="976"/>
      <c r="W98" s="976"/>
      <c r="X98" s="976"/>
      <c r="Y98" s="976"/>
      <c r="Z98" s="976"/>
      <c r="AA98" s="976"/>
      <c r="AB98" s="1484"/>
      <c r="AC98" s="1484"/>
      <c r="AD98" s="1484"/>
      <c r="AE98" s="1484"/>
      <c r="AF98" s="1484"/>
      <c r="AG98" s="1484"/>
      <c r="AH98" s="1484"/>
      <c r="AI98" s="1484"/>
      <c r="AJ98" s="1484"/>
    </row>
    <row r="99" spans="1:36" s="1483" customFormat="1" ht="15" thickBot="1">
      <c r="A99" s="66" t="s">
        <v>44</v>
      </c>
      <c r="B99" s="56" t="s">
        <v>1854</v>
      </c>
      <c r="C99" s="67">
        <f ca="1">ROUND(IF(C97&lt;=0,0,IF(C98&gt;=200%,C97*60%-C88*35%,IF(C98&gt;=100%,C97*50%-C88*15%,IF(C98&gt;=50%,C97*40%-C88*5%,IF(C98&lt;50%,C97*30%,0))))),0)</f>
        <v>1533</v>
      </c>
      <c r="D99" s="68" t="s">
        <v>41</v>
      </c>
      <c r="E99" s="69" t="str">
        <f ca="1">IF(E98="增值额未超过扣除项目金额50%","土地增值税税额=增值额×30%",IF(E98="增值额超过扣除项目金额50%，未超过100%","土地增值税税额=增值额×40%－扣除项目金额×5% ",IF(E98="增值额超过扣除项目金额100%，未超过200%","土地增值税税额=增值额×50%－扣除项目金额×15%",IF(E98="增值额超过扣除项目金额200%","土地增值税税额=增值额×60%－扣除项目金额×35%"))))</f>
        <v>土地增值税税额=增值额×60%－扣除项目金额×35%</v>
      </c>
      <c r="F99" s="70"/>
      <c r="G99" s="70"/>
      <c r="H99" s="76"/>
      <c r="I99" s="9"/>
      <c r="J99" s="2855"/>
      <c r="K99" s="976"/>
      <c r="L99" s="976"/>
      <c r="M99" s="976"/>
      <c r="N99" s="976"/>
      <c r="O99" s="976"/>
      <c r="P99" s="976"/>
      <c r="Q99" s="976"/>
      <c r="R99" s="976"/>
      <c r="S99" s="976"/>
      <c r="T99" s="976"/>
      <c r="U99" s="976"/>
      <c r="V99" s="976"/>
      <c r="W99" s="976"/>
      <c r="X99" s="976"/>
      <c r="Y99" s="976"/>
      <c r="Z99" s="976"/>
      <c r="AA99" s="976"/>
      <c r="AB99" s="1484"/>
      <c r="AC99" s="1484"/>
      <c r="AD99" s="1484"/>
      <c r="AE99" s="1484"/>
      <c r="AF99" s="1484"/>
      <c r="AG99" s="1484"/>
      <c r="AH99" s="1484"/>
      <c r="AI99" s="1484"/>
      <c r="AJ99" s="1484"/>
    </row>
    <row r="100" spans="1:36" ht="21.75" customHeight="1" thickBot="1">
      <c r="A100" s="1471" t="s">
        <v>1869</v>
      </c>
      <c r="B100" s="1461"/>
      <c r="C100" s="1461"/>
      <c r="D100" s="1461"/>
      <c r="E100" s="812"/>
      <c r="F100" s="812"/>
      <c r="G100" s="812"/>
      <c r="H100" s="1470"/>
      <c r="I100" s="1461"/>
    </row>
    <row r="101" spans="1:36" ht="15">
      <c r="A101" s="3334" t="s">
        <v>1870</v>
      </c>
      <c r="B101" s="3335"/>
      <c r="C101" s="3335"/>
      <c r="D101" s="3336"/>
      <c r="E101" s="1461"/>
      <c r="F101" s="3370" t="s">
        <v>2778</v>
      </c>
      <c r="G101" s="3371"/>
      <c r="H101" s="3371"/>
      <c r="I101" s="3372"/>
      <c r="J101" s="2879"/>
    </row>
    <row r="102" spans="1:36" ht="15">
      <c r="A102" s="3346" t="s">
        <v>1872</v>
      </c>
      <c r="B102" s="3347"/>
      <c r="C102" s="2802" t="str">
        <f>C4</f>
        <v>成本法</v>
      </c>
      <c r="D102" s="2803" t="str">
        <f>D4</f>
        <v>收益法</v>
      </c>
      <c r="E102" s="1461"/>
      <c r="F102" s="3258" t="s">
        <v>2779</v>
      </c>
      <c r="G102" s="3259"/>
      <c r="H102" s="3264" t="s">
        <v>2780</v>
      </c>
      <c r="I102" s="3257"/>
      <c r="J102" s="2859"/>
    </row>
    <row r="103" spans="1:36" ht="12.75">
      <c r="A103" s="3367" t="s">
        <v>2774</v>
      </c>
      <c r="B103" s="2307" t="str">
        <f>IF(H19="元","总价（元）","总价（万元）")</f>
        <v>总价（万元）</v>
      </c>
      <c r="C103" s="1307">
        <f ca="1">C19</f>
        <v>657</v>
      </c>
      <c r="D103" s="2806">
        <f ca="1">D19</f>
        <v>402</v>
      </c>
      <c r="E103" s="1461"/>
      <c r="F103" s="3368"/>
      <c r="G103" s="3369"/>
      <c r="H103" s="3256">
        <f>典型户型修正!B25</f>
        <v>841.27</v>
      </c>
      <c r="I103" s="3257"/>
      <c r="J103" s="2859"/>
    </row>
    <row r="104" spans="1:36" ht="12.75">
      <c r="A104" s="3367"/>
      <c r="B104" s="2307" t="s">
        <v>2775</v>
      </c>
      <c r="C104" s="2807">
        <f ca="1">C20</f>
        <v>42143</v>
      </c>
      <c r="D104" s="2808">
        <f ca="1">D20</f>
        <v>25807</v>
      </c>
      <c r="E104" s="1461"/>
      <c r="F104" s="3268" t="s">
        <v>2781</v>
      </c>
      <c r="G104" s="3269"/>
      <c r="H104" s="2816" t="str">
        <f>C110</f>
        <v>总价（万元）</v>
      </c>
      <c r="I104" s="2817">
        <f ca="1">H125</f>
        <v>2708</v>
      </c>
      <c r="J104" s="2859"/>
    </row>
    <row r="105" spans="1:36" ht="12.75">
      <c r="A105" s="3367" t="s">
        <v>2776</v>
      </c>
      <c r="B105" s="2245" t="str">
        <f>B103</f>
        <v>总价（万元）</v>
      </c>
      <c r="C105" s="12">
        <f ca="1">ROUND(IF('数据-取费表'!B4="总价",G19,IF(H19="元",G20*'数据-取费表'!E5,G20*'数据-取费表'!E5/10000)),0)</f>
        <v>504</v>
      </c>
      <c r="D105" s="2809"/>
      <c r="E105" s="1461"/>
      <c r="F105" s="3268"/>
      <c r="G105" s="3269"/>
      <c r="H105" s="2816" t="s">
        <v>2782</v>
      </c>
      <c r="I105" s="52">
        <f ca="1">I125</f>
        <v>32189</v>
      </c>
      <c r="J105" s="2843"/>
    </row>
    <row r="106" spans="1:36" ht="12.75">
      <c r="A106" s="3367"/>
      <c r="B106" s="2307" t="s">
        <v>2775</v>
      </c>
      <c r="C106" s="1481">
        <f ca="1">ROUND(IF('数据-取费表'!B4="楼面单价",G20,IF(H19="元",G19/'数据-取费表'!E5,G19*10000/'数据-取费表'!E5)),0)</f>
        <v>32324</v>
      </c>
      <c r="D106" s="2809"/>
      <c r="E106" s="1461"/>
      <c r="F106" s="3268"/>
      <c r="G106" s="3269"/>
      <c r="H106" s="3328"/>
      <c r="I106" s="3329"/>
      <c r="J106" s="2860"/>
    </row>
    <row r="107" spans="1:36" ht="12.75">
      <c r="A107" s="3361" t="s">
        <v>2777</v>
      </c>
      <c r="B107" s="2810" t="str">
        <f>B103</f>
        <v>总价（万元）</v>
      </c>
      <c r="C107" s="2811">
        <f ca="1">H125</f>
        <v>2708</v>
      </c>
      <c r="D107" s="2812"/>
      <c r="E107" s="1461"/>
      <c r="F107" s="3332" t="s">
        <v>2783</v>
      </c>
      <c r="G107" s="3333"/>
      <c r="H107" s="2818" t="str">
        <f>C112</f>
        <v>总额（万元）</v>
      </c>
      <c r="I107" s="2817">
        <f>SUMIF(I108:I110,"&lt;9E307")</f>
        <v>0</v>
      </c>
      <c r="J107" s="2859"/>
    </row>
    <row r="108" spans="1:36" ht="15" thickBot="1">
      <c r="A108" s="3327"/>
      <c r="B108" s="2813" t="s">
        <v>2775</v>
      </c>
      <c r="C108" s="2814">
        <f ca="1">I125</f>
        <v>32189</v>
      </c>
      <c r="D108" s="2815"/>
      <c r="E108" s="1461"/>
      <c r="F108" s="3270" t="s">
        <v>2784</v>
      </c>
      <c r="G108" s="3271"/>
      <c r="H108" s="2818" t="str">
        <f>C113</f>
        <v>总额（万元）</v>
      </c>
      <c r="I108" s="2819">
        <f>IF(D38="同一抵押权人同一抵押物续贷",C38&amp;"（续贷，未扣减，详见特别提示）",C38)</f>
        <v>0</v>
      </c>
      <c r="J108" s="2843"/>
      <c r="L108" s="1464" t="str">
        <f>IF(D125=0,"本次评估不存在"&amp;A125&amp;"。","本次评估"&amp;A125&amp;"为"&amp;D125&amp;"元人民币。")</f>
        <v>本次评估不存在北京市房地产。</v>
      </c>
      <c r="M108" s="1461"/>
      <c r="N108" s="1461"/>
      <c r="O108" s="1461"/>
      <c r="P108" s="1461"/>
      <c r="Q108" s="1461"/>
    </row>
    <row r="109" spans="1:36" ht="15">
      <c r="A109" s="3364" t="s">
        <v>1873</v>
      </c>
      <c r="B109" s="3365"/>
      <c r="C109" s="3365"/>
      <c r="D109" s="3366"/>
      <c r="E109" s="1461"/>
      <c r="F109" s="3270" t="s">
        <v>2785</v>
      </c>
      <c r="G109" s="3271"/>
      <c r="H109" s="2818" t="str">
        <f>C114</f>
        <v>总额（万元）</v>
      </c>
      <c r="I109" s="52">
        <f>C39</f>
        <v>0</v>
      </c>
      <c r="J109" s="2843"/>
    </row>
    <row r="110" spans="1:36" ht="12.75">
      <c r="A110" s="3268" t="s">
        <v>2788</v>
      </c>
      <c r="B110" s="3269"/>
      <c r="C110" s="2816" t="str">
        <f>B103</f>
        <v>总价（万元）</v>
      </c>
      <c r="D110" s="2817">
        <f ca="1">H125</f>
        <v>2708</v>
      </c>
      <c r="E110" s="1461"/>
      <c r="F110" s="3270" t="s">
        <v>2786</v>
      </c>
      <c r="G110" s="3271"/>
      <c r="H110" s="2818" t="str">
        <f>C115</f>
        <v>总额（万元）</v>
      </c>
      <c r="I110" s="52">
        <f>C40</f>
        <v>0</v>
      </c>
      <c r="J110" s="2843"/>
    </row>
    <row r="111" spans="1:36" ht="12.75">
      <c r="A111" s="3268"/>
      <c r="B111" s="3269"/>
      <c r="C111" s="2816" t="s">
        <v>2789</v>
      </c>
      <c r="D111" s="52">
        <f ca="1">I125</f>
        <v>32189</v>
      </c>
      <c r="E111" s="1461"/>
      <c r="F111" s="3268"/>
      <c r="G111" s="3269"/>
      <c r="H111" s="3330"/>
      <c r="I111" s="3331"/>
      <c r="J111" s="2861"/>
    </row>
    <row r="112" spans="1:36" ht="28.5" customHeight="1">
      <c r="A112" s="3275" t="s">
        <v>2783</v>
      </c>
      <c r="B112" s="3276"/>
      <c r="C112" s="2818" t="str">
        <f>IF(H19="元","总额（元）","总额（万元）")</f>
        <v>总额（万元）</v>
      </c>
      <c r="D112" s="2817">
        <f>IF(D38="正常操作",I108+I109+I110,I109+I110)</f>
        <v>0</v>
      </c>
      <c r="E112" s="1461"/>
      <c r="F112" s="3260" t="str">
        <f>IF(项目基本情况!F5="已注销","——","3.房地产抵押价值")</f>
        <v>3.房地产抵押价值</v>
      </c>
      <c r="G112" s="3261"/>
      <c r="H112" s="1481" t="str">
        <f>C116</f>
        <v>总价（万元）</v>
      </c>
      <c r="I112" s="2817">
        <f ca="1">IF(F112="——","——",I104-I107)</f>
        <v>2708</v>
      </c>
      <c r="J112" s="2859"/>
    </row>
    <row r="113" spans="1:27" ht="12.75">
      <c r="A113" s="3270" t="s">
        <v>2790</v>
      </c>
      <c r="B113" s="3271"/>
      <c r="C113" s="2818" t="str">
        <f>C112</f>
        <v>总额（万元）</v>
      </c>
      <c r="D113" s="52">
        <f>IF(D38="同一抵押权人同一抵押物续贷",C38&amp;"（未扣减，详见特别提示）",C38)</f>
        <v>0</v>
      </c>
      <c r="E113" s="1461"/>
      <c r="F113" s="3359"/>
      <c r="G113" s="3360"/>
      <c r="H113" s="2816" t="s">
        <v>2782</v>
      </c>
      <c r="I113" s="2820">
        <f ca="1">D117</f>
        <v>32189</v>
      </c>
      <c r="J113" s="2862"/>
    </row>
    <row r="114" spans="1:27" ht="12.75">
      <c r="A114" s="3270" t="s">
        <v>2791</v>
      </c>
      <c r="B114" s="3271"/>
      <c r="C114" s="2818" t="str">
        <f>C112</f>
        <v>总额（万元）</v>
      </c>
      <c r="D114" s="52">
        <f>C39</f>
        <v>0</v>
      </c>
      <c r="E114" s="1461"/>
      <c r="F114" s="3260" t="str">
        <f>IF(项目基本情况!F5="已注销及未注销","4.抵押担保权已注销时的房地产抵押价值",IF(项目基本情况!F5="已注销","3.抵押担保权已注销时的房地产抵押价值","——"))</f>
        <v>——</v>
      </c>
      <c r="G114" s="3261"/>
      <c r="H114" s="1481" t="str">
        <f>C118</f>
        <v>总价（万元）</v>
      </c>
      <c r="I114" s="2817" t="str">
        <f>IF(F114="——","——",I104-I109-I110)</f>
        <v>——</v>
      </c>
      <c r="J114" s="2859"/>
    </row>
    <row r="115" spans="1:27" ht="12.75">
      <c r="A115" s="3270" t="s">
        <v>2792</v>
      </c>
      <c r="B115" s="3271"/>
      <c r="C115" s="2818" t="str">
        <f>C112</f>
        <v>总额（万元）</v>
      </c>
      <c r="D115" s="52">
        <f>C40</f>
        <v>0</v>
      </c>
      <c r="E115" s="1461"/>
      <c r="F115" s="3359"/>
      <c r="G115" s="3360"/>
      <c r="H115" s="2816" t="s">
        <v>2782</v>
      </c>
      <c r="I115" s="52" t="str">
        <f>D119</f>
        <v>——</v>
      </c>
      <c r="J115" s="2843"/>
    </row>
    <row r="116" spans="1:27" ht="12.75">
      <c r="A116" s="3268" t="str">
        <f>IF(项目基本情况!F5="已注销","——","3.房地产抵押价值")</f>
        <v>3.房地产抵押价值</v>
      </c>
      <c r="B116" s="3269"/>
      <c r="C116" s="2816" t="str">
        <f>B103</f>
        <v>总价（万元）</v>
      </c>
      <c r="D116" s="2817">
        <f ca="1">IF(A116="——","——",D110-D112)</f>
        <v>2708</v>
      </c>
      <c r="E116" s="1461"/>
      <c r="F116" s="3260" t="str">
        <f>IF(项目基本情况!G5="抵押净值",IF(OR(项目基本情况!F5="已注销",项目基本情况!F5="房地产抵押价值"),"4.抵押净值","5.抵押净值"),"——")</f>
        <v>——</v>
      </c>
      <c r="G116" s="3261"/>
      <c r="H116" s="2816" t="str">
        <f>C120</f>
        <v>总价（万元）</v>
      </c>
      <c r="I116" s="2817" t="str">
        <f>IF(F116="——","——",O61)</f>
        <v>——</v>
      </c>
      <c r="J116" s="2859"/>
    </row>
    <row r="117" spans="1:27" ht="13.5" thickBot="1">
      <c r="A117" s="3268"/>
      <c r="B117" s="3269"/>
      <c r="C117" s="2816" t="s">
        <v>2789</v>
      </c>
      <c r="D117" s="52">
        <f ca="1">ROUND(IF(D116=D110,D111,IF(H19="元",D116/B125,D116*10000/B125)),0)</f>
        <v>32189</v>
      </c>
      <c r="E117" s="1461"/>
      <c r="F117" s="3262"/>
      <c r="G117" s="3263"/>
      <c r="H117" s="2821" t="s">
        <v>2782</v>
      </c>
      <c r="I117" s="2805" t="str">
        <f ca="1">D121</f>
        <v>——</v>
      </c>
      <c r="J117" s="2843"/>
    </row>
    <row r="118" spans="1:27" ht="15.75">
      <c r="A118" s="3268" t="str">
        <f>IF(项目基本情况!F5="已注销及未注销","4.抵押担保权已注销时的房地产抵押价值",IF(项目基本情况!F5="已注销","3.抵押担保权已注销时的房地产抵押价值","——"))</f>
        <v>——</v>
      </c>
      <c r="B118" s="3269"/>
      <c r="C118" s="2816" t="str">
        <f>B103</f>
        <v>总价（万元）</v>
      </c>
      <c r="D118" s="2817" t="str">
        <f>IF(A118="——","——",D110-D114-D115)</f>
        <v>——</v>
      </c>
      <c r="E118" s="1461"/>
      <c r="F118" s="3354"/>
      <c r="G118" s="3354"/>
      <c r="H118" s="3318"/>
      <c r="I118" s="3318"/>
      <c r="J118" s="2863"/>
      <c r="O118" s="32"/>
      <c r="P118" s="32"/>
    </row>
    <row r="119" spans="1:27" s="1308" customFormat="1" ht="12.75">
      <c r="A119" s="3268"/>
      <c r="B119" s="3269"/>
      <c r="C119" s="2816" t="s">
        <v>2789</v>
      </c>
      <c r="D119" s="52" t="str">
        <f>IF(A118="——","——",IF(H19="元",ROUND(D118/B125,0),ROUND(D118*10000/B125,0)))</f>
        <v>——</v>
      </c>
      <c r="E119" s="1461"/>
      <c r="F119" s="3363" t="str">
        <f>IF(B33="总价","（以上估价结果中楼面单价为总价除以建筑面积得出）","（以上估价结果中总价为楼面单价乘以建筑面积得出）")</f>
        <v>（以上估价结果中总价为楼面单价乘以建筑面积得出）</v>
      </c>
      <c r="G119" s="3363"/>
      <c r="H119" s="3363"/>
      <c r="I119" s="3363"/>
      <c r="J119" s="2864"/>
      <c r="K119" s="659"/>
      <c r="L119" s="659"/>
      <c r="M119" s="659"/>
      <c r="N119" s="659"/>
      <c r="O119" s="32"/>
      <c r="P119" s="32"/>
      <c r="Q119" s="659"/>
      <c r="R119" s="659"/>
      <c r="S119" s="659"/>
      <c r="T119" s="659"/>
      <c r="U119" s="659"/>
      <c r="V119" s="659"/>
      <c r="W119" s="659"/>
      <c r="X119" s="659"/>
      <c r="Y119" s="659"/>
      <c r="Z119" s="659"/>
      <c r="AA119" s="659"/>
    </row>
    <row r="120" spans="1:27" s="1308" customFormat="1" ht="12.75">
      <c r="A120" s="3268" t="str">
        <f>IF(项目基本情况!G5="抵押净值",IF(OR(项目基本情况!F5="已注销",项目基本情况!F5="房地产抵押价值"),"4.抵押净值","5.抵押净值"),"——")</f>
        <v>——</v>
      </c>
      <c r="B120" s="3269"/>
      <c r="C120" s="2816" t="str">
        <f>B103</f>
        <v>总价（万元）</v>
      </c>
      <c r="D120" s="2817" t="str">
        <f>IF(A120="——","——",O61)</f>
        <v>——</v>
      </c>
      <c r="E120" s="1461"/>
      <c r="F120" s="1515"/>
      <c r="G120" s="1515"/>
      <c r="H120" s="1515"/>
      <c r="I120" s="1515"/>
      <c r="J120" s="2864"/>
      <c r="K120" s="659"/>
      <c r="L120" s="659"/>
      <c r="M120" s="659"/>
      <c r="N120" s="659"/>
      <c r="O120" s="32"/>
      <c r="P120" s="32"/>
      <c r="Q120" s="659"/>
      <c r="R120" s="659"/>
      <c r="S120" s="659"/>
      <c r="T120" s="659"/>
      <c r="U120" s="659"/>
      <c r="V120" s="659"/>
      <c r="W120" s="659"/>
      <c r="X120" s="659"/>
      <c r="Y120" s="659"/>
      <c r="Z120" s="659"/>
      <c r="AA120" s="659"/>
    </row>
    <row r="121" spans="1:27" s="1308" customFormat="1" ht="13.5" thickBot="1">
      <c r="A121" s="3273"/>
      <c r="B121" s="3274"/>
      <c r="C121" s="2821" t="s">
        <v>2789</v>
      </c>
      <c r="D121" s="2805" t="str">
        <f ca="1">IF(D120=D110,D111,IF(A120="——","——",O63))</f>
        <v>——</v>
      </c>
      <c r="E121" s="1461"/>
      <c r="F121" s="1515"/>
      <c r="G121" s="1515"/>
      <c r="H121" s="1515"/>
      <c r="I121" s="1515"/>
      <c r="J121" s="2864"/>
      <c r="K121" s="659"/>
      <c r="L121" s="659"/>
      <c r="M121" s="659"/>
      <c r="N121" s="659"/>
      <c r="O121" s="32"/>
      <c r="P121" s="32"/>
      <c r="Q121" s="659"/>
      <c r="R121" s="659"/>
      <c r="S121" s="659"/>
      <c r="T121" s="659"/>
      <c r="U121" s="659"/>
      <c r="V121" s="659"/>
      <c r="W121" s="659"/>
      <c r="X121" s="659"/>
      <c r="Y121" s="659"/>
      <c r="Z121" s="659"/>
      <c r="AA121" s="659"/>
    </row>
    <row r="122" spans="1:27" s="1308" customFormat="1" ht="15">
      <c r="A122" s="3319" t="s">
        <v>1912</v>
      </c>
      <c r="B122" s="3320"/>
      <c r="C122" s="3320"/>
      <c r="D122" s="3320"/>
      <c r="E122" s="3320"/>
      <c r="F122" s="3320"/>
      <c r="G122" s="3320"/>
      <c r="H122" s="3320"/>
      <c r="I122" s="3320"/>
      <c r="J122" s="2865"/>
      <c r="K122" s="659"/>
      <c r="L122" s="659"/>
      <c r="M122" s="659"/>
      <c r="N122" s="659"/>
      <c r="O122" s="659"/>
      <c r="P122" s="659"/>
      <c r="Q122" s="659"/>
      <c r="R122" s="659"/>
      <c r="S122" s="659"/>
      <c r="T122" s="659"/>
      <c r="U122" s="659"/>
      <c r="V122" s="659"/>
      <c r="W122" s="659"/>
      <c r="X122" s="659"/>
      <c r="Y122" s="659"/>
      <c r="Z122" s="659"/>
      <c r="AA122" s="659"/>
    </row>
    <row r="123" spans="1:27" s="1308" customFormat="1" ht="12.75">
      <c r="A123" s="3253" t="s">
        <v>2793</v>
      </c>
      <c r="B123" s="3279" t="s">
        <v>2794</v>
      </c>
      <c r="C123" s="3279" t="s">
        <v>2800</v>
      </c>
      <c r="D123" s="3341" t="s">
        <v>2795</v>
      </c>
      <c r="E123" s="3342"/>
      <c r="F123" s="3254" t="s">
        <v>2801</v>
      </c>
      <c r="G123" s="3254"/>
      <c r="H123" s="3254" t="s">
        <v>2796</v>
      </c>
      <c r="I123" s="3340"/>
      <c r="J123" s="2843"/>
      <c r="K123" s="659"/>
      <c r="L123" s="659"/>
      <c r="M123" s="659"/>
      <c r="N123" s="659"/>
      <c r="O123" s="659"/>
      <c r="P123" s="659"/>
      <c r="Q123" s="659"/>
      <c r="R123" s="659"/>
      <c r="S123" s="659"/>
      <c r="T123" s="659"/>
      <c r="U123" s="659"/>
      <c r="V123" s="659"/>
      <c r="W123" s="659"/>
      <c r="X123" s="659"/>
      <c r="Y123" s="659"/>
      <c r="Z123" s="659"/>
      <c r="AA123" s="659"/>
    </row>
    <row r="124" spans="1:27" s="1308" customFormat="1" ht="12.75">
      <c r="A124" s="3253"/>
      <c r="B124" s="3280"/>
      <c r="C124" s="3280"/>
      <c r="D124" s="2092" t="s">
        <v>2797</v>
      </c>
      <c r="E124" s="2092" t="s">
        <v>2802</v>
      </c>
      <c r="F124" s="2092" t="s">
        <v>2797</v>
      </c>
      <c r="G124" s="2092" t="s">
        <v>2798</v>
      </c>
      <c r="H124" s="2092" t="s">
        <v>2797</v>
      </c>
      <c r="I124" s="52" t="s">
        <v>2798</v>
      </c>
      <c r="J124" s="2843"/>
      <c r="K124" s="659"/>
      <c r="L124" s="659"/>
      <c r="M124" s="659"/>
      <c r="N124" s="659"/>
      <c r="O124" s="659"/>
      <c r="P124" s="659"/>
      <c r="Q124" s="659"/>
      <c r="R124" s="659"/>
      <c r="S124" s="659"/>
      <c r="T124" s="659"/>
      <c r="U124" s="659"/>
      <c r="V124" s="659"/>
      <c r="W124" s="659"/>
      <c r="X124" s="659"/>
      <c r="Y124" s="659"/>
      <c r="Z124" s="659"/>
      <c r="AA124" s="659"/>
    </row>
    <row r="125" spans="1:27" s="1308" customFormat="1" ht="12.75">
      <c r="A125" s="2082" t="str">
        <f>项目基本情况!I1</f>
        <v>北京市房地产</v>
      </c>
      <c r="B125" s="2092">
        <f>典型户型修正!B25</f>
        <v>841.27</v>
      </c>
      <c r="C125" s="1456"/>
      <c r="D125" s="2092">
        <f>C36</f>
        <v>0</v>
      </c>
      <c r="E125" s="2092">
        <f>ROUND(IF(H19="元",D125/B125,D125*10000/B125),0)</f>
        <v>0</v>
      </c>
      <c r="F125" s="2092">
        <f>C37</f>
        <v>0</v>
      </c>
      <c r="G125" s="2092">
        <f>ROUND(IF(H19="元",F125/B125,F125*10000/B125),0)</f>
        <v>0</v>
      </c>
      <c r="H125" s="2092">
        <f ca="1">C34</f>
        <v>2708</v>
      </c>
      <c r="I125" s="52">
        <f ca="1">C35</f>
        <v>32189</v>
      </c>
      <c r="J125" s="2843"/>
      <c r="K125" s="659"/>
      <c r="L125" s="659"/>
      <c r="M125" s="659"/>
      <c r="N125" s="659"/>
      <c r="O125" s="659"/>
      <c r="P125" s="659"/>
      <c r="Q125" s="659"/>
      <c r="R125" s="659"/>
      <c r="S125" s="659"/>
      <c r="T125" s="659"/>
      <c r="U125" s="659"/>
      <c r="V125" s="659"/>
      <c r="W125" s="659"/>
      <c r="X125" s="659"/>
      <c r="Y125" s="659"/>
      <c r="Z125" s="659"/>
      <c r="AA125" s="659"/>
    </row>
    <row r="126" spans="1:27" s="1308" customFormat="1" ht="12.75">
      <c r="A126" s="3253" t="s">
        <v>2799</v>
      </c>
      <c r="B126" s="3254"/>
      <c r="C126" s="3254"/>
      <c r="D126" s="3281" t="str">
        <f>IF(H19="元",NUMBERSTRING(INT(D125),2)&amp;"元整",NUMBERSTRING(INT(D125*10000),2)&amp;"元整")</f>
        <v>零元整</v>
      </c>
      <c r="E126" s="3324"/>
      <c r="F126" s="3281" t="str">
        <f>IF(H19="元",NUMBERSTRING(INT(F125),2)&amp;"元整",NUMBERSTRING(INT(F125*10000),2)&amp;"元整")</f>
        <v>零元整</v>
      </c>
      <c r="G126" s="3324"/>
      <c r="H126" s="3281" t="str">
        <f ca="1">IF(H19="元",NUMBERSTRING(INT(H125),2)&amp;"元整",NUMBERSTRING(INT(H125*10000),2)&amp;"元整")</f>
        <v>贰仟柒佰零捌万元整</v>
      </c>
      <c r="I126" s="3282"/>
      <c r="J126" s="2866"/>
      <c r="K126" s="659"/>
      <c r="L126" s="659"/>
      <c r="M126" s="659"/>
      <c r="N126" s="659"/>
      <c r="O126" s="659"/>
      <c r="P126" s="659"/>
      <c r="Q126" s="659"/>
      <c r="R126" s="659"/>
      <c r="S126" s="659"/>
      <c r="T126" s="659"/>
      <c r="U126" s="659"/>
      <c r="V126" s="659"/>
      <c r="W126" s="659"/>
      <c r="X126" s="659"/>
      <c r="Y126" s="659"/>
      <c r="Z126" s="659"/>
      <c r="AA126" s="659"/>
    </row>
    <row r="127" spans="1:27" s="1308" customFormat="1" ht="12.75">
      <c r="A127" s="3258" t="str">
        <f>IF(项目基本情况!D5="房地产市场价值","——",MID(A112,3,LEN(A112)-2))</f>
        <v>估价师所知悉的法定优先受偿款</v>
      </c>
      <c r="B127" s="3264"/>
      <c r="C127" s="3259"/>
      <c r="D127" s="3256">
        <f>I107</f>
        <v>0</v>
      </c>
      <c r="E127" s="3264"/>
      <c r="F127" s="3264"/>
      <c r="G127" s="3264"/>
      <c r="H127" s="3264"/>
      <c r="I127" s="3257"/>
      <c r="J127" s="2859"/>
      <c r="K127" s="659"/>
      <c r="L127" s="659"/>
      <c r="M127" s="659"/>
      <c r="N127" s="659"/>
      <c r="O127" s="659"/>
      <c r="P127" s="659"/>
      <c r="Q127" s="659"/>
      <c r="R127" s="659"/>
      <c r="S127" s="659"/>
      <c r="T127" s="659"/>
      <c r="U127" s="659"/>
      <c r="V127" s="659"/>
      <c r="W127" s="659"/>
      <c r="X127" s="659"/>
      <c r="Y127" s="659"/>
      <c r="Z127" s="659"/>
      <c r="AA127" s="659"/>
    </row>
    <row r="128" spans="1:27" s="1308" customFormat="1" ht="12.75">
      <c r="A128" s="3325" t="s">
        <v>2799</v>
      </c>
      <c r="B128" s="3293"/>
      <c r="C128" s="3294"/>
      <c r="D128" s="3265">
        <f>H111</f>
        <v>0</v>
      </c>
      <c r="E128" s="3266"/>
      <c r="F128" s="3266"/>
      <c r="G128" s="3266"/>
      <c r="H128" s="3266"/>
      <c r="I128" s="3267"/>
      <c r="J128" s="2867"/>
      <c r="K128" s="659"/>
      <c r="L128" s="659"/>
      <c r="M128" s="659"/>
      <c r="N128" s="659"/>
      <c r="O128" s="659"/>
      <c r="P128" s="659"/>
      <c r="Q128" s="659"/>
      <c r="R128" s="659"/>
      <c r="S128" s="659"/>
      <c r="T128" s="659"/>
      <c r="U128" s="659"/>
      <c r="V128" s="659"/>
      <c r="W128" s="659"/>
      <c r="X128" s="659"/>
      <c r="Y128" s="659"/>
      <c r="Z128" s="659"/>
      <c r="AA128" s="659"/>
    </row>
    <row r="129" spans="1:27" s="1308" customFormat="1" ht="12.75">
      <c r="A129" s="3268" t="str">
        <f>IF(项目基本情况!D5="房地产市场价值","——",MID(A116,3,LEN(A116)-2))</f>
        <v>房地产抵押价值</v>
      </c>
      <c r="B129" s="3269"/>
      <c r="C129" s="3269"/>
      <c r="D129" s="3256">
        <f ca="1">I112</f>
        <v>2708</v>
      </c>
      <c r="E129" s="3264"/>
      <c r="F129" s="3264"/>
      <c r="G129" s="3264"/>
      <c r="H129" s="3264"/>
      <c r="I129" s="3257"/>
      <c r="J129" s="2859"/>
      <c r="K129" s="659"/>
      <c r="L129" s="659"/>
      <c r="M129" s="659"/>
      <c r="N129" s="659"/>
      <c r="O129" s="659"/>
      <c r="P129" s="659"/>
      <c r="Q129" s="659"/>
      <c r="R129" s="659"/>
      <c r="S129" s="659"/>
      <c r="T129" s="659"/>
      <c r="U129" s="659"/>
      <c r="V129" s="659"/>
      <c r="W129" s="659"/>
      <c r="X129" s="659"/>
      <c r="Y129" s="659"/>
      <c r="Z129" s="659"/>
      <c r="AA129" s="659"/>
    </row>
    <row r="130" spans="1:27" s="1308" customFormat="1" ht="12.75">
      <c r="A130" s="3253" t="s">
        <v>2799</v>
      </c>
      <c r="B130" s="3254"/>
      <c r="C130" s="3254"/>
      <c r="D130" s="3265">
        <f ca="1">I113</f>
        <v>32189</v>
      </c>
      <c r="E130" s="3266"/>
      <c r="F130" s="3266"/>
      <c r="G130" s="3266"/>
      <c r="H130" s="3266"/>
      <c r="I130" s="3267"/>
      <c r="J130" s="2867"/>
      <c r="K130" s="659"/>
      <c r="L130" s="659"/>
      <c r="M130" s="659"/>
      <c r="N130" s="659"/>
      <c r="O130" s="659"/>
      <c r="P130" s="659"/>
      <c r="Q130" s="659"/>
      <c r="R130" s="659"/>
      <c r="S130" s="659"/>
      <c r="T130" s="659"/>
      <c r="U130" s="659"/>
      <c r="V130" s="659"/>
      <c r="W130" s="659"/>
      <c r="X130" s="659"/>
      <c r="Y130" s="659"/>
      <c r="Z130" s="659"/>
      <c r="AA130" s="659"/>
    </row>
    <row r="131" spans="1:27" s="1308" customFormat="1" ht="13.5" thickBot="1">
      <c r="A131" s="3268" t="str">
        <f>IF(项目基本情况!D5="房地产市场价值","——",MID(A118,3,LEN(A118)-2))</f>
        <v/>
      </c>
      <c r="B131" s="3269"/>
      <c r="C131" s="3269"/>
      <c r="D131" s="3301" t="str">
        <f>I114</f>
        <v>——</v>
      </c>
      <c r="E131" s="3302"/>
      <c r="F131" s="3302"/>
      <c r="G131" s="3302"/>
      <c r="H131" s="3302"/>
      <c r="I131" s="3353"/>
      <c r="J131" s="2859"/>
      <c r="K131" s="659"/>
      <c r="L131" s="659"/>
      <c r="M131" s="659"/>
      <c r="N131" s="659"/>
      <c r="O131" s="659"/>
      <c r="P131" s="659"/>
      <c r="Q131" s="659"/>
      <c r="R131" s="659"/>
      <c r="S131" s="659"/>
      <c r="T131" s="659"/>
      <c r="U131" s="659"/>
      <c r="V131" s="659"/>
      <c r="W131" s="659"/>
      <c r="X131" s="659"/>
      <c r="Y131" s="659"/>
      <c r="Z131" s="659"/>
      <c r="AA131" s="659"/>
    </row>
    <row r="132" spans="1:27" s="1308" customFormat="1" ht="14.25" thickTop="1" thickBot="1">
      <c r="A132" s="3253" t="s">
        <v>2799</v>
      </c>
      <c r="B132" s="3254"/>
      <c r="C132" s="3255"/>
      <c r="D132" s="3317" t="str">
        <f>I115</f>
        <v>——</v>
      </c>
      <c r="E132" s="3317"/>
      <c r="F132" s="3317"/>
      <c r="G132" s="3317"/>
      <c r="H132" s="3317"/>
      <c r="I132" s="3317"/>
      <c r="J132" s="2867"/>
      <c r="K132" s="659"/>
      <c r="L132" s="659"/>
      <c r="M132" s="659"/>
      <c r="N132" s="659"/>
      <c r="O132" s="659"/>
      <c r="P132" s="659"/>
      <c r="Q132" s="659"/>
      <c r="R132" s="659"/>
      <c r="S132" s="659"/>
      <c r="T132" s="659"/>
      <c r="U132" s="659"/>
      <c r="V132" s="659"/>
      <c r="W132" s="659"/>
      <c r="X132" s="659"/>
      <c r="Y132" s="659"/>
      <c r="Z132" s="659"/>
      <c r="AA132" s="659"/>
    </row>
    <row r="133" spans="1:27" s="1308" customFormat="1" ht="14.25" thickTop="1" thickBot="1">
      <c r="A133" s="3268" t="str">
        <f>IF(项目基本情况!D5="房地产市场价值","——",MID(F116,3,LEN(F116)-2))</f>
        <v/>
      </c>
      <c r="B133" s="3269"/>
      <c r="C133" s="3256"/>
      <c r="D133" s="3272" t="str">
        <f>I116</f>
        <v>——</v>
      </c>
      <c r="E133" s="3272"/>
      <c r="F133" s="3272"/>
      <c r="G133" s="3272"/>
      <c r="H133" s="3272"/>
      <c r="I133" s="3272"/>
      <c r="J133" s="2859"/>
      <c r="K133" s="659"/>
      <c r="L133" s="659"/>
      <c r="M133" s="659"/>
      <c r="N133" s="659"/>
      <c r="O133" s="659"/>
      <c r="P133" s="659"/>
      <c r="Q133" s="659"/>
      <c r="R133" s="659"/>
      <c r="S133" s="659"/>
      <c r="T133" s="659"/>
      <c r="U133" s="659"/>
      <c r="V133" s="659"/>
      <c r="W133" s="659"/>
      <c r="X133" s="659"/>
      <c r="Y133" s="659"/>
      <c r="Z133" s="659"/>
      <c r="AA133" s="659"/>
    </row>
    <row r="134" spans="1:27" s="1308" customFormat="1" ht="14.25" thickTop="1" thickBot="1">
      <c r="A134" s="3277" t="s">
        <v>2799</v>
      </c>
      <c r="B134" s="3278"/>
      <c r="C134" s="3278"/>
      <c r="D134" s="3283">
        <f>H118</f>
        <v>0</v>
      </c>
      <c r="E134" s="3284"/>
      <c r="F134" s="3284"/>
      <c r="G134" s="3284"/>
      <c r="H134" s="3284"/>
      <c r="I134" s="3285"/>
      <c r="J134" s="2867"/>
      <c r="K134" s="659"/>
      <c r="L134" s="659"/>
      <c r="M134" s="659"/>
      <c r="N134" s="659"/>
      <c r="O134" s="659"/>
      <c r="P134" s="659"/>
      <c r="Q134" s="659"/>
      <c r="R134" s="659"/>
      <c r="S134" s="659"/>
      <c r="T134" s="659"/>
      <c r="U134" s="659"/>
      <c r="V134" s="659"/>
      <c r="W134" s="659"/>
      <c r="X134" s="659"/>
      <c r="Y134" s="659"/>
      <c r="Z134" s="659"/>
      <c r="AA134" s="659"/>
    </row>
    <row r="135" spans="1:27" s="1308" customFormat="1" ht="12.75">
      <c r="A135" s="1481" t="str">
        <f>IF(H19="元","单位：平方米、元、元/平方米（币种：人民币）","单位：平方米、万元、元/平方米（币种：人民币）")</f>
        <v>单位：平方米、万元、元/平方米（币种：人民币）</v>
      </c>
      <c r="B135" s="1481"/>
      <c r="C135" s="1481"/>
      <c r="D135" s="1481"/>
      <c r="E135" s="1481"/>
      <c r="F135" s="1481"/>
      <c r="G135" s="1481"/>
      <c r="H135" s="1481"/>
      <c r="I135" s="1481"/>
      <c r="J135" s="2868"/>
      <c r="K135" s="659"/>
      <c r="L135" s="659"/>
      <c r="M135" s="659"/>
      <c r="N135" s="659"/>
      <c r="O135" s="659"/>
      <c r="P135" s="659"/>
      <c r="Q135" s="659"/>
      <c r="R135" s="659"/>
      <c r="S135" s="659"/>
      <c r="T135" s="659"/>
      <c r="U135" s="659"/>
      <c r="V135" s="659"/>
      <c r="W135" s="659"/>
      <c r="X135" s="659"/>
      <c r="Y135" s="659"/>
      <c r="Z135" s="659"/>
      <c r="AA135" s="659"/>
    </row>
    <row r="136" spans="1:27" s="1308" customFormat="1" ht="13.5" thickBot="1">
      <c r="A136" s="3251" t="str">
        <f>IF(B33="总价","（以上估价结果中楼面单价为总价除以建筑面积得出）","（以上估价结果中总价为楼面单价乘以建筑面积得出）")</f>
        <v>（以上估价结果中总价为楼面单价乘以建筑面积得出）</v>
      </c>
      <c r="B136" s="3251"/>
      <c r="C136" s="3251"/>
      <c r="D136" s="3251"/>
      <c r="E136" s="3251"/>
      <c r="F136" s="3251"/>
      <c r="G136" s="3251"/>
      <c r="H136" s="3251"/>
      <c r="I136" s="3251"/>
      <c r="J136" s="2861"/>
      <c r="K136" s="659"/>
      <c r="L136" s="659"/>
      <c r="M136" s="659"/>
      <c r="N136" s="659"/>
      <c r="O136" s="659"/>
      <c r="P136" s="659"/>
      <c r="Q136" s="659"/>
      <c r="R136" s="659"/>
      <c r="S136" s="659"/>
      <c r="T136" s="659"/>
      <c r="U136" s="659"/>
      <c r="V136" s="659"/>
      <c r="W136" s="659"/>
      <c r="X136" s="659"/>
      <c r="Y136" s="659"/>
      <c r="Z136" s="659"/>
      <c r="AA136" s="659"/>
    </row>
    <row r="137" spans="1:27" s="1308" customFormat="1" ht="21.75" customHeight="1">
      <c r="A137" s="1491" t="s">
        <v>1875</v>
      </c>
      <c r="B137" s="1492"/>
      <c r="C137" s="1493" t="s">
        <v>1876</v>
      </c>
      <c r="D137" s="1494"/>
      <c r="E137" s="1494"/>
      <c r="F137" s="1494"/>
      <c r="G137" s="1494"/>
      <c r="H137" s="1495"/>
      <c r="I137" s="1496"/>
      <c r="J137" s="2869"/>
      <c r="K137" s="659"/>
      <c r="L137" s="659"/>
      <c r="M137" s="659"/>
      <c r="N137" s="659"/>
      <c r="O137" s="659"/>
      <c r="P137" s="659"/>
      <c r="Q137" s="659"/>
      <c r="R137" s="659"/>
      <c r="S137" s="659"/>
      <c r="T137" s="659"/>
      <c r="U137" s="659"/>
      <c r="V137" s="659"/>
      <c r="W137" s="659"/>
      <c r="X137" s="659"/>
      <c r="Y137" s="659"/>
      <c r="Z137" s="659"/>
      <c r="AA137" s="659"/>
    </row>
    <row r="138" spans="1:27" s="1308" customFormat="1" ht="21.75" customHeight="1">
      <c r="A138" s="1497">
        <v>1</v>
      </c>
      <c r="B138" s="1498"/>
      <c r="C138" s="1498"/>
      <c r="D138" s="1494"/>
      <c r="E138" s="1494"/>
      <c r="F138" s="1494"/>
      <c r="G138" s="1494"/>
      <c r="H138" s="1495"/>
      <c r="I138" s="1496"/>
      <c r="J138" s="2869"/>
      <c r="K138" s="659"/>
      <c r="L138" s="659"/>
      <c r="M138" s="659"/>
      <c r="N138" s="659"/>
      <c r="O138" s="659"/>
      <c r="P138" s="659"/>
      <c r="Q138" s="659"/>
      <c r="R138" s="659"/>
      <c r="S138" s="659"/>
      <c r="T138" s="659"/>
      <c r="U138" s="659"/>
      <c r="V138" s="659"/>
      <c r="W138" s="659"/>
      <c r="X138" s="659"/>
      <c r="Y138" s="659"/>
      <c r="Z138" s="659"/>
      <c r="AA138" s="659"/>
    </row>
    <row r="139" spans="1:27" s="1308" customFormat="1" ht="21.75" customHeight="1">
      <c r="A139" s="1497">
        <v>2</v>
      </c>
      <c r="B139" s="1498"/>
      <c r="C139" s="1498"/>
      <c r="D139" s="1494"/>
      <c r="E139" s="1494"/>
      <c r="F139" s="1494"/>
      <c r="G139" s="1494"/>
      <c r="H139" s="1495"/>
      <c r="I139" s="1496"/>
      <c r="J139" s="2869"/>
      <c r="K139" s="659"/>
      <c r="L139" s="659"/>
      <c r="M139" s="659"/>
      <c r="N139" s="659"/>
      <c r="O139" s="659"/>
      <c r="P139" s="659"/>
      <c r="Q139" s="659"/>
      <c r="R139" s="659"/>
      <c r="S139" s="659"/>
      <c r="T139" s="659"/>
      <c r="U139" s="659"/>
      <c r="V139" s="659"/>
      <c r="W139" s="659"/>
      <c r="X139" s="659"/>
      <c r="Y139" s="659"/>
      <c r="Z139" s="659"/>
      <c r="AA139" s="659"/>
    </row>
    <row r="140" spans="1:27" s="1308" customFormat="1" ht="21.75" customHeight="1">
      <c r="A140" s="1497">
        <v>3</v>
      </c>
      <c r="B140" s="1498"/>
      <c r="C140" s="1498"/>
      <c r="D140" s="1494"/>
      <c r="E140" s="1494"/>
      <c r="F140" s="32"/>
      <c r="G140" s="32"/>
      <c r="H140" s="32"/>
      <c r="I140" s="32"/>
      <c r="J140" s="2870"/>
      <c r="K140" s="659"/>
      <c r="L140" s="659"/>
      <c r="M140" s="659"/>
      <c r="N140" s="659"/>
      <c r="O140" s="659"/>
      <c r="P140" s="659"/>
      <c r="Q140" s="659"/>
      <c r="R140" s="659"/>
      <c r="S140" s="659"/>
      <c r="T140" s="659"/>
      <c r="U140" s="659"/>
      <c r="V140" s="659"/>
      <c r="W140" s="659"/>
      <c r="X140" s="659"/>
      <c r="Y140" s="659"/>
      <c r="Z140" s="659"/>
      <c r="AA140" s="659"/>
    </row>
    <row r="141" spans="1:27" s="1308" customFormat="1" ht="21.75" customHeight="1">
      <c r="A141" s="1499"/>
      <c r="B141" s="1500"/>
      <c r="C141" s="1500"/>
      <c r="D141" s="1501"/>
      <c r="E141" s="1501"/>
      <c r="F141" s="1501"/>
      <c r="G141" s="1501"/>
      <c r="H141" s="1502"/>
      <c r="I141" s="1503"/>
      <c r="J141" s="2869"/>
      <c r="K141" s="659"/>
      <c r="L141" s="659"/>
      <c r="M141" s="659"/>
      <c r="N141" s="659"/>
      <c r="O141" s="659"/>
      <c r="P141" s="659"/>
      <c r="Q141" s="659"/>
      <c r="R141" s="659"/>
      <c r="S141" s="659"/>
      <c r="T141" s="659"/>
      <c r="U141" s="659"/>
      <c r="V141" s="659"/>
      <c r="W141" s="659"/>
      <c r="X141" s="659"/>
      <c r="Y141" s="659"/>
      <c r="Z141" s="659"/>
      <c r="AA141" s="659"/>
    </row>
    <row r="142" spans="1:27" s="1308" customFormat="1" ht="21.75" customHeight="1">
      <c r="A142" s="1498"/>
      <c r="B142" s="1498"/>
      <c r="C142" s="1498"/>
      <c r="D142" s="1494"/>
      <c r="E142" s="1494"/>
      <c r="F142" s="1494"/>
      <c r="G142" s="1494"/>
      <c r="H142" s="1495"/>
      <c r="I142" s="659"/>
      <c r="J142" s="2870"/>
      <c r="K142" s="659"/>
      <c r="L142" s="659"/>
      <c r="M142" s="659"/>
      <c r="N142" s="659"/>
      <c r="O142" s="659"/>
      <c r="P142" s="659"/>
      <c r="Q142" s="659"/>
      <c r="R142" s="659"/>
      <c r="S142" s="659"/>
      <c r="T142" s="659"/>
      <c r="U142" s="659"/>
      <c r="V142" s="659"/>
      <c r="W142" s="659"/>
      <c r="X142" s="659"/>
      <c r="Y142" s="659"/>
      <c r="Z142" s="659"/>
      <c r="AA142" s="659"/>
    </row>
    <row r="143" spans="1:27" s="1308" customFormat="1" ht="21.75" customHeight="1">
      <c r="A143" s="659"/>
      <c r="B143" s="659"/>
      <c r="C143" s="659"/>
      <c r="D143" s="659"/>
      <c r="E143" s="659"/>
      <c r="F143" s="1504" t="s">
        <v>1877</v>
      </c>
      <c r="G143" s="1505"/>
      <c r="H143" s="1505"/>
      <c r="I143" s="1506" t="s">
        <v>1878</v>
      </c>
      <c r="J143" s="2871"/>
      <c r="K143" s="659"/>
      <c r="L143" s="659"/>
      <c r="M143" s="659"/>
      <c r="N143" s="659"/>
      <c r="O143" s="659"/>
      <c r="P143" s="659"/>
      <c r="Q143" s="659"/>
      <c r="R143" s="659"/>
      <c r="S143" s="659"/>
      <c r="T143" s="659"/>
      <c r="U143" s="659"/>
      <c r="V143" s="659"/>
      <c r="W143" s="659"/>
      <c r="X143" s="659"/>
      <c r="Y143" s="659"/>
      <c r="Z143" s="659"/>
      <c r="AA143" s="659"/>
    </row>
    <row r="144" spans="1:27" s="1308" customFormat="1" ht="21.75" customHeight="1">
      <c r="A144" s="659"/>
      <c r="B144" s="1507" t="s">
        <v>1879</v>
      </c>
      <c r="C144" s="659"/>
      <c r="D144" s="659"/>
      <c r="E144" s="659"/>
      <c r="F144" s="659"/>
      <c r="G144" s="659"/>
      <c r="H144" s="659"/>
      <c r="I144" s="659"/>
      <c r="J144" s="2870"/>
      <c r="K144" s="659"/>
      <c r="L144" s="659"/>
      <c r="M144" s="659"/>
      <c r="N144" s="659"/>
      <c r="O144" s="659"/>
      <c r="P144" s="659"/>
      <c r="Q144" s="659"/>
      <c r="R144" s="659"/>
      <c r="S144" s="659"/>
      <c r="T144" s="659"/>
      <c r="U144" s="659"/>
      <c r="V144" s="659"/>
      <c r="W144" s="659"/>
      <c r="X144" s="659"/>
      <c r="Y144" s="659"/>
      <c r="Z144" s="659"/>
      <c r="AA144" s="659"/>
    </row>
    <row r="145" spans="1:27" s="1308" customFormat="1" ht="21.75" customHeight="1">
      <c r="A145" s="659"/>
      <c r="B145" s="659"/>
      <c r="C145" s="659"/>
      <c r="D145" s="659"/>
      <c r="E145" s="659"/>
      <c r="F145" s="659"/>
      <c r="G145" s="659"/>
      <c r="H145" s="659"/>
      <c r="I145" s="659"/>
      <c r="J145" s="2870"/>
      <c r="K145" s="659"/>
      <c r="L145" s="659"/>
      <c r="M145" s="659"/>
      <c r="N145" s="659"/>
      <c r="O145" s="659"/>
      <c r="P145" s="659"/>
      <c r="Q145" s="659"/>
      <c r="R145" s="659"/>
      <c r="S145" s="659"/>
      <c r="T145" s="659"/>
      <c r="U145" s="659"/>
      <c r="V145" s="659"/>
      <c r="W145" s="659"/>
      <c r="X145" s="659"/>
      <c r="Y145" s="659"/>
      <c r="Z145" s="659"/>
      <c r="AA145" s="659"/>
    </row>
    <row r="146" spans="1:27" s="1308" customFormat="1" ht="21.75" customHeight="1">
      <c r="A146" s="659"/>
      <c r="B146" s="1505"/>
      <c r="C146" s="1505"/>
      <c r="D146" s="1505"/>
      <c r="E146" s="1505"/>
      <c r="F146" s="1505"/>
      <c r="G146" s="1505"/>
      <c r="H146" s="1505"/>
      <c r="I146" s="1506" t="s">
        <v>1880</v>
      </c>
      <c r="J146" s="2871"/>
      <c r="K146" s="659"/>
      <c r="L146" s="659"/>
      <c r="M146" s="659"/>
      <c r="N146" s="659"/>
      <c r="O146" s="659"/>
      <c r="P146" s="659"/>
      <c r="Q146" s="659"/>
      <c r="R146" s="659"/>
      <c r="S146" s="659"/>
      <c r="T146" s="659"/>
      <c r="U146" s="659"/>
      <c r="V146" s="659"/>
      <c r="W146" s="659"/>
      <c r="X146" s="659"/>
      <c r="Y146" s="659"/>
      <c r="Z146" s="659"/>
      <c r="AA146" s="659"/>
    </row>
    <row r="147" spans="1:27" s="1308" customFormat="1" ht="21.75" customHeight="1">
      <c r="A147" s="659"/>
      <c r="B147" s="1507" t="s">
        <v>1881</v>
      </c>
      <c r="C147" s="659"/>
      <c r="D147" s="659"/>
      <c r="E147" s="659"/>
      <c r="F147" s="659"/>
      <c r="G147" s="659"/>
      <c r="H147" s="659"/>
      <c r="I147" s="659"/>
      <c r="J147" s="2870"/>
      <c r="K147" s="659"/>
      <c r="L147" s="659"/>
      <c r="M147" s="659"/>
      <c r="N147" s="659"/>
      <c r="O147" s="659"/>
      <c r="P147" s="659"/>
      <c r="Q147" s="659"/>
      <c r="R147" s="659"/>
      <c r="S147" s="659"/>
      <c r="T147" s="659"/>
      <c r="U147" s="659"/>
      <c r="V147" s="659"/>
      <c r="W147" s="659"/>
      <c r="X147" s="659"/>
      <c r="Y147" s="659"/>
      <c r="Z147" s="659"/>
      <c r="AA147" s="659"/>
    </row>
    <row r="148" spans="1:27" s="1308" customFormat="1" ht="21.75" customHeight="1">
      <c r="A148" s="659"/>
      <c r="B148" s="1507"/>
      <c r="C148" s="659"/>
      <c r="D148" s="659"/>
      <c r="E148" s="659"/>
      <c r="F148" s="659"/>
      <c r="G148" s="659"/>
      <c r="H148" s="659"/>
      <c r="I148" s="659"/>
      <c r="J148" s="2870"/>
      <c r="K148" s="659"/>
      <c r="L148" s="659"/>
      <c r="M148" s="659"/>
      <c r="N148" s="659"/>
      <c r="O148" s="659"/>
      <c r="P148" s="659"/>
      <c r="Q148" s="659"/>
      <c r="R148" s="659"/>
      <c r="S148" s="659"/>
      <c r="T148" s="659"/>
      <c r="U148" s="659"/>
      <c r="V148" s="659"/>
      <c r="W148" s="659"/>
      <c r="X148" s="659"/>
      <c r="Y148" s="659"/>
      <c r="Z148" s="659"/>
      <c r="AA148" s="659"/>
    </row>
    <row r="149" spans="1:27" s="1308" customFormat="1" ht="21.75" customHeight="1">
      <c r="A149" s="659"/>
      <c r="B149" s="1505"/>
      <c r="C149" s="1505"/>
      <c r="D149" s="1505"/>
      <c r="E149" s="1505"/>
      <c r="F149" s="1505"/>
      <c r="G149" s="1505"/>
      <c r="H149" s="1505"/>
      <c r="I149" s="1506" t="s">
        <v>1880</v>
      </c>
      <c r="J149" s="2871"/>
      <c r="K149" s="659"/>
      <c r="L149" s="659"/>
      <c r="M149" s="659"/>
      <c r="N149" s="659"/>
      <c r="O149" s="659"/>
      <c r="P149" s="659"/>
      <c r="Q149" s="659"/>
      <c r="R149" s="659"/>
      <c r="S149" s="659"/>
      <c r="T149" s="659"/>
      <c r="U149" s="659"/>
      <c r="V149" s="659"/>
      <c r="W149" s="659"/>
      <c r="X149" s="659"/>
      <c r="Y149" s="659"/>
      <c r="Z149" s="659"/>
      <c r="AA149" s="659"/>
    </row>
    <row r="150" spans="1:27" s="1308" customFormat="1" ht="21.75" customHeight="1">
      <c r="A150" s="659"/>
      <c r="B150" s="1507"/>
      <c r="C150" s="1508"/>
      <c r="D150" s="1509"/>
      <c r="E150" s="1509"/>
      <c r="F150" s="1510"/>
      <c r="G150" s="659"/>
      <c r="H150" s="659"/>
      <c r="I150" s="659"/>
      <c r="J150" s="2870"/>
      <c r="K150" s="659"/>
      <c r="L150" s="659"/>
      <c r="M150" s="659"/>
      <c r="N150" s="659"/>
      <c r="O150" s="659"/>
      <c r="P150" s="659"/>
      <c r="Q150" s="659"/>
      <c r="R150" s="659"/>
      <c r="S150" s="659"/>
      <c r="T150" s="659"/>
      <c r="U150" s="659"/>
      <c r="V150" s="659"/>
      <c r="W150" s="659"/>
      <c r="X150" s="659"/>
      <c r="Y150" s="659"/>
      <c r="Z150" s="659"/>
      <c r="AA150" s="659"/>
    </row>
    <row r="151" spans="1:27" s="659" customFormat="1" ht="21.75" customHeight="1">
      <c r="B151" s="1507"/>
      <c r="C151" s="1508"/>
      <c r="D151" s="1509"/>
      <c r="E151" s="1509"/>
      <c r="J151" s="2870"/>
    </row>
    <row r="152" spans="1:27" s="659" customFormat="1" ht="21.75" customHeight="1">
      <c r="J152" s="2870"/>
    </row>
    <row r="153" spans="1:27" s="659" customFormat="1" ht="21.75" customHeight="1">
      <c r="J153" s="2870"/>
    </row>
    <row r="154" spans="1:27" s="659" customFormat="1" ht="21.75" customHeight="1">
      <c r="J154" s="2870"/>
    </row>
    <row r="155" spans="1:27" s="659" customFormat="1" ht="21.75" customHeight="1">
      <c r="J155" s="2870"/>
    </row>
    <row r="156" spans="1:27" s="659" customFormat="1" ht="21.75" customHeight="1">
      <c r="J156" s="2870"/>
    </row>
    <row r="157" spans="1:27" s="659" customFormat="1" ht="21.75" customHeight="1">
      <c r="J157" s="2870"/>
    </row>
    <row r="158" spans="1:27" s="659" customFormat="1" ht="21.75" customHeight="1">
      <c r="J158" s="2870"/>
    </row>
    <row r="159" spans="1:27" s="659" customFormat="1" ht="21.75" customHeight="1">
      <c r="J159" s="2870"/>
    </row>
    <row r="160" spans="1:27" s="659" customFormat="1" ht="21.75" customHeight="1">
      <c r="J160" s="2870"/>
    </row>
    <row r="161" spans="10:10" s="659" customFormat="1" ht="21.75" customHeight="1">
      <c r="J161" s="2870"/>
    </row>
    <row r="162" spans="10:10" s="659" customFormat="1" ht="21.75" customHeight="1">
      <c r="J162" s="2870"/>
    </row>
    <row r="163" spans="10:10" s="659" customFormat="1" ht="21.75" customHeight="1">
      <c r="J163" s="2870"/>
    </row>
    <row r="164" spans="10:10" s="659" customFormat="1" ht="21.75" customHeight="1">
      <c r="J164" s="2870"/>
    </row>
    <row r="165" spans="10:10" s="659" customFormat="1" ht="21.75" customHeight="1">
      <c r="J165" s="2870"/>
    </row>
    <row r="166" spans="10:10" s="659" customFormat="1" ht="21.75" customHeight="1">
      <c r="J166" s="2870"/>
    </row>
    <row r="167" spans="10:10" s="659" customFormat="1" ht="21.75" customHeight="1">
      <c r="J167" s="2870"/>
    </row>
    <row r="168" spans="10:10" s="659" customFormat="1" ht="21.75" customHeight="1">
      <c r="J168" s="2870"/>
    </row>
    <row r="169" spans="10:10" s="659" customFormat="1" ht="21.75" customHeight="1">
      <c r="J169" s="2870"/>
    </row>
    <row r="170" spans="10:10" s="659" customFormat="1" ht="21.75" customHeight="1">
      <c r="J170" s="2870"/>
    </row>
    <row r="171" spans="10:10" s="659" customFormat="1" ht="21.75" customHeight="1">
      <c r="J171" s="2870"/>
    </row>
    <row r="172" spans="10:10" s="659" customFormat="1" ht="21.75" customHeight="1">
      <c r="J172" s="2870"/>
    </row>
    <row r="173" spans="10:10" s="659" customFormat="1" ht="21.75" customHeight="1">
      <c r="J173" s="2870"/>
    </row>
    <row r="174" spans="10:10" s="659" customFormat="1" ht="21.75" customHeight="1">
      <c r="J174" s="2870"/>
    </row>
    <row r="175" spans="10:10" s="659" customFormat="1" ht="21.75" customHeight="1">
      <c r="J175" s="2870"/>
    </row>
    <row r="176" spans="10:10" s="659" customFormat="1" ht="21.75" customHeight="1">
      <c r="J176" s="2870"/>
    </row>
    <row r="177" spans="10:10" s="659" customFormat="1" ht="21.75" customHeight="1">
      <c r="J177" s="2870"/>
    </row>
    <row r="178" spans="10:10" s="659" customFormat="1" ht="21.75" customHeight="1">
      <c r="J178" s="2870"/>
    </row>
    <row r="179" spans="10:10" s="659" customFormat="1" ht="21.75" customHeight="1">
      <c r="J179" s="2870"/>
    </row>
    <row r="180" spans="10:10" s="659" customFormat="1" ht="21.75" customHeight="1">
      <c r="J180" s="2870"/>
    </row>
    <row r="181" spans="10:10" s="659" customFormat="1" ht="21.75" customHeight="1">
      <c r="J181" s="2870"/>
    </row>
    <row r="182" spans="10:10" s="659" customFormat="1" ht="21.75" customHeight="1">
      <c r="J182" s="2870"/>
    </row>
    <row r="183" spans="10:10" s="659" customFormat="1" ht="21.75" customHeight="1">
      <c r="J183" s="2870"/>
    </row>
    <row r="184" spans="10:10" s="659" customFormat="1" ht="21.75" customHeight="1">
      <c r="J184" s="2870"/>
    </row>
    <row r="185" spans="10:10" s="659" customFormat="1" ht="21.75" customHeight="1">
      <c r="J185" s="2870"/>
    </row>
    <row r="186" spans="10:10" s="659" customFormat="1" ht="21.75" customHeight="1">
      <c r="J186" s="2870"/>
    </row>
    <row r="187" spans="10:10" s="659" customFormat="1" ht="21.75" customHeight="1">
      <c r="J187" s="2870"/>
    </row>
    <row r="188" spans="10:10" s="659" customFormat="1" ht="21.75" customHeight="1">
      <c r="J188" s="2870"/>
    </row>
    <row r="189" spans="10:10" s="659" customFormat="1" ht="21.75" customHeight="1">
      <c r="J189" s="2870"/>
    </row>
    <row r="190" spans="10:10" s="659" customFormat="1" ht="21.75" customHeight="1">
      <c r="J190" s="2870"/>
    </row>
    <row r="191" spans="10:10" s="659" customFormat="1" ht="21.75" customHeight="1">
      <c r="J191" s="2870"/>
    </row>
    <row r="192" spans="10:10" s="659" customFormat="1" ht="21.75" customHeight="1">
      <c r="J192" s="2870"/>
    </row>
    <row r="193" spans="10:10" s="659" customFormat="1" ht="21.75" customHeight="1">
      <c r="J193" s="2870"/>
    </row>
    <row r="194" spans="10:10" s="659" customFormat="1" ht="21.75" customHeight="1">
      <c r="J194" s="2870"/>
    </row>
    <row r="195" spans="10:10" s="659" customFormat="1" ht="21.75" customHeight="1">
      <c r="J195" s="2870"/>
    </row>
    <row r="196" spans="10:10" s="659" customFormat="1" ht="21.75" customHeight="1">
      <c r="J196" s="2870"/>
    </row>
    <row r="197" spans="10:10" s="659" customFormat="1" ht="21.75" customHeight="1">
      <c r="J197" s="2870"/>
    </row>
    <row r="198" spans="10:10" s="659" customFormat="1" ht="21.75" customHeight="1">
      <c r="J198" s="2870"/>
    </row>
    <row r="199" spans="10:10" s="659" customFormat="1" ht="21.75" customHeight="1">
      <c r="J199" s="2870"/>
    </row>
    <row r="200" spans="10:10" s="659" customFormat="1" ht="21.75" customHeight="1">
      <c r="J200" s="2870"/>
    </row>
    <row r="201" spans="10:10" s="659" customFormat="1" ht="21.75" customHeight="1">
      <c r="J201" s="2870"/>
    </row>
    <row r="202" spans="10:10" s="659" customFormat="1" ht="21.75" customHeight="1">
      <c r="J202" s="2870"/>
    </row>
    <row r="203" spans="10:10" s="659" customFormat="1" ht="21.75" customHeight="1">
      <c r="J203" s="2870"/>
    </row>
    <row r="204" spans="10:10" s="659" customFormat="1" ht="21.75" customHeight="1">
      <c r="J204" s="2870"/>
    </row>
    <row r="205" spans="10:10" s="659" customFormat="1" ht="21.75" customHeight="1">
      <c r="J205" s="2870"/>
    </row>
    <row r="206" spans="10:10" s="659" customFormat="1" ht="21.75" customHeight="1">
      <c r="J206" s="2870"/>
    </row>
    <row r="207" spans="10:10" s="659" customFormat="1" ht="21.75" customHeight="1">
      <c r="J207" s="2870"/>
    </row>
    <row r="208" spans="10:10" s="659" customFormat="1" ht="21.75" customHeight="1">
      <c r="J208" s="2870"/>
    </row>
    <row r="209" spans="10:10" s="659" customFormat="1" ht="21.75" customHeight="1">
      <c r="J209" s="2870"/>
    </row>
    <row r="210" spans="10:10" s="659" customFormat="1" ht="21.75" customHeight="1">
      <c r="J210" s="2870"/>
    </row>
    <row r="211" spans="10:10" s="659" customFormat="1" ht="21.75" customHeight="1">
      <c r="J211" s="2870"/>
    </row>
    <row r="212" spans="10:10" s="659" customFormat="1" ht="21.75" customHeight="1">
      <c r="J212" s="2870"/>
    </row>
    <row r="213" spans="10:10" s="659" customFormat="1" ht="21.75" customHeight="1">
      <c r="J213" s="2870"/>
    </row>
    <row r="214" spans="10:10" s="659" customFormat="1" ht="21.75" customHeight="1">
      <c r="J214" s="2870"/>
    </row>
    <row r="215" spans="10:10" s="659" customFormat="1" ht="21.75" customHeight="1">
      <c r="J215" s="2870"/>
    </row>
    <row r="216" spans="10:10" s="659" customFormat="1" ht="21.75" customHeight="1">
      <c r="J216" s="2870"/>
    </row>
    <row r="217" spans="10:10" s="659" customFormat="1" ht="21.75" customHeight="1">
      <c r="J217" s="2870"/>
    </row>
    <row r="218" spans="10:10" s="659" customFormat="1" ht="21.75" customHeight="1">
      <c r="J218" s="2870"/>
    </row>
    <row r="219" spans="10:10" s="659" customFormat="1" ht="21.75" customHeight="1">
      <c r="J219" s="2870"/>
    </row>
    <row r="220" spans="10:10" s="659" customFormat="1" ht="21.75" customHeight="1">
      <c r="J220" s="2870"/>
    </row>
    <row r="221" spans="10:10" s="659" customFormat="1" ht="21.75" customHeight="1">
      <c r="J221" s="2870"/>
    </row>
    <row r="222" spans="10:10" s="659" customFormat="1" ht="21.75" customHeight="1">
      <c r="J222" s="2870"/>
    </row>
    <row r="223" spans="10:10" s="659" customFormat="1" ht="21.75" customHeight="1">
      <c r="J223" s="2870"/>
    </row>
    <row r="224" spans="10:10" s="659" customFormat="1" ht="21.75" customHeight="1">
      <c r="J224" s="2870"/>
    </row>
    <row r="225" spans="10:10" s="659" customFormat="1" ht="21.75" customHeight="1">
      <c r="J225" s="2870"/>
    </row>
    <row r="226" spans="10:10" s="659" customFormat="1" ht="21.75" customHeight="1">
      <c r="J226" s="2870"/>
    </row>
    <row r="227" spans="10:10" s="659" customFormat="1" ht="21.75" customHeight="1">
      <c r="J227" s="2870"/>
    </row>
    <row r="228" spans="10:10" s="659" customFormat="1" ht="21.75" customHeight="1">
      <c r="J228" s="2870"/>
    </row>
    <row r="229" spans="10:10" s="659" customFormat="1" ht="21.75" customHeight="1">
      <c r="J229" s="2870"/>
    </row>
    <row r="230" spans="10:10" s="659" customFormat="1" ht="21.75" customHeight="1">
      <c r="J230" s="2870"/>
    </row>
    <row r="231" spans="10:10" s="659" customFormat="1" ht="21.75" customHeight="1">
      <c r="J231" s="2870"/>
    </row>
    <row r="232" spans="10:10" s="659" customFormat="1" ht="21.75" customHeight="1">
      <c r="J232" s="2870"/>
    </row>
    <row r="233" spans="10:10" s="659" customFormat="1" ht="21.75" customHeight="1">
      <c r="J233" s="2870"/>
    </row>
    <row r="234" spans="10:10" s="659" customFormat="1" ht="21.75" customHeight="1">
      <c r="J234" s="2870"/>
    </row>
    <row r="235" spans="10:10" s="659" customFormat="1" ht="21.75" customHeight="1">
      <c r="J235" s="2870"/>
    </row>
    <row r="236" spans="10:10" s="659" customFormat="1" ht="21.75" customHeight="1">
      <c r="J236" s="2870"/>
    </row>
    <row r="237" spans="10:10" s="659" customFormat="1" ht="21.75" customHeight="1">
      <c r="J237" s="2870"/>
    </row>
    <row r="238" spans="10:10" s="659" customFormat="1" ht="21.75" customHeight="1">
      <c r="J238" s="2870"/>
    </row>
    <row r="239" spans="10:10" s="659" customFormat="1" ht="21.75" customHeight="1">
      <c r="J239" s="2870"/>
    </row>
    <row r="240" spans="10:10" s="659" customFormat="1" ht="21.75" customHeight="1">
      <c r="J240" s="2870"/>
    </row>
    <row r="241" spans="10:10" s="659" customFormat="1" ht="21.75" customHeight="1">
      <c r="J241" s="2870"/>
    </row>
    <row r="242" spans="10:10" s="659" customFormat="1" ht="21.75" customHeight="1">
      <c r="J242" s="2870"/>
    </row>
    <row r="243" spans="10:10" s="659" customFormat="1" ht="21.75" customHeight="1">
      <c r="J243" s="2870"/>
    </row>
    <row r="244" spans="10:10" s="659" customFormat="1" ht="21.75" customHeight="1">
      <c r="J244" s="2870"/>
    </row>
    <row r="245" spans="10:10" s="659" customFormat="1" ht="21.75" customHeight="1">
      <c r="J245" s="2870"/>
    </row>
    <row r="246" spans="10:10" s="659" customFormat="1" ht="21.75" customHeight="1">
      <c r="J246" s="2870"/>
    </row>
    <row r="247" spans="10:10" s="659" customFormat="1" ht="21.75" customHeight="1">
      <c r="J247" s="2870"/>
    </row>
    <row r="248" spans="10:10" s="659" customFormat="1" ht="21.75" customHeight="1">
      <c r="J248" s="2870"/>
    </row>
    <row r="249" spans="10:10" s="659" customFormat="1" ht="21.75" customHeight="1">
      <c r="J249" s="2870"/>
    </row>
    <row r="250" spans="10:10" s="659" customFormat="1" ht="21.75" customHeight="1">
      <c r="J250" s="2870"/>
    </row>
    <row r="251" spans="10:10" s="659" customFormat="1" ht="21.75" customHeight="1">
      <c r="J251" s="2870"/>
    </row>
    <row r="252" spans="10:10" s="659" customFormat="1" ht="21.75" customHeight="1">
      <c r="J252" s="2870"/>
    </row>
    <row r="253" spans="10:10" s="659" customFormat="1" ht="21.75" customHeight="1">
      <c r="J253" s="2870"/>
    </row>
    <row r="254" spans="10:10" s="659" customFormat="1" ht="21.75" customHeight="1">
      <c r="J254" s="2870"/>
    </row>
    <row r="255" spans="10:10" s="659" customFormat="1" ht="21.75" customHeight="1">
      <c r="J255" s="2870"/>
    </row>
    <row r="256" spans="10:10" s="659" customFormat="1" ht="21.75" customHeight="1">
      <c r="J256" s="2870"/>
    </row>
    <row r="257" spans="10:10" s="659" customFormat="1" ht="21.75" customHeight="1">
      <c r="J257" s="2870"/>
    </row>
    <row r="258" spans="10:10" s="659" customFormat="1" ht="21.75" customHeight="1">
      <c r="J258" s="2870"/>
    </row>
    <row r="259" spans="10:10" s="659" customFormat="1" ht="21.75" customHeight="1">
      <c r="J259" s="2870"/>
    </row>
    <row r="260" spans="10:10" s="659" customFormat="1" ht="21.75" customHeight="1">
      <c r="J260" s="2870"/>
    </row>
    <row r="261" spans="10:10" s="659" customFormat="1" ht="21.75" customHeight="1">
      <c r="J261" s="2870"/>
    </row>
    <row r="262" spans="10:10" s="659" customFormat="1" ht="21.75" customHeight="1">
      <c r="J262" s="2870"/>
    </row>
    <row r="263" spans="10:10" s="659" customFormat="1" ht="21.75" customHeight="1">
      <c r="J263" s="2870"/>
    </row>
    <row r="264" spans="10:10" s="659" customFormat="1" ht="21.75" customHeight="1">
      <c r="J264" s="2870"/>
    </row>
    <row r="265" spans="10:10" s="659" customFormat="1" ht="21.75" customHeight="1">
      <c r="J265" s="2870"/>
    </row>
    <row r="266" spans="10:10" s="659" customFormat="1" ht="21.75" customHeight="1">
      <c r="J266" s="2870"/>
    </row>
    <row r="267" spans="10:10" s="659" customFormat="1" ht="21.75" customHeight="1">
      <c r="J267" s="2870"/>
    </row>
    <row r="268" spans="10:10" s="659" customFormat="1" ht="21.75" customHeight="1">
      <c r="J268" s="2870"/>
    </row>
    <row r="269" spans="10:10" s="659" customFormat="1" ht="21.75" customHeight="1">
      <c r="J269" s="2870"/>
    </row>
    <row r="270" spans="10:10" s="659" customFormat="1" ht="21.75" customHeight="1">
      <c r="J270" s="2870"/>
    </row>
    <row r="271" spans="10:10" s="659" customFormat="1" ht="21.75" customHeight="1">
      <c r="J271" s="2870"/>
    </row>
    <row r="272" spans="10:10" s="659" customFormat="1" ht="21.75" customHeight="1">
      <c r="J272" s="2870"/>
    </row>
    <row r="273" spans="10:10" s="659" customFormat="1" ht="21.75" customHeight="1">
      <c r="J273" s="2870"/>
    </row>
    <row r="274" spans="10:10" s="659" customFormat="1" ht="21.75" customHeight="1">
      <c r="J274" s="2870"/>
    </row>
    <row r="275" spans="10:10" s="659" customFormat="1" ht="21.75" customHeight="1">
      <c r="J275" s="2870"/>
    </row>
    <row r="276" spans="10:10" s="659" customFormat="1" ht="21.75" customHeight="1">
      <c r="J276" s="2870"/>
    </row>
    <row r="277" spans="10:10" s="659" customFormat="1" ht="21.75" customHeight="1">
      <c r="J277" s="2870"/>
    </row>
    <row r="278" spans="10:10" s="659" customFormat="1" ht="21.75" customHeight="1">
      <c r="J278" s="2870"/>
    </row>
    <row r="279" spans="10:10" s="659" customFormat="1" ht="21.75" customHeight="1">
      <c r="J279" s="2870"/>
    </row>
    <row r="280" spans="10:10" s="659" customFormat="1" ht="21.75" customHeight="1">
      <c r="J280" s="2870"/>
    </row>
    <row r="281" spans="10:10" s="659" customFormat="1" ht="21.75" customHeight="1">
      <c r="J281" s="2870"/>
    </row>
    <row r="282" spans="10:10" s="659" customFormat="1" ht="21.75" customHeight="1">
      <c r="J282" s="2870"/>
    </row>
    <row r="283" spans="10:10" s="659" customFormat="1" ht="21.75" customHeight="1">
      <c r="J283" s="2870"/>
    </row>
    <row r="284" spans="10:10" s="659" customFormat="1" ht="21.75" customHeight="1">
      <c r="J284" s="2870"/>
    </row>
    <row r="285" spans="10:10" s="659" customFormat="1" ht="21.75" customHeight="1">
      <c r="J285" s="2870"/>
    </row>
    <row r="286" spans="10:10" s="659" customFormat="1" ht="21.75" customHeight="1">
      <c r="J286" s="2870"/>
    </row>
    <row r="287" spans="10:10" s="659" customFormat="1" ht="21.75" customHeight="1">
      <c r="J287" s="2870"/>
    </row>
    <row r="288" spans="10:10" s="659" customFormat="1" ht="21.75" customHeight="1">
      <c r="J288" s="2870"/>
    </row>
    <row r="289" spans="10:10" s="659" customFormat="1" ht="21.75" customHeight="1">
      <c r="J289" s="2870"/>
    </row>
    <row r="290" spans="10:10" s="659" customFormat="1" ht="21.75" customHeight="1">
      <c r="J290" s="2870"/>
    </row>
    <row r="291" spans="10:10" s="659" customFormat="1" ht="21.75" customHeight="1">
      <c r="J291" s="2870"/>
    </row>
    <row r="292" spans="10:10" s="659" customFormat="1" ht="21.75" customHeight="1">
      <c r="J292" s="2870"/>
    </row>
    <row r="293" spans="10:10" s="659" customFormat="1" ht="21.75" customHeight="1">
      <c r="J293" s="2870"/>
    </row>
    <row r="294" spans="10:10" s="659" customFormat="1" ht="21.75" customHeight="1">
      <c r="J294" s="2870"/>
    </row>
    <row r="295" spans="10:10" s="659" customFormat="1" ht="21.75" customHeight="1">
      <c r="J295" s="2870"/>
    </row>
    <row r="296" spans="10:10" s="659" customFormat="1" ht="21.75" customHeight="1">
      <c r="J296" s="2870"/>
    </row>
    <row r="297" spans="10:10" s="659" customFormat="1" ht="21.75" customHeight="1">
      <c r="J297" s="2870"/>
    </row>
    <row r="298" spans="10:10" s="659" customFormat="1" ht="21.75" customHeight="1">
      <c r="J298" s="2870"/>
    </row>
    <row r="299" spans="10:10" s="659" customFormat="1" ht="21.75" customHeight="1">
      <c r="J299" s="2870"/>
    </row>
    <row r="300" spans="10:10" s="659" customFormat="1" ht="21.75" customHeight="1">
      <c r="J300" s="2870"/>
    </row>
    <row r="301" spans="10:10" s="659" customFormat="1" ht="21.75" customHeight="1">
      <c r="J301" s="2870"/>
    </row>
    <row r="302" spans="10:10" s="659" customFormat="1" ht="21.75" customHeight="1">
      <c r="J302" s="2870"/>
    </row>
    <row r="303" spans="10:10" s="659" customFormat="1" ht="21.75" customHeight="1">
      <c r="J303" s="2870"/>
    </row>
    <row r="304" spans="10:10" s="659" customFormat="1" ht="21.75" customHeight="1">
      <c r="J304" s="2870"/>
    </row>
    <row r="305" spans="10:10" s="659" customFormat="1" ht="21.75" customHeight="1">
      <c r="J305" s="2870"/>
    </row>
    <row r="306" spans="10:10" s="659" customFormat="1" ht="21.75" customHeight="1">
      <c r="J306" s="2870"/>
    </row>
    <row r="307" spans="10:10" s="659" customFormat="1" ht="21.75" customHeight="1">
      <c r="J307" s="2870"/>
    </row>
    <row r="308" spans="10:10" s="659" customFormat="1" ht="21.75" customHeight="1">
      <c r="J308" s="2870"/>
    </row>
    <row r="309" spans="10:10" s="659" customFormat="1" ht="21.75" customHeight="1">
      <c r="J309" s="2870"/>
    </row>
    <row r="310" spans="10:10" s="659" customFormat="1" ht="21.75" customHeight="1">
      <c r="J310" s="2870"/>
    </row>
    <row r="311" spans="10:10" s="659" customFormat="1" ht="21.75" customHeight="1">
      <c r="J311" s="2870"/>
    </row>
    <row r="312" spans="10:10" s="659" customFormat="1" ht="21.75" customHeight="1">
      <c r="J312" s="2870"/>
    </row>
    <row r="313" spans="10:10" s="659" customFormat="1" ht="21.75" customHeight="1">
      <c r="J313" s="2870"/>
    </row>
    <row r="314" spans="10:10" s="659" customFormat="1" ht="21.75" customHeight="1">
      <c r="J314" s="2870"/>
    </row>
    <row r="315" spans="10:10" s="659" customFormat="1" ht="21.75" customHeight="1">
      <c r="J315" s="2870"/>
    </row>
    <row r="316" spans="10:10" s="659" customFormat="1" ht="21.75" customHeight="1">
      <c r="J316" s="2870"/>
    </row>
    <row r="317" spans="10:10" s="659" customFormat="1" ht="21.75" customHeight="1">
      <c r="J317" s="2870"/>
    </row>
    <row r="318" spans="10:10" s="659" customFormat="1" ht="21.75" customHeight="1">
      <c r="J318" s="2870"/>
    </row>
    <row r="319" spans="10:10" s="659" customFormat="1" ht="21.75" customHeight="1">
      <c r="J319" s="2870"/>
    </row>
    <row r="320" spans="10:10" s="659" customFormat="1" ht="21.75" customHeight="1">
      <c r="J320" s="2870"/>
    </row>
    <row r="321" spans="10:10" s="659" customFormat="1" ht="21.75" customHeight="1">
      <c r="J321" s="2870"/>
    </row>
    <row r="322" spans="10:10" s="659" customFormat="1" ht="21.75" customHeight="1">
      <c r="J322" s="2870"/>
    </row>
    <row r="323" spans="10:10" s="659" customFormat="1" ht="21.75" customHeight="1">
      <c r="J323" s="2870"/>
    </row>
    <row r="324" spans="10:10" s="659" customFormat="1" ht="21.75" customHeight="1">
      <c r="J324" s="2870"/>
    </row>
    <row r="325" spans="10:10" s="659" customFormat="1" ht="21.75" customHeight="1">
      <c r="J325" s="2870"/>
    </row>
    <row r="326" spans="10:10" s="659" customFormat="1" ht="21.75" customHeight="1">
      <c r="J326" s="2870"/>
    </row>
    <row r="327" spans="10:10" s="659" customFormat="1" ht="21.75" customHeight="1">
      <c r="J327" s="2870"/>
    </row>
    <row r="328" spans="10:10" s="659" customFormat="1" ht="21.75" customHeight="1">
      <c r="J328" s="2870"/>
    </row>
    <row r="329" spans="10:10" s="659" customFormat="1" ht="21.75" customHeight="1">
      <c r="J329" s="2870"/>
    </row>
    <row r="330" spans="10:10" s="659" customFormat="1" ht="21.75" customHeight="1">
      <c r="J330" s="2870"/>
    </row>
    <row r="331" spans="10:10" s="659" customFormat="1" ht="21.75" customHeight="1">
      <c r="J331" s="2870"/>
    </row>
    <row r="332" spans="10:10" s="659" customFormat="1" ht="21.75" customHeight="1">
      <c r="J332" s="2870"/>
    </row>
    <row r="333" spans="10:10" s="659" customFormat="1" ht="21.75" customHeight="1">
      <c r="J333" s="2870"/>
    </row>
    <row r="334" spans="10:10" s="659" customFormat="1" ht="21.75" customHeight="1">
      <c r="J334" s="2870"/>
    </row>
    <row r="335" spans="10:10" s="659" customFormat="1" ht="21.75" customHeight="1">
      <c r="J335" s="2870"/>
    </row>
    <row r="336" spans="10:10" s="659" customFormat="1" ht="21.75" customHeight="1">
      <c r="J336" s="2870"/>
    </row>
    <row r="337" spans="10:10" s="659" customFormat="1" ht="21.75" customHeight="1">
      <c r="J337" s="2870"/>
    </row>
    <row r="338" spans="10:10" s="659" customFormat="1" ht="21.75" customHeight="1">
      <c r="J338" s="2870"/>
    </row>
    <row r="339" spans="10:10" s="659" customFormat="1" ht="21.75" customHeight="1">
      <c r="J339" s="2870"/>
    </row>
    <row r="340" spans="10:10" s="659" customFormat="1" ht="21.75" customHeight="1">
      <c r="J340" s="2870"/>
    </row>
    <row r="341" spans="10:10" s="659" customFormat="1" ht="21.75" customHeight="1">
      <c r="J341" s="2870"/>
    </row>
    <row r="342" spans="10:10" s="659" customFormat="1" ht="21.75" customHeight="1">
      <c r="J342" s="2870"/>
    </row>
    <row r="343" spans="10:10" s="659" customFormat="1" ht="21.75" customHeight="1">
      <c r="J343" s="2870"/>
    </row>
    <row r="344" spans="10:10" s="659" customFormat="1" ht="21.75" customHeight="1">
      <c r="J344" s="2870"/>
    </row>
    <row r="345" spans="10:10" s="659" customFormat="1" ht="21.75" customHeight="1">
      <c r="J345" s="2870"/>
    </row>
    <row r="346" spans="10:10" s="659" customFormat="1" ht="21.75" customHeight="1">
      <c r="J346" s="2870"/>
    </row>
    <row r="347" spans="10:10" s="659" customFormat="1" ht="21.75" customHeight="1">
      <c r="J347" s="2870"/>
    </row>
    <row r="348" spans="10:10" s="659" customFormat="1" ht="21.75" customHeight="1">
      <c r="J348" s="2870"/>
    </row>
    <row r="349" spans="10:10" s="659" customFormat="1" ht="21.75" customHeight="1">
      <c r="J349" s="2870"/>
    </row>
    <row r="350" spans="10:10" s="659" customFormat="1" ht="21.75" customHeight="1">
      <c r="J350" s="2870"/>
    </row>
    <row r="351" spans="10:10" s="659" customFormat="1" ht="21.75" customHeight="1">
      <c r="J351" s="2870"/>
    </row>
    <row r="352" spans="10:10" s="659" customFormat="1" ht="21.75" customHeight="1">
      <c r="J352" s="2870"/>
    </row>
    <row r="353" spans="10:10" s="659" customFormat="1" ht="21.75" customHeight="1">
      <c r="J353" s="2870"/>
    </row>
    <row r="354" spans="10:10" s="659" customFormat="1" ht="21.75" customHeight="1">
      <c r="J354" s="2870"/>
    </row>
    <row r="355" spans="10:10" s="659" customFormat="1" ht="21.75" customHeight="1">
      <c r="J355" s="2870"/>
    </row>
    <row r="356" spans="10:10" s="659" customFormat="1" ht="21.75" customHeight="1">
      <c r="J356" s="2870"/>
    </row>
    <row r="357" spans="10:10" s="659" customFormat="1" ht="21.75" customHeight="1">
      <c r="J357" s="2870"/>
    </row>
    <row r="358" spans="10:10" s="659" customFormat="1" ht="21.75" customHeight="1">
      <c r="J358" s="2870"/>
    </row>
    <row r="359" spans="10:10" s="659" customFormat="1" ht="21.75" customHeight="1">
      <c r="J359" s="2870"/>
    </row>
    <row r="360" spans="10:10" s="659" customFormat="1" ht="21.75" customHeight="1">
      <c r="J360" s="2870"/>
    </row>
    <row r="361" spans="10:10" s="659" customFormat="1" ht="21.75" customHeight="1">
      <c r="J361" s="2870"/>
    </row>
    <row r="362" spans="10:10" s="659" customFormat="1" ht="21.75" customHeight="1">
      <c r="J362" s="2870"/>
    </row>
    <row r="363" spans="10:10" s="659" customFormat="1" ht="21.75" customHeight="1">
      <c r="J363" s="2870"/>
    </row>
    <row r="364" spans="10:10" s="659" customFormat="1" ht="21.75" customHeight="1">
      <c r="J364" s="2870"/>
    </row>
    <row r="365" spans="10:10" s="659" customFormat="1" ht="21.75" customHeight="1">
      <c r="J365" s="2870"/>
    </row>
    <row r="366" spans="10:10" s="659" customFormat="1" ht="21.75" customHeight="1">
      <c r="J366" s="2870"/>
    </row>
    <row r="367" spans="10:10" s="659" customFormat="1" ht="21.75" customHeight="1">
      <c r="J367" s="2870"/>
    </row>
    <row r="368" spans="10:10" s="659" customFormat="1" ht="21.75" customHeight="1">
      <c r="J368" s="2870"/>
    </row>
    <row r="369" spans="10:27" s="659" customFormat="1" ht="21.75" customHeight="1">
      <c r="J369" s="2870"/>
    </row>
    <row r="370" spans="10:27" s="659" customFormat="1" ht="21.75" customHeight="1">
      <c r="J370" s="2870"/>
    </row>
    <row r="371" spans="10:27" s="659" customFormat="1" ht="21.75" customHeight="1">
      <c r="J371" s="2870"/>
    </row>
    <row r="372" spans="10:27" s="659" customFormat="1" ht="21.75" customHeight="1">
      <c r="J372" s="2870"/>
    </row>
    <row r="373" spans="10:27" s="659" customFormat="1" ht="21.75" customHeight="1">
      <c r="J373" s="2870"/>
    </row>
    <row r="374" spans="10:27" s="659" customFormat="1" ht="21.75" customHeight="1">
      <c r="J374" s="2870"/>
    </row>
    <row r="375" spans="10:27" s="659" customFormat="1" ht="21.75" customHeight="1">
      <c r="J375" s="2870"/>
    </row>
    <row r="376" spans="10:27" s="659" customFormat="1" ht="21.75" customHeight="1">
      <c r="J376" s="2870"/>
    </row>
    <row r="377" spans="10:27" s="659" customFormat="1" ht="21.75" customHeight="1">
      <c r="J377" s="2870"/>
    </row>
    <row r="378" spans="10:27" s="659" customFormat="1" ht="21.75" customHeight="1">
      <c r="J378" s="2870"/>
    </row>
    <row r="379" spans="10:27" s="659" customFormat="1" ht="21.75" customHeight="1">
      <c r="J379" s="2870"/>
    </row>
    <row r="380" spans="10:27" s="659" customFormat="1" ht="21.75" customHeight="1">
      <c r="J380" s="2870"/>
    </row>
    <row r="381" spans="10:27" s="659" customFormat="1" ht="21.75" customHeight="1">
      <c r="J381" s="2870"/>
    </row>
    <row r="382" spans="10:27" s="659" customFormat="1" ht="21.75" customHeight="1">
      <c r="J382" s="2870"/>
    </row>
    <row r="383" spans="10:27" s="1308" customFormat="1" ht="21.75" customHeight="1">
      <c r="J383" s="2840"/>
      <c r="K383" s="659"/>
      <c r="L383" s="659"/>
      <c r="M383" s="659"/>
      <c r="N383" s="659"/>
      <c r="O383" s="659"/>
      <c r="P383" s="659"/>
      <c r="Q383" s="659"/>
      <c r="R383" s="659"/>
      <c r="S383" s="659"/>
      <c r="T383" s="659"/>
      <c r="U383" s="659"/>
      <c r="V383" s="659"/>
      <c r="W383" s="659"/>
      <c r="X383" s="659"/>
      <c r="Y383" s="659"/>
      <c r="Z383" s="659"/>
      <c r="AA383" s="659"/>
    </row>
    <row r="384" spans="10:27" s="1308" customFormat="1" ht="21.75" customHeight="1">
      <c r="J384" s="2840"/>
      <c r="K384" s="659"/>
      <c r="L384" s="659"/>
      <c r="M384" s="659"/>
      <c r="N384" s="659"/>
      <c r="O384" s="659"/>
      <c r="P384" s="659"/>
      <c r="Q384" s="659"/>
      <c r="R384" s="659"/>
      <c r="S384" s="659"/>
      <c r="T384" s="659"/>
      <c r="U384" s="659"/>
      <c r="V384" s="659"/>
      <c r="W384" s="659"/>
      <c r="X384" s="659"/>
      <c r="Y384" s="659"/>
      <c r="Z384" s="659"/>
      <c r="AA384" s="659"/>
    </row>
    <row r="385" spans="10:27" s="1308" customFormat="1" ht="21.75" customHeight="1">
      <c r="J385" s="2840"/>
      <c r="K385" s="659"/>
      <c r="L385" s="659"/>
      <c r="M385" s="659"/>
      <c r="N385" s="659"/>
      <c r="O385" s="659"/>
      <c r="P385" s="659"/>
      <c r="Q385" s="659"/>
      <c r="R385" s="659"/>
      <c r="S385" s="659"/>
      <c r="T385" s="659"/>
      <c r="U385" s="659"/>
      <c r="V385" s="659"/>
      <c r="W385" s="659"/>
      <c r="X385" s="659"/>
      <c r="Y385" s="659"/>
      <c r="Z385" s="659"/>
      <c r="AA385" s="659"/>
    </row>
    <row r="386" spans="10:27" s="1308" customFormat="1" ht="21.75" customHeight="1">
      <c r="J386" s="2840"/>
      <c r="K386" s="659"/>
      <c r="L386" s="659"/>
      <c r="M386" s="659"/>
      <c r="N386" s="659"/>
      <c r="O386" s="659"/>
      <c r="P386" s="659"/>
      <c r="Q386" s="659"/>
      <c r="R386" s="659"/>
      <c r="S386" s="659"/>
      <c r="T386" s="659"/>
      <c r="U386" s="659"/>
      <c r="V386" s="659"/>
      <c r="W386" s="659"/>
      <c r="X386" s="659"/>
      <c r="Y386" s="659"/>
      <c r="Z386" s="659"/>
      <c r="AA386" s="659"/>
    </row>
    <row r="387" spans="10:27" s="1308" customFormat="1" ht="21.75" customHeight="1">
      <c r="J387" s="2840"/>
      <c r="K387" s="659"/>
      <c r="L387" s="659"/>
      <c r="M387" s="659"/>
      <c r="N387" s="659"/>
      <c r="O387" s="659"/>
      <c r="P387" s="659"/>
      <c r="Q387" s="659"/>
      <c r="R387" s="659"/>
      <c r="S387" s="659"/>
      <c r="T387" s="659"/>
      <c r="U387" s="659"/>
      <c r="V387" s="659"/>
      <c r="W387" s="659"/>
      <c r="X387" s="659"/>
      <c r="Y387" s="659"/>
      <c r="Z387" s="659"/>
      <c r="AA387" s="659"/>
    </row>
    <row r="388" spans="10:27" s="1308" customFormat="1" ht="21.75" customHeight="1">
      <c r="J388" s="2840"/>
      <c r="K388" s="659"/>
      <c r="L388" s="659"/>
      <c r="M388" s="659"/>
      <c r="N388" s="659"/>
      <c r="O388" s="659"/>
      <c r="P388" s="659"/>
      <c r="Q388" s="659"/>
      <c r="R388" s="659"/>
      <c r="S388" s="659"/>
      <c r="T388" s="659"/>
      <c r="U388" s="659"/>
      <c r="V388" s="659"/>
      <c r="W388" s="659"/>
      <c r="X388" s="659"/>
      <c r="Y388" s="659"/>
      <c r="Z388" s="659"/>
      <c r="AA388" s="659"/>
    </row>
    <row r="389" spans="10:27" s="1308" customFormat="1" ht="21.75" customHeight="1">
      <c r="J389" s="2840"/>
      <c r="K389" s="659"/>
      <c r="L389" s="659"/>
      <c r="M389" s="659"/>
      <c r="N389" s="659"/>
      <c r="O389" s="659"/>
      <c r="P389" s="659"/>
      <c r="Q389" s="659"/>
      <c r="R389" s="659"/>
      <c r="S389" s="659"/>
      <c r="T389" s="659"/>
      <c r="U389" s="659"/>
      <c r="V389" s="659"/>
      <c r="W389" s="659"/>
      <c r="X389" s="659"/>
      <c r="Y389" s="659"/>
      <c r="Z389" s="659"/>
      <c r="AA389" s="659"/>
    </row>
    <row r="390" spans="10:27" s="1308" customFormat="1" ht="21.75" customHeight="1">
      <c r="J390" s="2840"/>
      <c r="K390" s="659"/>
      <c r="L390" s="659"/>
      <c r="M390" s="659"/>
      <c r="N390" s="659"/>
      <c r="O390" s="659"/>
      <c r="P390" s="659"/>
      <c r="Q390" s="659"/>
      <c r="R390" s="659"/>
      <c r="S390" s="659"/>
      <c r="T390" s="659"/>
      <c r="U390" s="659"/>
      <c r="V390" s="659"/>
      <c r="W390" s="659"/>
      <c r="X390" s="659"/>
      <c r="Y390" s="659"/>
      <c r="Z390" s="659"/>
      <c r="AA390" s="659"/>
    </row>
    <row r="391" spans="10:27" s="1308" customFormat="1" ht="21.75" customHeight="1">
      <c r="J391" s="2840"/>
      <c r="K391" s="659"/>
      <c r="L391" s="659"/>
      <c r="M391" s="659"/>
      <c r="N391" s="659"/>
      <c r="O391" s="659"/>
      <c r="P391" s="659"/>
      <c r="Q391" s="659"/>
      <c r="R391" s="659"/>
      <c r="S391" s="659"/>
      <c r="T391" s="659"/>
      <c r="U391" s="659"/>
      <c r="V391" s="659"/>
      <c r="W391" s="659"/>
      <c r="X391" s="659"/>
      <c r="Y391" s="659"/>
      <c r="Z391" s="659"/>
      <c r="AA391" s="659"/>
    </row>
    <row r="392" spans="10:27" s="1308" customFormat="1" ht="21.75" customHeight="1">
      <c r="J392" s="2840"/>
      <c r="K392" s="659"/>
      <c r="L392" s="659"/>
      <c r="M392" s="659"/>
      <c r="N392" s="659"/>
      <c r="O392" s="659"/>
      <c r="P392" s="659"/>
      <c r="Q392" s="659"/>
      <c r="R392" s="659"/>
      <c r="S392" s="659"/>
      <c r="T392" s="659"/>
      <c r="U392" s="659"/>
      <c r="V392" s="659"/>
      <c r="W392" s="659"/>
      <c r="X392" s="659"/>
      <c r="Y392" s="659"/>
      <c r="Z392" s="659"/>
      <c r="AA392" s="659"/>
    </row>
    <row r="393" spans="10:27" s="1308" customFormat="1" ht="21.75" customHeight="1">
      <c r="J393" s="2840"/>
      <c r="K393" s="659"/>
      <c r="L393" s="659"/>
      <c r="M393" s="659"/>
      <c r="N393" s="659"/>
      <c r="O393" s="659"/>
      <c r="P393" s="659"/>
      <c r="Q393" s="659"/>
      <c r="R393" s="659"/>
      <c r="S393" s="659"/>
      <c r="T393" s="659"/>
      <c r="U393" s="659"/>
      <c r="V393" s="659"/>
      <c r="W393" s="659"/>
      <c r="X393" s="659"/>
      <c r="Y393" s="659"/>
      <c r="Z393" s="659"/>
      <c r="AA393" s="659"/>
    </row>
    <row r="394" spans="10:27" s="1308" customFormat="1" ht="21.75" customHeight="1">
      <c r="J394" s="2840"/>
      <c r="K394" s="659"/>
      <c r="L394" s="659"/>
      <c r="M394" s="659"/>
      <c r="N394" s="659"/>
      <c r="O394" s="659"/>
      <c r="P394" s="659"/>
      <c r="Q394" s="659"/>
      <c r="R394" s="659"/>
      <c r="S394" s="659"/>
      <c r="T394" s="659"/>
      <c r="U394" s="659"/>
      <c r="V394" s="659"/>
      <c r="W394" s="659"/>
      <c r="X394" s="659"/>
      <c r="Y394" s="659"/>
      <c r="Z394" s="659"/>
      <c r="AA394" s="659"/>
    </row>
    <row r="395" spans="10:27" s="1308" customFormat="1" ht="21.75" customHeight="1">
      <c r="J395" s="2840"/>
      <c r="K395" s="659"/>
      <c r="L395" s="659"/>
      <c r="M395" s="659"/>
      <c r="N395" s="659"/>
      <c r="O395" s="659"/>
      <c r="P395" s="659"/>
      <c r="Q395" s="659"/>
      <c r="R395" s="659"/>
      <c r="S395" s="659"/>
      <c r="T395" s="659"/>
      <c r="U395" s="659"/>
      <c r="V395" s="659"/>
      <c r="W395" s="659"/>
      <c r="X395" s="659"/>
      <c r="Y395" s="659"/>
      <c r="Z395" s="659"/>
      <c r="AA395" s="659"/>
    </row>
    <row r="396" spans="10:27" s="1308" customFormat="1" ht="21.75" customHeight="1">
      <c r="J396" s="2840"/>
      <c r="K396" s="659"/>
      <c r="L396" s="659"/>
      <c r="M396" s="659"/>
      <c r="N396" s="659"/>
      <c r="O396" s="659"/>
      <c r="P396" s="659"/>
      <c r="Q396" s="659"/>
      <c r="R396" s="659"/>
      <c r="S396" s="659"/>
      <c r="T396" s="659"/>
      <c r="U396" s="659"/>
      <c r="V396" s="659"/>
      <c r="W396" s="659"/>
      <c r="X396" s="659"/>
      <c r="Y396" s="659"/>
      <c r="Z396" s="659"/>
      <c r="AA396" s="659"/>
    </row>
    <row r="397" spans="10:27" s="1308" customFormat="1" ht="21.75" customHeight="1">
      <c r="J397" s="2840"/>
      <c r="K397" s="659"/>
      <c r="L397" s="659"/>
      <c r="M397" s="659"/>
      <c r="N397" s="659"/>
      <c r="O397" s="659"/>
      <c r="P397" s="659"/>
      <c r="Q397" s="659"/>
      <c r="R397" s="659"/>
      <c r="S397" s="659"/>
      <c r="T397" s="659"/>
      <c r="U397" s="659"/>
      <c r="V397" s="659"/>
      <c r="W397" s="659"/>
      <c r="X397" s="659"/>
      <c r="Y397" s="659"/>
      <c r="Z397" s="659"/>
      <c r="AA397" s="659"/>
    </row>
    <row r="398" spans="10:27" s="1308" customFormat="1" ht="21.75" customHeight="1">
      <c r="J398" s="2840"/>
      <c r="K398" s="659"/>
      <c r="L398" s="659"/>
      <c r="M398" s="659"/>
      <c r="N398" s="659"/>
      <c r="O398" s="659"/>
      <c r="P398" s="659"/>
      <c r="Q398" s="659"/>
      <c r="R398" s="659"/>
      <c r="S398" s="659"/>
      <c r="T398" s="659"/>
      <c r="U398" s="659"/>
      <c r="V398" s="659"/>
      <c r="W398" s="659"/>
      <c r="X398" s="659"/>
      <c r="Y398" s="659"/>
      <c r="Z398" s="659"/>
      <c r="AA398" s="659"/>
    </row>
    <row r="399" spans="10:27" s="1308" customFormat="1" ht="21.75" customHeight="1">
      <c r="J399" s="2840"/>
      <c r="K399" s="659"/>
      <c r="L399" s="659"/>
      <c r="M399" s="659"/>
      <c r="N399" s="659"/>
      <c r="O399" s="659"/>
      <c r="P399" s="659"/>
      <c r="Q399" s="659"/>
      <c r="R399" s="659"/>
      <c r="S399" s="659"/>
      <c r="T399" s="659"/>
      <c r="U399" s="659"/>
      <c r="V399" s="659"/>
      <c r="W399" s="659"/>
      <c r="X399" s="659"/>
      <c r="Y399" s="659"/>
      <c r="Z399" s="659"/>
      <c r="AA399" s="659"/>
    </row>
    <row r="400" spans="10:27" s="1308" customFormat="1" ht="21.75" customHeight="1">
      <c r="J400" s="2840"/>
      <c r="K400" s="659"/>
      <c r="L400" s="659"/>
      <c r="M400" s="659"/>
      <c r="N400" s="659"/>
      <c r="O400" s="659"/>
      <c r="P400" s="659"/>
      <c r="Q400" s="659"/>
      <c r="R400" s="659"/>
      <c r="S400" s="659"/>
      <c r="T400" s="659"/>
      <c r="U400" s="659"/>
      <c r="V400" s="659"/>
      <c r="W400" s="659"/>
      <c r="X400" s="659"/>
      <c r="Y400" s="659"/>
      <c r="Z400" s="659"/>
      <c r="AA400" s="659"/>
    </row>
    <row r="401" spans="10:27" s="1308" customFormat="1" ht="21.75" customHeight="1">
      <c r="J401" s="2840"/>
      <c r="K401" s="659"/>
      <c r="L401" s="659"/>
      <c r="M401" s="659"/>
      <c r="N401" s="659"/>
      <c r="O401" s="659"/>
      <c r="P401" s="659"/>
      <c r="Q401" s="659"/>
      <c r="R401" s="659"/>
      <c r="S401" s="659"/>
      <c r="T401" s="659"/>
      <c r="U401" s="659"/>
      <c r="V401" s="659"/>
      <c r="W401" s="659"/>
      <c r="X401" s="659"/>
      <c r="Y401" s="659"/>
      <c r="Z401" s="659"/>
      <c r="AA401" s="659"/>
    </row>
    <row r="402" spans="10:27" s="1308" customFormat="1" ht="21.75" customHeight="1">
      <c r="J402" s="2840"/>
      <c r="K402" s="659"/>
      <c r="L402" s="659"/>
      <c r="M402" s="659"/>
      <c r="N402" s="659"/>
      <c r="O402" s="659"/>
      <c r="P402" s="659"/>
      <c r="Q402" s="659"/>
      <c r="R402" s="659"/>
      <c r="S402" s="659"/>
      <c r="T402" s="659"/>
      <c r="U402" s="659"/>
      <c r="V402" s="659"/>
      <c r="W402" s="659"/>
      <c r="X402" s="659"/>
      <c r="Y402" s="659"/>
      <c r="Z402" s="659"/>
      <c r="AA402" s="659"/>
    </row>
    <row r="403" spans="10:27" s="1308" customFormat="1" ht="21.75" customHeight="1">
      <c r="J403" s="2840"/>
      <c r="K403" s="659"/>
      <c r="L403" s="659"/>
      <c r="M403" s="659"/>
      <c r="N403" s="659"/>
      <c r="O403" s="659"/>
      <c r="P403" s="659"/>
      <c r="Q403" s="659"/>
      <c r="R403" s="659"/>
      <c r="S403" s="659"/>
      <c r="T403" s="659"/>
      <c r="U403" s="659"/>
      <c r="V403" s="659"/>
      <c r="W403" s="659"/>
      <c r="X403" s="659"/>
      <c r="Y403" s="659"/>
      <c r="Z403" s="659"/>
      <c r="AA403" s="659"/>
    </row>
    <row r="404" spans="10:27" s="1308" customFormat="1" ht="21.75" customHeight="1">
      <c r="J404" s="2840"/>
      <c r="K404" s="659"/>
      <c r="L404" s="659"/>
      <c r="M404" s="659"/>
      <c r="N404" s="659"/>
      <c r="O404" s="659"/>
      <c r="P404" s="659"/>
      <c r="Q404" s="659"/>
      <c r="R404" s="659"/>
      <c r="S404" s="659"/>
      <c r="T404" s="659"/>
      <c r="U404" s="659"/>
      <c r="V404" s="659"/>
      <c r="W404" s="659"/>
      <c r="X404" s="659"/>
      <c r="Y404" s="659"/>
      <c r="Z404" s="659"/>
      <c r="AA404" s="659"/>
    </row>
    <row r="405" spans="10:27" s="1308" customFormat="1" ht="21.75" customHeight="1">
      <c r="J405" s="2840"/>
      <c r="K405" s="659"/>
      <c r="L405" s="659"/>
      <c r="M405" s="659"/>
      <c r="N405" s="659"/>
      <c r="O405" s="659"/>
      <c r="P405" s="659"/>
      <c r="Q405" s="659"/>
      <c r="R405" s="659"/>
      <c r="S405" s="659"/>
      <c r="T405" s="659"/>
      <c r="U405" s="659"/>
      <c r="V405" s="659"/>
      <c r="W405" s="659"/>
      <c r="X405" s="659"/>
      <c r="Y405" s="659"/>
      <c r="Z405" s="659"/>
      <c r="AA405" s="659"/>
    </row>
    <row r="406" spans="10:27" s="1308" customFormat="1" ht="21.75" customHeight="1">
      <c r="J406" s="2840"/>
      <c r="K406" s="659"/>
      <c r="L406" s="659"/>
      <c r="M406" s="659"/>
      <c r="N406" s="659"/>
      <c r="O406" s="659"/>
      <c r="P406" s="659"/>
      <c r="Q406" s="659"/>
      <c r="R406" s="659"/>
      <c r="S406" s="659"/>
      <c r="T406" s="659"/>
      <c r="U406" s="659"/>
      <c r="V406" s="659"/>
      <c r="W406" s="659"/>
      <c r="X406" s="659"/>
      <c r="Y406" s="659"/>
      <c r="Z406" s="659"/>
      <c r="AA406" s="659"/>
    </row>
    <row r="407" spans="10:27" s="1308" customFormat="1" ht="21.75" customHeight="1">
      <c r="J407" s="2840"/>
      <c r="K407" s="659"/>
      <c r="L407" s="659"/>
      <c r="M407" s="659"/>
      <c r="N407" s="659"/>
      <c r="O407" s="659"/>
      <c r="P407" s="659"/>
      <c r="Q407" s="659"/>
      <c r="R407" s="659"/>
      <c r="S407" s="659"/>
      <c r="T407" s="659"/>
      <c r="U407" s="659"/>
      <c r="V407" s="659"/>
      <c r="W407" s="659"/>
      <c r="X407" s="659"/>
      <c r="Y407" s="659"/>
      <c r="Z407" s="659"/>
      <c r="AA407" s="659"/>
    </row>
    <row r="408" spans="10:27" s="1308" customFormat="1" ht="21.75" customHeight="1">
      <c r="J408" s="2840"/>
      <c r="K408" s="659"/>
      <c r="L408" s="659"/>
      <c r="M408" s="659"/>
      <c r="N408" s="659"/>
      <c r="O408" s="659"/>
      <c r="P408" s="659"/>
      <c r="Q408" s="659"/>
      <c r="R408" s="659"/>
      <c r="S408" s="659"/>
      <c r="T408" s="659"/>
      <c r="U408" s="659"/>
      <c r="V408" s="659"/>
      <c r="W408" s="659"/>
      <c r="X408" s="659"/>
      <c r="Y408" s="659"/>
      <c r="Z408" s="659"/>
      <c r="AA408" s="659"/>
    </row>
    <row r="409" spans="10:27" s="1308" customFormat="1" ht="21.75" customHeight="1">
      <c r="J409" s="2840"/>
      <c r="K409" s="659"/>
      <c r="L409" s="659"/>
      <c r="M409" s="659"/>
      <c r="N409" s="659"/>
      <c r="O409" s="659"/>
      <c r="P409" s="659"/>
      <c r="Q409" s="659"/>
      <c r="R409" s="659"/>
      <c r="S409" s="659"/>
      <c r="T409" s="659"/>
      <c r="U409" s="659"/>
      <c r="V409" s="659"/>
      <c r="W409" s="659"/>
      <c r="X409" s="659"/>
      <c r="Y409" s="659"/>
      <c r="Z409" s="659"/>
      <c r="AA409" s="659"/>
    </row>
    <row r="410" spans="10:27" s="1308" customFormat="1" ht="21.75" customHeight="1">
      <c r="J410" s="2840"/>
      <c r="K410" s="659"/>
      <c r="L410" s="659"/>
      <c r="M410" s="659"/>
      <c r="N410" s="659"/>
      <c r="O410" s="659"/>
      <c r="P410" s="659"/>
      <c r="Q410" s="659"/>
      <c r="R410" s="659"/>
      <c r="S410" s="659"/>
      <c r="T410" s="659"/>
      <c r="U410" s="659"/>
      <c r="V410" s="659"/>
      <c r="W410" s="659"/>
      <c r="X410" s="659"/>
      <c r="Y410" s="659"/>
      <c r="Z410" s="659"/>
      <c r="AA410" s="659"/>
    </row>
    <row r="411" spans="10:27" s="1308" customFormat="1" ht="21.75" customHeight="1">
      <c r="J411" s="2840"/>
      <c r="K411" s="659"/>
      <c r="L411" s="659"/>
      <c r="M411" s="659"/>
      <c r="N411" s="659"/>
      <c r="O411" s="659"/>
      <c r="P411" s="659"/>
      <c r="Q411" s="659"/>
      <c r="R411" s="659"/>
      <c r="S411" s="659"/>
      <c r="T411" s="659"/>
      <c r="U411" s="659"/>
      <c r="V411" s="659"/>
      <c r="W411" s="659"/>
      <c r="X411" s="659"/>
      <c r="Y411" s="659"/>
      <c r="Z411" s="659"/>
      <c r="AA411" s="659"/>
    </row>
    <row r="412" spans="10:27" s="1308" customFormat="1" ht="21.75" customHeight="1">
      <c r="J412" s="2840"/>
      <c r="K412" s="659"/>
      <c r="L412" s="659"/>
      <c r="M412" s="659"/>
      <c r="N412" s="659"/>
      <c r="O412" s="659"/>
      <c r="P412" s="659"/>
      <c r="Q412" s="659"/>
      <c r="R412" s="659"/>
      <c r="S412" s="659"/>
      <c r="T412" s="659"/>
      <c r="U412" s="659"/>
      <c r="V412" s="659"/>
      <c r="W412" s="659"/>
      <c r="X412" s="659"/>
      <c r="Y412" s="659"/>
      <c r="Z412" s="659"/>
      <c r="AA412" s="659"/>
    </row>
    <row r="413" spans="10:27" s="1308" customFormat="1" ht="21.75" customHeight="1">
      <c r="J413" s="2840"/>
      <c r="K413" s="659"/>
      <c r="L413" s="659"/>
      <c r="M413" s="659"/>
      <c r="N413" s="659"/>
      <c r="O413" s="659"/>
      <c r="P413" s="659"/>
      <c r="Q413" s="659"/>
      <c r="R413" s="659"/>
      <c r="S413" s="659"/>
      <c r="T413" s="659"/>
      <c r="U413" s="659"/>
      <c r="V413" s="659"/>
      <c r="W413" s="659"/>
      <c r="X413" s="659"/>
      <c r="Y413" s="659"/>
      <c r="Z413" s="659"/>
      <c r="AA413" s="659"/>
    </row>
    <row r="414" spans="10:27" s="1308" customFormat="1" ht="21.75" customHeight="1">
      <c r="J414" s="2840"/>
      <c r="K414" s="659"/>
      <c r="L414" s="659"/>
      <c r="M414" s="659"/>
      <c r="N414" s="659"/>
      <c r="O414" s="659"/>
      <c r="P414" s="659"/>
      <c r="Q414" s="659"/>
      <c r="R414" s="659"/>
      <c r="S414" s="659"/>
      <c r="T414" s="659"/>
      <c r="U414" s="659"/>
      <c r="V414" s="659"/>
      <c r="W414" s="659"/>
      <c r="X414" s="659"/>
      <c r="Y414" s="659"/>
      <c r="Z414" s="659"/>
      <c r="AA414" s="659"/>
    </row>
    <row r="415" spans="10:27" s="1308" customFormat="1" ht="21.75" customHeight="1">
      <c r="J415" s="2840"/>
      <c r="K415" s="659"/>
      <c r="L415" s="659"/>
      <c r="M415" s="659"/>
      <c r="N415" s="659"/>
      <c r="O415" s="659"/>
      <c r="P415" s="659"/>
      <c r="Q415" s="659"/>
      <c r="R415" s="659"/>
      <c r="S415" s="659"/>
      <c r="T415" s="659"/>
      <c r="U415" s="659"/>
      <c r="V415" s="659"/>
      <c r="W415" s="659"/>
      <c r="X415" s="659"/>
      <c r="Y415" s="659"/>
      <c r="Z415" s="659"/>
      <c r="AA415" s="659"/>
    </row>
    <row r="416" spans="10:27" s="1308" customFormat="1" ht="21.75" customHeight="1">
      <c r="J416" s="2840"/>
      <c r="K416" s="659"/>
      <c r="L416" s="659"/>
      <c r="M416" s="659"/>
      <c r="N416" s="659"/>
      <c r="O416" s="659"/>
      <c r="P416" s="659"/>
      <c r="Q416" s="659"/>
      <c r="R416" s="659"/>
      <c r="S416" s="659"/>
      <c r="T416" s="659"/>
      <c r="U416" s="659"/>
      <c r="V416" s="659"/>
      <c r="W416" s="659"/>
      <c r="X416" s="659"/>
      <c r="Y416" s="659"/>
      <c r="Z416" s="659"/>
      <c r="AA416" s="659"/>
    </row>
    <row r="417" spans="10:27" s="1308" customFormat="1" ht="21.75" customHeight="1">
      <c r="J417" s="2840"/>
      <c r="K417" s="659"/>
      <c r="L417" s="659"/>
      <c r="M417" s="659"/>
      <c r="N417" s="659"/>
      <c r="O417" s="659"/>
      <c r="P417" s="659"/>
      <c r="Q417" s="659"/>
      <c r="R417" s="659"/>
      <c r="S417" s="659"/>
      <c r="T417" s="659"/>
      <c r="U417" s="659"/>
      <c r="V417" s="659"/>
      <c r="W417" s="659"/>
      <c r="X417" s="659"/>
      <c r="Y417" s="659"/>
      <c r="Z417" s="659"/>
      <c r="AA417" s="659"/>
    </row>
    <row r="418" spans="10:27" s="1308" customFormat="1" ht="21.75" customHeight="1">
      <c r="J418" s="2840"/>
      <c r="K418" s="659"/>
      <c r="L418" s="659"/>
      <c r="M418" s="659"/>
      <c r="N418" s="659"/>
      <c r="O418" s="659"/>
      <c r="P418" s="659"/>
      <c r="Q418" s="659"/>
      <c r="R418" s="659"/>
      <c r="S418" s="659"/>
      <c r="T418" s="659"/>
      <c r="U418" s="659"/>
      <c r="V418" s="659"/>
      <c r="W418" s="659"/>
      <c r="X418" s="659"/>
      <c r="Y418" s="659"/>
      <c r="Z418" s="659"/>
      <c r="AA418" s="659"/>
    </row>
    <row r="419" spans="10:27" s="1308" customFormat="1" ht="21.75" customHeight="1">
      <c r="J419" s="2840"/>
      <c r="K419" s="659"/>
      <c r="L419" s="659"/>
      <c r="M419" s="659"/>
      <c r="N419" s="659"/>
      <c r="O419" s="659"/>
      <c r="P419" s="659"/>
      <c r="Q419" s="659"/>
      <c r="R419" s="659"/>
      <c r="S419" s="659"/>
      <c r="T419" s="659"/>
      <c r="U419" s="659"/>
      <c r="V419" s="659"/>
      <c r="W419" s="659"/>
      <c r="X419" s="659"/>
      <c r="Y419" s="659"/>
      <c r="Z419" s="659"/>
      <c r="AA419" s="659"/>
    </row>
    <row r="420" spans="10:27" s="1308" customFormat="1" ht="21.75" customHeight="1">
      <c r="J420" s="2840"/>
      <c r="K420" s="659"/>
      <c r="L420" s="659"/>
      <c r="M420" s="659"/>
      <c r="N420" s="659"/>
      <c r="O420" s="659"/>
      <c r="P420" s="659"/>
      <c r="Q420" s="659"/>
      <c r="R420" s="659"/>
      <c r="S420" s="659"/>
      <c r="T420" s="659"/>
      <c r="U420" s="659"/>
      <c r="V420" s="659"/>
      <c r="W420" s="659"/>
      <c r="X420" s="659"/>
      <c r="Y420" s="659"/>
      <c r="Z420" s="659"/>
      <c r="AA420" s="659"/>
    </row>
    <row r="421" spans="10:27" s="1308" customFormat="1" ht="21.75" customHeight="1">
      <c r="J421" s="2840"/>
      <c r="K421" s="659"/>
      <c r="L421" s="659"/>
      <c r="M421" s="659"/>
      <c r="N421" s="659"/>
      <c r="O421" s="659"/>
      <c r="P421" s="659"/>
      <c r="Q421" s="659"/>
      <c r="R421" s="659"/>
      <c r="S421" s="659"/>
      <c r="T421" s="659"/>
      <c r="U421" s="659"/>
      <c r="V421" s="659"/>
      <c r="W421" s="659"/>
      <c r="X421" s="659"/>
      <c r="Y421" s="659"/>
      <c r="Z421" s="659"/>
      <c r="AA421" s="659"/>
    </row>
    <row r="422" spans="10:27" s="1308" customFormat="1" ht="21.75" customHeight="1">
      <c r="J422" s="2840"/>
      <c r="K422" s="659"/>
      <c r="L422" s="659"/>
      <c r="M422" s="659"/>
      <c r="N422" s="659"/>
      <c r="O422" s="659"/>
      <c r="P422" s="659"/>
      <c r="Q422" s="659"/>
      <c r="R422" s="659"/>
      <c r="S422" s="659"/>
      <c r="T422" s="659"/>
      <c r="U422" s="659"/>
      <c r="V422" s="659"/>
      <c r="W422" s="659"/>
      <c r="X422" s="659"/>
      <c r="Y422" s="659"/>
      <c r="Z422" s="659"/>
      <c r="AA422" s="659"/>
    </row>
    <row r="423" spans="10:27" s="1308" customFormat="1" ht="21.75" customHeight="1">
      <c r="J423" s="2840"/>
      <c r="K423" s="659"/>
      <c r="L423" s="659"/>
      <c r="M423" s="659"/>
      <c r="N423" s="659"/>
      <c r="O423" s="659"/>
      <c r="P423" s="659"/>
      <c r="Q423" s="659"/>
      <c r="R423" s="659"/>
      <c r="S423" s="659"/>
      <c r="T423" s="659"/>
      <c r="U423" s="659"/>
      <c r="V423" s="659"/>
      <c r="W423" s="659"/>
      <c r="X423" s="659"/>
      <c r="Y423" s="659"/>
      <c r="Z423" s="659"/>
      <c r="AA423" s="659"/>
    </row>
    <row r="424" spans="10:27" s="1308" customFormat="1" ht="21.75" customHeight="1">
      <c r="J424" s="2840"/>
      <c r="K424" s="659"/>
      <c r="L424" s="659"/>
      <c r="M424" s="659"/>
      <c r="N424" s="659"/>
      <c r="O424" s="659"/>
      <c r="P424" s="659"/>
      <c r="Q424" s="659"/>
      <c r="R424" s="659"/>
      <c r="S424" s="659"/>
      <c r="T424" s="659"/>
      <c r="U424" s="659"/>
      <c r="V424" s="659"/>
      <c r="W424" s="659"/>
      <c r="X424" s="659"/>
      <c r="Y424" s="659"/>
      <c r="Z424" s="659"/>
      <c r="AA424" s="659"/>
    </row>
    <row r="425" spans="10:27" s="1308" customFormat="1" ht="21.75" customHeight="1">
      <c r="J425" s="2840"/>
      <c r="K425" s="659"/>
      <c r="L425" s="659"/>
      <c r="M425" s="659"/>
      <c r="N425" s="659"/>
      <c r="O425" s="659"/>
      <c r="P425" s="659"/>
      <c r="Q425" s="659"/>
      <c r="R425" s="659"/>
      <c r="S425" s="659"/>
      <c r="T425" s="659"/>
      <c r="U425" s="659"/>
      <c r="V425" s="659"/>
      <c r="W425" s="659"/>
      <c r="X425" s="659"/>
      <c r="Y425" s="659"/>
      <c r="Z425" s="659"/>
      <c r="AA425" s="659"/>
    </row>
    <row r="426" spans="10:27" s="1308" customFormat="1" ht="21.75" customHeight="1">
      <c r="J426" s="2840"/>
      <c r="K426" s="659"/>
      <c r="L426" s="659"/>
      <c r="M426" s="659"/>
      <c r="N426" s="659"/>
      <c r="O426" s="659"/>
      <c r="P426" s="659"/>
      <c r="Q426" s="659"/>
      <c r="R426" s="659"/>
      <c r="S426" s="659"/>
      <c r="T426" s="659"/>
      <c r="U426" s="659"/>
      <c r="V426" s="659"/>
      <c r="W426" s="659"/>
      <c r="X426" s="659"/>
      <c r="Y426" s="659"/>
      <c r="Z426" s="659"/>
      <c r="AA426" s="659"/>
    </row>
    <row r="427" spans="10:27" s="1308" customFormat="1" ht="21.75" customHeight="1">
      <c r="J427" s="2840"/>
      <c r="K427" s="659"/>
      <c r="L427" s="659"/>
      <c r="M427" s="659"/>
      <c r="N427" s="659"/>
      <c r="O427" s="659"/>
      <c r="P427" s="659"/>
      <c r="Q427" s="659"/>
      <c r="R427" s="659"/>
      <c r="S427" s="659"/>
      <c r="T427" s="659"/>
      <c r="U427" s="659"/>
      <c r="V427" s="659"/>
      <c r="W427" s="659"/>
      <c r="X427" s="659"/>
      <c r="Y427" s="659"/>
      <c r="Z427" s="659"/>
      <c r="AA427" s="659"/>
    </row>
    <row r="428" spans="10:27" s="1308" customFormat="1" ht="21.75" customHeight="1">
      <c r="J428" s="2840"/>
      <c r="K428" s="659"/>
      <c r="L428" s="659"/>
      <c r="M428" s="659"/>
      <c r="N428" s="659"/>
      <c r="O428" s="659"/>
      <c r="P428" s="659"/>
      <c r="Q428" s="659"/>
      <c r="R428" s="659"/>
      <c r="S428" s="659"/>
      <c r="T428" s="659"/>
      <c r="U428" s="659"/>
      <c r="V428" s="659"/>
      <c r="W428" s="659"/>
      <c r="X428" s="659"/>
      <c r="Y428" s="659"/>
      <c r="Z428" s="659"/>
      <c r="AA428" s="659"/>
    </row>
    <row r="429" spans="10:27" s="1308" customFormat="1" ht="21.75" customHeight="1">
      <c r="J429" s="2840"/>
      <c r="K429" s="659"/>
      <c r="L429" s="659"/>
      <c r="M429" s="659"/>
      <c r="N429" s="659"/>
      <c r="O429" s="659"/>
      <c r="P429" s="659"/>
      <c r="Q429" s="659"/>
      <c r="R429" s="659"/>
      <c r="S429" s="659"/>
      <c r="T429" s="659"/>
      <c r="U429" s="659"/>
      <c r="V429" s="659"/>
      <c r="W429" s="659"/>
      <c r="X429" s="659"/>
      <c r="Y429" s="659"/>
      <c r="Z429" s="659"/>
      <c r="AA429" s="659"/>
    </row>
    <row r="430" spans="10:27" s="1308" customFormat="1" ht="21.75" customHeight="1">
      <c r="J430" s="2840"/>
      <c r="K430" s="659"/>
      <c r="L430" s="659"/>
      <c r="M430" s="659"/>
      <c r="N430" s="659"/>
      <c r="O430" s="659"/>
      <c r="P430" s="659"/>
      <c r="Q430" s="659"/>
      <c r="R430" s="659"/>
      <c r="S430" s="659"/>
      <c r="T430" s="659"/>
      <c r="U430" s="659"/>
      <c r="V430" s="659"/>
      <c r="W430" s="659"/>
      <c r="X430" s="659"/>
      <c r="Y430" s="659"/>
      <c r="Z430" s="659"/>
      <c r="AA430" s="659"/>
    </row>
    <row r="431" spans="10:27" s="1308" customFormat="1" ht="21.75" customHeight="1">
      <c r="J431" s="2840"/>
      <c r="K431" s="659"/>
      <c r="L431" s="659"/>
      <c r="M431" s="659"/>
      <c r="N431" s="659"/>
      <c r="O431" s="659"/>
      <c r="P431" s="659"/>
      <c r="Q431" s="659"/>
      <c r="R431" s="659"/>
      <c r="S431" s="659"/>
      <c r="T431" s="659"/>
      <c r="U431" s="659"/>
      <c r="V431" s="659"/>
      <c r="W431" s="659"/>
      <c r="X431" s="659"/>
      <c r="Y431" s="659"/>
      <c r="Z431" s="659"/>
      <c r="AA431" s="659"/>
    </row>
    <row r="432" spans="10:27" s="1308" customFormat="1" ht="21.75" customHeight="1">
      <c r="J432" s="2840"/>
      <c r="K432" s="659"/>
      <c r="L432" s="659"/>
      <c r="M432" s="659"/>
      <c r="N432" s="659"/>
      <c r="O432" s="659"/>
      <c r="P432" s="659"/>
      <c r="Q432" s="659"/>
      <c r="R432" s="659"/>
      <c r="S432" s="659"/>
      <c r="T432" s="659"/>
      <c r="U432" s="659"/>
      <c r="V432" s="659"/>
      <c r="W432" s="659"/>
      <c r="X432" s="659"/>
      <c r="Y432" s="659"/>
      <c r="Z432" s="659"/>
      <c r="AA432" s="659"/>
    </row>
    <row r="433" spans="10:27" s="1308" customFormat="1" ht="21.75" customHeight="1">
      <c r="J433" s="2840"/>
      <c r="K433" s="659"/>
      <c r="L433" s="659"/>
      <c r="M433" s="659"/>
      <c r="N433" s="659"/>
      <c r="O433" s="659"/>
      <c r="P433" s="659"/>
      <c r="Q433" s="659"/>
      <c r="R433" s="659"/>
      <c r="S433" s="659"/>
      <c r="T433" s="659"/>
      <c r="U433" s="659"/>
      <c r="V433" s="659"/>
      <c r="W433" s="659"/>
      <c r="X433" s="659"/>
      <c r="Y433" s="659"/>
      <c r="Z433" s="659"/>
      <c r="AA433" s="659"/>
    </row>
    <row r="434" spans="10:27" s="1308" customFormat="1" ht="21.75" customHeight="1">
      <c r="J434" s="2840"/>
      <c r="K434" s="659"/>
      <c r="L434" s="659"/>
      <c r="M434" s="659"/>
      <c r="N434" s="659"/>
      <c r="O434" s="659"/>
      <c r="P434" s="659"/>
      <c r="Q434" s="659"/>
      <c r="R434" s="659"/>
      <c r="S434" s="659"/>
      <c r="T434" s="659"/>
      <c r="U434" s="659"/>
      <c r="V434" s="659"/>
      <c r="W434" s="659"/>
      <c r="X434" s="659"/>
      <c r="Y434" s="659"/>
      <c r="Z434" s="659"/>
      <c r="AA434" s="659"/>
    </row>
    <row r="435" spans="10:27" s="1308" customFormat="1" ht="21.75" customHeight="1">
      <c r="J435" s="2840"/>
      <c r="K435" s="659"/>
      <c r="L435" s="659"/>
      <c r="M435" s="659"/>
      <c r="N435" s="659"/>
      <c r="O435" s="659"/>
      <c r="P435" s="659"/>
      <c r="Q435" s="659"/>
      <c r="R435" s="659"/>
      <c r="S435" s="659"/>
      <c r="T435" s="659"/>
      <c r="U435" s="659"/>
      <c r="V435" s="659"/>
      <c r="W435" s="659"/>
      <c r="X435" s="659"/>
      <c r="Y435" s="659"/>
      <c r="Z435" s="659"/>
      <c r="AA435" s="659"/>
    </row>
    <row r="436" spans="10:27" s="1308" customFormat="1" ht="21.75" customHeight="1">
      <c r="J436" s="2840"/>
      <c r="K436" s="659"/>
      <c r="L436" s="659"/>
      <c r="M436" s="659"/>
      <c r="N436" s="659"/>
      <c r="O436" s="659"/>
      <c r="P436" s="659"/>
      <c r="Q436" s="659"/>
      <c r="R436" s="659"/>
      <c r="S436" s="659"/>
      <c r="T436" s="659"/>
      <c r="U436" s="659"/>
      <c r="V436" s="659"/>
      <c r="W436" s="659"/>
      <c r="X436" s="659"/>
      <c r="Y436" s="659"/>
      <c r="Z436" s="659"/>
      <c r="AA436" s="659"/>
    </row>
    <row r="437" spans="10:27" s="1308" customFormat="1" ht="21.75" customHeight="1">
      <c r="J437" s="2840"/>
      <c r="K437" s="659"/>
      <c r="L437" s="659"/>
      <c r="M437" s="659"/>
      <c r="N437" s="659"/>
      <c r="O437" s="659"/>
      <c r="P437" s="659"/>
      <c r="Q437" s="659"/>
      <c r="R437" s="659"/>
      <c r="S437" s="659"/>
      <c r="T437" s="659"/>
      <c r="U437" s="659"/>
      <c r="V437" s="659"/>
      <c r="W437" s="659"/>
      <c r="X437" s="659"/>
      <c r="Y437" s="659"/>
      <c r="Z437" s="659"/>
      <c r="AA437" s="659"/>
    </row>
    <row r="438" spans="10:27" s="1308" customFormat="1" ht="21.75" customHeight="1">
      <c r="J438" s="2840"/>
      <c r="K438" s="659"/>
      <c r="L438" s="659"/>
      <c r="M438" s="659"/>
      <c r="N438" s="659"/>
      <c r="O438" s="659"/>
      <c r="P438" s="659"/>
      <c r="Q438" s="659"/>
      <c r="R438" s="659"/>
      <c r="S438" s="659"/>
      <c r="T438" s="659"/>
      <c r="U438" s="659"/>
      <c r="V438" s="659"/>
      <c r="W438" s="659"/>
      <c r="X438" s="659"/>
      <c r="Y438" s="659"/>
      <c r="Z438" s="659"/>
      <c r="AA438" s="659"/>
    </row>
    <row r="439" spans="10:27" s="1308" customFormat="1" ht="21.75" customHeight="1">
      <c r="J439" s="2840"/>
      <c r="K439" s="659"/>
      <c r="L439" s="659"/>
      <c r="M439" s="659"/>
      <c r="N439" s="659"/>
      <c r="O439" s="659"/>
      <c r="P439" s="659"/>
      <c r="Q439" s="659"/>
      <c r="R439" s="659"/>
      <c r="S439" s="659"/>
      <c r="T439" s="659"/>
      <c r="U439" s="659"/>
      <c r="V439" s="659"/>
      <c r="W439" s="659"/>
      <c r="X439" s="659"/>
      <c r="Y439" s="659"/>
      <c r="Z439" s="659"/>
      <c r="AA439" s="659"/>
    </row>
    <row r="440" spans="10:27" s="1308" customFormat="1" ht="21.75" customHeight="1">
      <c r="J440" s="2840"/>
      <c r="K440" s="659"/>
      <c r="L440" s="659"/>
      <c r="M440" s="659"/>
      <c r="N440" s="659"/>
      <c r="O440" s="659"/>
      <c r="P440" s="659"/>
      <c r="Q440" s="659"/>
      <c r="R440" s="659"/>
      <c r="S440" s="659"/>
      <c r="T440" s="659"/>
      <c r="U440" s="659"/>
      <c r="V440" s="659"/>
      <c r="W440" s="659"/>
      <c r="X440" s="659"/>
      <c r="Y440" s="659"/>
      <c r="Z440" s="659"/>
      <c r="AA440" s="659"/>
    </row>
    <row r="441" spans="10:27" s="1308" customFormat="1" ht="21.75" customHeight="1">
      <c r="J441" s="2840"/>
      <c r="K441" s="659"/>
      <c r="L441" s="659"/>
      <c r="M441" s="659"/>
      <c r="N441" s="659"/>
      <c r="O441" s="659"/>
      <c r="P441" s="659"/>
      <c r="Q441" s="659"/>
      <c r="R441" s="659"/>
      <c r="S441" s="659"/>
      <c r="T441" s="659"/>
      <c r="U441" s="659"/>
      <c r="V441" s="659"/>
      <c r="W441" s="659"/>
      <c r="X441" s="659"/>
      <c r="Y441" s="659"/>
      <c r="Z441" s="659"/>
      <c r="AA441" s="659"/>
    </row>
    <row r="442" spans="10:27" s="1308" customFormat="1" ht="21.75" customHeight="1">
      <c r="J442" s="2840"/>
      <c r="K442" s="659"/>
      <c r="L442" s="659"/>
      <c r="M442" s="659"/>
      <c r="N442" s="659"/>
      <c r="O442" s="659"/>
      <c r="P442" s="659"/>
      <c r="Q442" s="659"/>
      <c r="R442" s="659"/>
      <c r="S442" s="659"/>
      <c r="T442" s="659"/>
      <c r="U442" s="659"/>
      <c r="V442" s="659"/>
      <c r="W442" s="659"/>
      <c r="X442" s="659"/>
      <c r="Y442" s="659"/>
      <c r="Z442" s="659"/>
      <c r="AA442" s="659"/>
    </row>
    <row r="443" spans="10:27" s="1308" customFormat="1" ht="21.75" customHeight="1">
      <c r="J443" s="2840"/>
      <c r="K443" s="659"/>
      <c r="L443" s="659"/>
      <c r="M443" s="659"/>
      <c r="N443" s="659"/>
      <c r="O443" s="659"/>
      <c r="P443" s="659"/>
      <c r="Q443" s="659"/>
      <c r="R443" s="659"/>
      <c r="S443" s="659"/>
      <c r="T443" s="659"/>
      <c r="U443" s="659"/>
      <c r="V443" s="659"/>
      <c r="W443" s="659"/>
      <c r="X443" s="659"/>
      <c r="Y443" s="659"/>
      <c r="Z443" s="659"/>
      <c r="AA443" s="659"/>
    </row>
    <row r="444" spans="10:27" s="1308" customFormat="1" ht="21.75" customHeight="1">
      <c r="J444" s="2840"/>
      <c r="K444" s="659"/>
      <c r="L444" s="659"/>
      <c r="M444" s="659"/>
      <c r="N444" s="659"/>
      <c r="O444" s="659"/>
      <c r="P444" s="659"/>
      <c r="Q444" s="659"/>
      <c r="R444" s="659"/>
      <c r="S444" s="659"/>
      <c r="T444" s="659"/>
      <c r="U444" s="659"/>
      <c r="V444" s="659"/>
      <c r="W444" s="659"/>
      <c r="X444" s="659"/>
      <c r="Y444" s="659"/>
      <c r="Z444" s="659"/>
      <c r="AA444" s="659"/>
    </row>
    <row r="445" spans="10:27" s="1308" customFormat="1" ht="21.75" customHeight="1">
      <c r="J445" s="2840"/>
      <c r="K445" s="659"/>
      <c r="L445" s="659"/>
      <c r="M445" s="659"/>
      <c r="N445" s="659"/>
      <c r="O445" s="659"/>
      <c r="P445" s="659"/>
      <c r="Q445" s="659"/>
      <c r="R445" s="659"/>
      <c r="S445" s="659"/>
      <c r="T445" s="659"/>
      <c r="U445" s="659"/>
      <c r="V445" s="659"/>
      <c r="W445" s="659"/>
      <c r="X445" s="659"/>
      <c r="Y445" s="659"/>
      <c r="Z445" s="659"/>
      <c r="AA445" s="659"/>
    </row>
    <row r="446" spans="10:27" s="1308" customFormat="1" ht="21.75" customHeight="1">
      <c r="J446" s="2840"/>
      <c r="K446" s="659"/>
      <c r="L446" s="659"/>
      <c r="M446" s="659"/>
      <c r="N446" s="659"/>
      <c r="O446" s="659"/>
      <c r="P446" s="659"/>
      <c r="Q446" s="659"/>
      <c r="R446" s="659"/>
      <c r="S446" s="659"/>
      <c r="T446" s="659"/>
      <c r="U446" s="659"/>
      <c r="V446" s="659"/>
      <c r="W446" s="659"/>
      <c r="X446" s="659"/>
      <c r="Y446" s="659"/>
      <c r="Z446" s="659"/>
      <c r="AA446" s="659"/>
    </row>
    <row r="447" spans="10:27" s="1308" customFormat="1" ht="21.75" customHeight="1">
      <c r="J447" s="2840"/>
      <c r="K447" s="659"/>
      <c r="L447" s="659"/>
      <c r="M447" s="659"/>
      <c r="N447" s="659"/>
      <c r="O447" s="659"/>
      <c r="P447" s="659"/>
      <c r="Q447" s="659"/>
      <c r="R447" s="659"/>
      <c r="S447" s="659"/>
      <c r="T447" s="659"/>
      <c r="U447" s="659"/>
      <c r="V447" s="659"/>
      <c r="W447" s="659"/>
      <c r="X447" s="659"/>
      <c r="Y447" s="659"/>
      <c r="Z447" s="659"/>
      <c r="AA447" s="659"/>
    </row>
    <row r="448" spans="10:27" s="1308" customFormat="1" ht="21.75" customHeight="1">
      <c r="J448" s="2840"/>
      <c r="K448" s="659"/>
      <c r="L448" s="659"/>
      <c r="M448" s="659"/>
      <c r="N448" s="659"/>
      <c r="O448" s="659"/>
      <c r="P448" s="659"/>
      <c r="Q448" s="659"/>
      <c r="R448" s="659"/>
      <c r="S448" s="659"/>
      <c r="T448" s="659"/>
      <c r="U448" s="659"/>
      <c r="V448" s="659"/>
      <c r="W448" s="659"/>
      <c r="X448" s="659"/>
      <c r="Y448" s="659"/>
      <c r="Z448" s="659"/>
      <c r="AA448" s="659"/>
    </row>
    <row r="449" spans="10:27" s="1308" customFormat="1" ht="21.75" customHeight="1">
      <c r="J449" s="2840"/>
      <c r="K449" s="659"/>
      <c r="L449" s="659"/>
      <c r="M449" s="659"/>
      <c r="N449" s="659"/>
      <c r="O449" s="659"/>
      <c r="P449" s="659"/>
      <c r="Q449" s="659"/>
      <c r="R449" s="659"/>
      <c r="S449" s="659"/>
      <c r="T449" s="659"/>
      <c r="U449" s="659"/>
      <c r="V449" s="659"/>
      <c r="W449" s="659"/>
      <c r="X449" s="659"/>
      <c r="Y449" s="659"/>
      <c r="Z449" s="659"/>
      <c r="AA449" s="659"/>
    </row>
    <row r="450" spans="10:27" s="1308" customFormat="1" ht="21.75" customHeight="1">
      <c r="J450" s="2840"/>
      <c r="K450" s="659"/>
      <c r="L450" s="659"/>
      <c r="M450" s="659"/>
      <c r="N450" s="659"/>
      <c r="O450" s="659"/>
      <c r="P450" s="659"/>
      <c r="Q450" s="659"/>
      <c r="R450" s="659"/>
      <c r="S450" s="659"/>
      <c r="T450" s="659"/>
      <c r="U450" s="659"/>
      <c r="V450" s="659"/>
      <c r="W450" s="659"/>
      <c r="X450" s="659"/>
      <c r="Y450" s="659"/>
      <c r="Z450" s="659"/>
      <c r="AA450" s="659"/>
    </row>
    <row r="451" spans="10:27" s="1308" customFormat="1" ht="21.75" customHeight="1">
      <c r="J451" s="2840"/>
      <c r="K451" s="659"/>
      <c r="L451" s="659"/>
      <c r="M451" s="659"/>
      <c r="N451" s="659"/>
      <c r="O451" s="659"/>
      <c r="P451" s="659"/>
      <c r="Q451" s="659"/>
      <c r="R451" s="659"/>
      <c r="S451" s="659"/>
      <c r="T451" s="659"/>
      <c r="U451" s="659"/>
      <c r="V451" s="659"/>
      <c r="W451" s="659"/>
      <c r="X451" s="659"/>
      <c r="Y451" s="659"/>
      <c r="Z451" s="659"/>
      <c r="AA451" s="659"/>
    </row>
    <row r="452" spans="10:27" s="1308" customFormat="1" ht="21.75" customHeight="1">
      <c r="J452" s="2840"/>
      <c r="K452" s="659"/>
      <c r="L452" s="659"/>
      <c r="M452" s="659"/>
      <c r="N452" s="659"/>
      <c r="O452" s="659"/>
      <c r="P452" s="659"/>
      <c r="Q452" s="659"/>
      <c r="R452" s="659"/>
      <c r="S452" s="659"/>
      <c r="T452" s="659"/>
      <c r="U452" s="659"/>
      <c r="V452" s="659"/>
      <c r="W452" s="659"/>
      <c r="X452" s="659"/>
      <c r="Y452" s="659"/>
      <c r="Z452" s="659"/>
      <c r="AA452" s="659"/>
    </row>
    <row r="453" spans="10:27" s="1308" customFormat="1" ht="21.75" customHeight="1">
      <c r="J453" s="2840"/>
      <c r="K453" s="659"/>
      <c r="L453" s="659"/>
      <c r="M453" s="659"/>
      <c r="N453" s="659"/>
      <c r="O453" s="659"/>
      <c r="P453" s="659"/>
      <c r="Q453" s="659"/>
      <c r="R453" s="659"/>
      <c r="S453" s="659"/>
      <c r="T453" s="659"/>
      <c r="U453" s="659"/>
      <c r="V453" s="659"/>
      <c r="W453" s="659"/>
      <c r="X453" s="659"/>
      <c r="Y453" s="659"/>
      <c r="Z453" s="659"/>
      <c r="AA453" s="659"/>
    </row>
    <row r="454" spans="10:27" s="1308" customFormat="1" ht="21.75" customHeight="1">
      <c r="J454" s="2840"/>
      <c r="K454" s="659"/>
      <c r="L454" s="659"/>
      <c r="M454" s="659"/>
      <c r="N454" s="659"/>
      <c r="O454" s="659"/>
      <c r="P454" s="659"/>
      <c r="Q454" s="659"/>
      <c r="R454" s="659"/>
      <c r="S454" s="659"/>
      <c r="T454" s="659"/>
      <c r="U454" s="659"/>
      <c r="V454" s="659"/>
      <c r="W454" s="659"/>
      <c r="X454" s="659"/>
      <c r="Y454" s="659"/>
      <c r="Z454" s="659"/>
      <c r="AA454" s="659"/>
    </row>
    <row r="455" spans="10:27" s="1308" customFormat="1" ht="21.75" customHeight="1">
      <c r="J455" s="2840"/>
      <c r="K455" s="659"/>
      <c r="L455" s="659"/>
      <c r="M455" s="659"/>
      <c r="N455" s="659"/>
      <c r="O455" s="659"/>
      <c r="P455" s="659"/>
      <c r="Q455" s="659"/>
      <c r="R455" s="659"/>
      <c r="S455" s="659"/>
      <c r="T455" s="659"/>
      <c r="U455" s="659"/>
      <c r="V455" s="659"/>
      <c r="W455" s="659"/>
      <c r="X455" s="659"/>
      <c r="Y455" s="659"/>
      <c r="Z455" s="659"/>
      <c r="AA455" s="659"/>
    </row>
    <row r="456" spans="10:27" s="1308" customFormat="1" ht="21.75" customHeight="1">
      <c r="J456" s="2840"/>
      <c r="K456" s="659"/>
      <c r="L456" s="659"/>
      <c r="M456" s="659"/>
      <c r="N456" s="659"/>
      <c r="O456" s="659"/>
      <c r="P456" s="659"/>
      <c r="Q456" s="659"/>
      <c r="R456" s="659"/>
      <c r="S456" s="659"/>
      <c r="T456" s="659"/>
      <c r="U456" s="659"/>
      <c r="V456" s="659"/>
      <c r="W456" s="659"/>
      <c r="X456" s="659"/>
      <c r="Y456" s="659"/>
      <c r="Z456" s="659"/>
      <c r="AA456" s="659"/>
    </row>
    <row r="457" spans="10:27" s="1308" customFormat="1" ht="21.75" customHeight="1">
      <c r="J457" s="2840"/>
      <c r="K457" s="659"/>
      <c r="L457" s="659"/>
      <c r="M457" s="659"/>
      <c r="N457" s="659"/>
      <c r="O457" s="659"/>
      <c r="P457" s="659"/>
      <c r="Q457" s="659"/>
      <c r="R457" s="659"/>
      <c r="S457" s="659"/>
      <c r="T457" s="659"/>
      <c r="U457" s="659"/>
      <c r="V457" s="659"/>
      <c r="W457" s="659"/>
      <c r="X457" s="659"/>
      <c r="Y457" s="659"/>
      <c r="Z457" s="659"/>
      <c r="AA457" s="659"/>
    </row>
    <row r="458" spans="10:27" s="1308" customFormat="1" ht="21.75" customHeight="1">
      <c r="J458" s="2840"/>
      <c r="K458" s="659"/>
      <c r="L458" s="659"/>
      <c r="M458" s="659"/>
      <c r="N458" s="659"/>
      <c r="O458" s="659"/>
      <c r="P458" s="659"/>
      <c r="Q458" s="659"/>
      <c r="R458" s="659"/>
      <c r="S458" s="659"/>
      <c r="T458" s="659"/>
      <c r="U458" s="659"/>
      <c r="V458" s="659"/>
      <c r="W458" s="659"/>
      <c r="X458" s="659"/>
      <c r="Y458" s="659"/>
      <c r="Z458" s="659"/>
      <c r="AA458" s="659"/>
    </row>
    <row r="459" spans="10:27" s="1308" customFormat="1" ht="21.75" customHeight="1">
      <c r="J459" s="2840"/>
      <c r="K459" s="659"/>
      <c r="L459" s="659"/>
      <c r="M459" s="659"/>
      <c r="N459" s="659"/>
      <c r="O459" s="659"/>
      <c r="P459" s="659"/>
      <c r="Q459" s="659"/>
      <c r="R459" s="659"/>
      <c r="S459" s="659"/>
      <c r="T459" s="659"/>
      <c r="U459" s="659"/>
      <c r="V459" s="659"/>
      <c r="W459" s="659"/>
      <c r="X459" s="659"/>
      <c r="Y459" s="659"/>
      <c r="Z459" s="659"/>
      <c r="AA459" s="659"/>
    </row>
    <row r="460" spans="10:27" s="1308" customFormat="1" ht="21.75" customHeight="1">
      <c r="J460" s="2840"/>
      <c r="K460" s="659"/>
      <c r="L460" s="659"/>
      <c r="M460" s="659"/>
      <c r="N460" s="659"/>
      <c r="O460" s="659"/>
      <c r="P460" s="659"/>
      <c r="Q460" s="659"/>
      <c r="R460" s="659"/>
      <c r="S460" s="659"/>
      <c r="T460" s="659"/>
      <c r="U460" s="659"/>
      <c r="V460" s="659"/>
      <c r="W460" s="659"/>
      <c r="X460" s="659"/>
      <c r="Y460" s="659"/>
      <c r="Z460" s="659"/>
      <c r="AA460" s="659"/>
    </row>
    <row r="461" spans="10:27" s="1308" customFormat="1" ht="21.75" customHeight="1">
      <c r="J461" s="2840"/>
      <c r="K461" s="659"/>
      <c r="L461" s="659"/>
      <c r="M461" s="659"/>
      <c r="N461" s="659"/>
      <c r="O461" s="659"/>
      <c r="P461" s="659"/>
      <c r="Q461" s="659"/>
      <c r="R461" s="659"/>
      <c r="S461" s="659"/>
      <c r="T461" s="659"/>
      <c r="U461" s="659"/>
      <c r="V461" s="659"/>
      <c r="W461" s="659"/>
      <c r="X461" s="659"/>
      <c r="Y461" s="659"/>
      <c r="Z461" s="659"/>
      <c r="AA461" s="659"/>
    </row>
    <row r="462" spans="10:27" s="1308" customFormat="1" ht="21.75" customHeight="1">
      <c r="J462" s="2840"/>
      <c r="K462" s="659"/>
      <c r="L462" s="659"/>
      <c r="M462" s="659"/>
      <c r="N462" s="659"/>
      <c r="O462" s="659"/>
      <c r="P462" s="659"/>
      <c r="Q462" s="659"/>
      <c r="R462" s="659"/>
      <c r="S462" s="659"/>
      <c r="T462" s="659"/>
      <c r="U462" s="659"/>
      <c r="V462" s="659"/>
      <c r="W462" s="659"/>
      <c r="X462" s="659"/>
      <c r="Y462" s="659"/>
      <c r="Z462" s="659"/>
      <c r="AA462" s="659"/>
    </row>
    <row r="463" spans="10:27" s="1308" customFormat="1" ht="21.75" customHeight="1">
      <c r="J463" s="2840"/>
      <c r="K463" s="659"/>
      <c r="L463" s="659"/>
      <c r="M463" s="659"/>
      <c r="N463" s="659"/>
      <c r="O463" s="659"/>
      <c r="P463" s="659"/>
      <c r="Q463" s="659"/>
      <c r="R463" s="659"/>
      <c r="S463" s="659"/>
      <c r="T463" s="659"/>
      <c r="U463" s="659"/>
      <c r="V463" s="659"/>
      <c r="W463" s="659"/>
      <c r="X463" s="659"/>
      <c r="Y463" s="659"/>
      <c r="Z463" s="659"/>
      <c r="AA463" s="659"/>
    </row>
    <row r="464" spans="10:27" s="1308" customFormat="1" ht="21.75" customHeight="1">
      <c r="J464" s="2840"/>
      <c r="K464" s="659"/>
      <c r="L464" s="659"/>
      <c r="M464" s="659"/>
      <c r="N464" s="659"/>
      <c r="O464" s="659"/>
      <c r="P464" s="659"/>
      <c r="Q464" s="659"/>
      <c r="R464" s="659"/>
      <c r="S464" s="659"/>
      <c r="T464" s="659"/>
      <c r="U464" s="659"/>
      <c r="V464" s="659"/>
      <c r="W464" s="659"/>
      <c r="X464" s="659"/>
      <c r="Y464" s="659"/>
      <c r="Z464" s="659"/>
      <c r="AA464" s="659"/>
    </row>
    <row r="465" spans="10:27" s="1308" customFormat="1" ht="21.75" customHeight="1">
      <c r="J465" s="2840"/>
      <c r="K465" s="659"/>
      <c r="L465" s="659"/>
      <c r="M465" s="659"/>
      <c r="N465" s="659"/>
      <c r="O465" s="659"/>
      <c r="P465" s="659"/>
      <c r="Q465" s="659"/>
      <c r="R465" s="659"/>
      <c r="S465" s="659"/>
      <c r="T465" s="659"/>
      <c r="U465" s="659"/>
      <c r="V465" s="659"/>
      <c r="W465" s="659"/>
      <c r="X465" s="659"/>
      <c r="Y465" s="659"/>
      <c r="Z465" s="659"/>
      <c r="AA465" s="659"/>
    </row>
    <row r="466" spans="10:27" s="1308" customFormat="1" ht="21.75" customHeight="1">
      <c r="J466" s="2840"/>
      <c r="K466" s="659"/>
      <c r="L466" s="659"/>
      <c r="M466" s="659"/>
      <c r="N466" s="659"/>
      <c r="O466" s="659"/>
      <c r="P466" s="659"/>
      <c r="Q466" s="659"/>
      <c r="R466" s="659"/>
      <c r="S466" s="659"/>
      <c r="T466" s="659"/>
      <c r="U466" s="659"/>
      <c r="V466" s="659"/>
      <c r="W466" s="659"/>
      <c r="X466" s="659"/>
      <c r="Y466" s="659"/>
      <c r="Z466" s="659"/>
      <c r="AA466" s="659"/>
    </row>
    <row r="467" spans="10:27" s="1308" customFormat="1" ht="21.75" customHeight="1">
      <c r="J467" s="2840"/>
      <c r="K467" s="659"/>
      <c r="L467" s="659"/>
      <c r="M467" s="659"/>
      <c r="N467" s="659"/>
      <c r="O467" s="659"/>
      <c r="P467" s="659"/>
      <c r="Q467" s="659"/>
      <c r="R467" s="659"/>
      <c r="S467" s="659"/>
      <c r="T467" s="659"/>
      <c r="U467" s="659"/>
      <c r="V467" s="659"/>
      <c r="W467" s="659"/>
      <c r="X467" s="659"/>
      <c r="Y467" s="659"/>
      <c r="Z467" s="659"/>
      <c r="AA467" s="659"/>
    </row>
    <row r="468" spans="10:27" s="1308" customFormat="1" ht="21.75" customHeight="1">
      <c r="J468" s="2840"/>
      <c r="K468" s="659"/>
      <c r="L468" s="659"/>
      <c r="M468" s="659"/>
      <c r="N468" s="659"/>
      <c r="O468" s="659"/>
      <c r="P468" s="659"/>
      <c r="Q468" s="659"/>
      <c r="R468" s="659"/>
      <c r="S468" s="659"/>
      <c r="T468" s="659"/>
      <c r="U468" s="659"/>
      <c r="V468" s="659"/>
      <c r="W468" s="659"/>
      <c r="X468" s="659"/>
      <c r="Y468" s="659"/>
      <c r="Z468" s="659"/>
      <c r="AA468" s="659"/>
    </row>
    <row r="469" spans="10:27" s="1308" customFormat="1" ht="21.75" customHeight="1">
      <c r="J469" s="2840"/>
      <c r="K469" s="659"/>
      <c r="L469" s="659"/>
      <c r="M469" s="659"/>
      <c r="N469" s="659"/>
      <c r="O469" s="659"/>
      <c r="P469" s="659"/>
      <c r="Q469" s="659"/>
      <c r="R469" s="659"/>
      <c r="S469" s="659"/>
      <c r="T469" s="659"/>
      <c r="U469" s="659"/>
      <c r="V469" s="659"/>
      <c r="W469" s="659"/>
      <c r="X469" s="659"/>
      <c r="Y469" s="659"/>
      <c r="Z469" s="659"/>
      <c r="AA469" s="659"/>
    </row>
    <row r="470" spans="10:27" s="1308" customFormat="1" ht="21.75" customHeight="1">
      <c r="J470" s="2840"/>
      <c r="K470" s="659"/>
      <c r="L470" s="659"/>
      <c r="M470" s="659"/>
      <c r="N470" s="659"/>
      <c r="O470" s="659"/>
      <c r="P470" s="659"/>
      <c r="Q470" s="659"/>
      <c r="R470" s="659"/>
      <c r="S470" s="659"/>
      <c r="T470" s="659"/>
      <c r="U470" s="659"/>
      <c r="V470" s="659"/>
      <c r="W470" s="659"/>
      <c r="X470" s="659"/>
      <c r="Y470" s="659"/>
      <c r="Z470" s="659"/>
      <c r="AA470" s="659"/>
    </row>
    <row r="471" spans="10:27" s="1308" customFormat="1" ht="21.75" customHeight="1">
      <c r="J471" s="2840"/>
      <c r="K471" s="659"/>
      <c r="L471" s="659"/>
      <c r="M471" s="659"/>
      <c r="N471" s="659"/>
      <c r="O471" s="659"/>
      <c r="P471" s="659"/>
      <c r="Q471" s="659"/>
      <c r="R471" s="659"/>
      <c r="S471" s="659"/>
      <c r="T471" s="659"/>
      <c r="U471" s="659"/>
      <c r="V471" s="659"/>
      <c r="W471" s="659"/>
      <c r="X471" s="659"/>
      <c r="Y471" s="659"/>
      <c r="Z471" s="659"/>
      <c r="AA471" s="659"/>
    </row>
    <row r="472" spans="10:27" s="1308" customFormat="1" ht="21.75" customHeight="1">
      <c r="J472" s="2840"/>
      <c r="K472" s="659"/>
      <c r="L472" s="659"/>
      <c r="M472" s="659"/>
      <c r="N472" s="659"/>
      <c r="O472" s="659"/>
      <c r="P472" s="659"/>
      <c r="Q472" s="659"/>
      <c r="R472" s="659"/>
      <c r="S472" s="659"/>
      <c r="T472" s="659"/>
      <c r="U472" s="659"/>
      <c r="V472" s="659"/>
      <c r="W472" s="659"/>
      <c r="X472" s="659"/>
      <c r="Y472" s="659"/>
      <c r="Z472" s="659"/>
      <c r="AA472" s="659"/>
    </row>
    <row r="473" spans="10:27" s="1308" customFormat="1" ht="21.75" customHeight="1">
      <c r="J473" s="2840"/>
      <c r="K473" s="659"/>
      <c r="L473" s="659"/>
      <c r="M473" s="659"/>
      <c r="N473" s="659"/>
      <c r="O473" s="659"/>
      <c r="P473" s="659"/>
      <c r="Q473" s="659"/>
      <c r="R473" s="659"/>
      <c r="S473" s="659"/>
      <c r="T473" s="659"/>
      <c r="U473" s="659"/>
      <c r="V473" s="659"/>
      <c r="W473" s="659"/>
      <c r="X473" s="659"/>
      <c r="Y473" s="659"/>
      <c r="Z473" s="659"/>
      <c r="AA473" s="659"/>
    </row>
    <row r="474" spans="10:27" s="1308" customFormat="1" ht="21.75" customHeight="1">
      <c r="J474" s="2840"/>
      <c r="K474" s="659"/>
      <c r="L474" s="659"/>
      <c r="M474" s="659"/>
      <c r="N474" s="659"/>
      <c r="O474" s="659"/>
      <c r="P474" s="659"/>
      <c r="Q474" s="659"/>
      <c r="R474" s="659"/>
      <c r="S474" s="659"/>
      <c r="T474" s="659"/>
      <c r="U474" s="659"/>
      <c r="V474" s="659"/>
      <c r="W474" s="659"/>
      <c r="X474" s="659"/>
      <c r="Y474" s="659"/>
      <c r="Z474" s="659"/>
      <c r="AA474" s="659"/>
    </row>
    <row r="475" spans="10:27" s="1308" customFormat="1" ht="21.75" customHeight="1">
      <c r="J475" s="2840"/>
      <c r="K475" s="659"/>
      <c r="L475" s="659"/>
      <c r="M475" s="659"/>
      <c r="N475" s="659"/>
      <c r="O475" s="659"/>
      <c r="P475" s="659"/>
      <c r="Q475" s="659"/>
      <c r="R475" s="659"/>
      <c r="S475" s="659"/>
      <c r="T475" s="659"/>
      <c r="U475" s="659"/>
      <c r="V475" s="659"/>
      <c r="W475" s="659"/>
      <c r="X475" s="659"/>
      <c r="Y475" s="659"/>
      <c r="Z475" s="659"/>
      <c r="AA475" s="659"/>
    </row>
    <row r="476" spans="10:27" s="1308" customFormat="1" ht="21.75" customHeight="1">
      <c r="J476" s="2840"/>
      <c r="K476" s="659"/>
      <c r="L476" s="659"/>
      <c r="M476" s="659"/>
      <c r="N476" s="659"/>
      <c r="O476" s="659"/>
      <c r="P476" s="659"/>
      <c r="Q476" s="659"/>
      <c r="R476" s="659"/>
      <c r="S476" s="659"/>
      <c r="T476" s="659"/>
      <c r="U476" s="659"/>
      <c r="V476" s="659"/>
      <c r="W476" s="659"/>
      <c r="X476" s="659"/>
      <c r="Y476" s="659"/>
      <c r="Z476" s="659"/>
      <c r="AA476" s="659"/>
    </row>
    <row r="477" spans="10:27" s="1308" customFormat="1" ht="21.75" customHeight="1">
      <c r="J477" s="2840"/>
      <c r="K477" s="659"/>
      <c r="L477" s="659"/>
      <c r="M477" s="659"/>
      <c r="N477" s="659"/>
      <c r="O477" s="659"/>
      <c r="P477" s="659"/>
      <c r="Q477" s="659"/>
      <c r="R477" s="659"/>
      <c r="S477" s="659"/>
      <c r="T477" s="659"/>
      <c r="U477" s="659"/>
      <c r="V477" s="659"/>
      <c r="W477" s="659"/>
      <c r="X477" s="659"/>
      <c r="Y477" s="659"/>
      <c r="Z477" s="659"/>
      <c r="AA477" s="659"/>
    </row>
    <row r="478" spans="10:27" s="1308" customFormat="1" ht="21.75" customHeight="1">
      <c r="J478" s="2840"/>
      <c r="K478" s="659"/>
      <c r="L478" s="659"/>
      <c r="M478" s="659"/>
      <c r="N478" s="659"/>
      <c r="O478" s="659"/>
      <c r="P478" s="659"/>
      <c r="Q478" s="659"/>
      <c r="R478" s="659"/>
      <c r="S478" s="659"/>
      <c r="T478" s="659"/>
      <c r="U478" s="659"/>
      <c r="V478" s="659"/>
      <c r="W478" s="659"/>
      <c r="X478" s="659"/>
      <c r="Y478" s="659"/>
      <c r="Z478" s="659"/>
      <c r="AA478" s="659"/>
    </row>
    <row r="479" spans="10:27" s="1308" customFormat="1" ht="21.75" customHeight="1">
      <c r="J479" s="2840"/>
      <c r="K479" s="659"/>
      <c r="L479" s="659"/>
      <c r="M479" s="659"/>
      <c r="N479" s="659"/>
      <c r="O479" s="659"/>
      <c r="P479" s="659"/>
      <c r="Q479" s="659"/>
      <c r="R479" s="659"/>
      <c r="S479" s="659"/>
      <c r="T479" s="659"/>
      <c r="U479" s="659"/>
      <c r="V479" s="659"/>
      <c r="W479" s="659"/>
      <c r="X479" s="659"/>
      <c r="Y479" s="659"/>
      <c r="Z479" s="659"/>
      <c r="AA479" s="659"/>
    </row>
    <row r="480" spans="10:27" s="1308" customFormat="1" ht="21.75" customHeight="1">
      <c r="J480" s="2840"/>
      <c r="K480" s="659"/>
      <c r="L480" s="659"/>
      <c r="M480" s="659"/>
      <c r="N480" s="659"/>
      <c r="O480" s="659"/>
      <c r="P480" s="659"/>
      <c r="Q480" s="659"/>
      <c r="R480" s="659"/>
      <c r="S480" s="659"/>
      <c r="T480" s="659"/>
      <c r="U480" s="659"/>
      <c r="V480" s="659"/>
      <c r="W480" s="659"/>
      <c r="X480" s="659"/>
      <c r="Y480" s="659"/>
      <c r="Z480" s="659"/>
      <c r="AA480" s="659"/>
    </row>
    <row r="481" spans="10:27" s="1308" customFormat="1" ht="21.75" customHeight="1">
      <c r="J481" s="2840"/>
      <c r="K481" s="659"/>
      <c r="L481" s="659"/>
      <c r="M481" s="659"/>
      <c r="N481" s="659"/>
      <c r="O481" s="659"/>
      <c r="P481" s="659"/>
      <c r="Q481" s="659"/>
      <c r="R481" s="659"/>
      <c r="S481" s="659"/>
      <c r="T481" s="659"/>
      <c r="U481" s="659"/>
      <c r="V481" s="659"/>
      <c r="W481" s="659"/>
      <c r="X481" s="659"/>
      <c r="Y481" s="659"/>
      <c r="Z481" s="659"/>
      <c r="AA481" s="659"/>
    </row>
    <row r="482" spans="10:27" s="1308" customFormat="1" ht="21.75" customHeight="1">
      <c r="J482" s="2840"/>
      <c r="K482" s="659"/>
      <c r="L482" s="659"/>
      <c r="M482" s="659"/>
      <c r="N482" s="659"/>
      <c r="O482" s="659"/>
      <c r="P482" s="659"/>
      <c r="Q482" s="659"/>
      <c r="R482" s="659"/>
      <c r="S482" s="659"/>
      <c r="T482" s="659"/>
      <c r="U482" s="659"/>
      <c r="V482" s="659"/>
      <c r="W482" s="659"/>
      <c r="X482" s="659"/>
      <c r="Y482" s="659"/>
      <c r="Z482" s="659"/>
      <c r="AA482" s="659"/>
    </row>
    <row r="483" spans="10:27" s="1308" customFormat="1" ht="21.75" customHeight="1">
      <c r="J483" s="2840"/>
      <c r="K483" s="659"/>
      <c r="L483" s="659"/>
      <c r="M483" s="659"/>
      <c r="N483" s="659"/>
      <c r="O483" s="659"/>
      <c r="P483" s="659"/>
      <c r="Q483" s="659"/>
      <c r="R483" s="659"/>
      <c r="S483" s="659"/>
      <c r="T483" s="659"/>
      <c r="U483" s="659"/>
      <c r="V483" s="659"/>
      <c r="W483" s="659"/>
      <c r="X483" s="659"/>
      <c r="Y483" s="659"/>
      <c r="Z483" s="659"/>
      <c r="AA483" s="659"/>
    </row>
    <row r="484" spans="10:27" s="1308" customFormat="1" ht="21.75" customHeight="1">
      <c r="J484" s="2840"/>
      <c r="K484" s="659"/>
      <c r="L484" s="659"/>
      <c r="M484" s="659"/>
      <c r="N484" s="659"/>
      <c r="O484" s="659"/>
      <c r="P484" s="659"/>
      <c r="Q484" s="659"/>
      <c r="R484" s="659"/>
      <c r="S484" s="659"/>
      <c r="T484" s="659"/>
      <c r="U484" s="659"/>
      <c r="V484" s="659"/>
      <c r="W484" s="659"/>
      <c r="X484" s="659"/>
      <c r="Y484" s="659"/>
      <c r="Z484" s="659"/>
      <c r="AA484" s="659"/>
    </row>
    <row r="485" spans="10:27" s="1308" customFormat="1" ht="21.75" customHeight="1">
      <c r="J485" s="2840"/>
      <c r="K485" s="659"/>
      <c r="L485" s="659"/>
      <c r="M485" s="659"/>
      <c r="N485" s="659"/>
      <c r="O485" s="659"/>
      <c r="P485" s="659"/>
      <c r="Q485" s="659"/>
      <c r="R485" s="659"/>
      <c r="S485" s="659"/>
      <c r="T485" s="659"/>
      <c r="U485" s="659"/>
      <c r="V485" s="659"/>
      <c r="W485" s="659"/>
      <c r="X485" s="659"/>
      <c r="Y485" s="659"/>
      <c r="Z485" s="659"/>
      <c r="AA485" s="659"/>
    </row>
    <row r="486" spans="10:27" s="1308" customFormat="1" ht="21.75" customHeight="1">
      <c r="J486" s="2840"/>
      <c r="K486" s="659"/>
      <c r="L486" s="659"/>
      <c r="M486" s="659"/>
      <c r="N486" s="659"/>
      <c r="O486" s="659"/>
      <c r="P486" s="659"/>
      <c r="Q486" s="659"/>
      <c r="R486" s="659"/>
      <c r="S486" s="659"/>
      <c r="T486" s="659"/>
      <c r="U486" s="659"/>
      <c r="V486" s="659"/>
      <c r="W486" s="659"/>
      <c r="X486" s="659"/>
      <c r="Y486" s="659"/>
      <c r="Z486" s="659"/>
      <c r="AA486" s="659"/>
    </row>
    <row r="487" spans="10:27" s="1308" customFormat="1" ht="21.75" customHeight="1">
      <c r="J487" s="2840"/>
      <c r="K487" s="659"/>
      <c r="L487" s="659"/>
      <c r="M487" s="659"/>
      <c r="N487" s="659"/>
      <c r="O487" s="659"/>
      <c r="P487" s="659"/>
      <c r="Q487" s="659"/>
      <c r="R487" s="659"/>
      <c r="S487" s="659"/>
      <c r="T487" s="659"/>
      <c r="U487" s="659"/>
      <c r="V487" s="659"/>
      <c r="W487" s="659"/>
      <c r="X487" s="659"/>
      <c r="Y487" s="659"/>
      <c r="Z487" s="659"/>
      <c r="AA487" s="659"/>
    </row>
    <row r="488" spans="10:27" s="1308" customFormat="1" ht="21.75" customHeight="1">
      <c r="J488" s="2840"/>
      <c r="K488" s="659"/>
      <c r="L488" s="659"/>
      <c r="M488" s="659"/>
      <c r="N488" s="659"/>
      <c r="O488" s="659"/>
      <c r="P488" s="659"/>
      <c r="Q488" s="659"/>
      <c r="R488" s="659"/>
      <c r="S488" s="659"/>
      <c r="T488" s="659"/>
      <c r="U488" s="659"/>
      <c r="V488" s="659"/>
      <c r="W488" s="659"/>
      <c r="X488" s="659"/>
      <c r="Y488" s="659"/>
      <c r="Z488" s="659"/>
      <c r="AA488" s="659"/>
    </row>
    <row r="489" spans="10:27" s="1308" customFormat="1" ht="21.75" customHeight="1">
      <c r="J489" s="2840"/>
      <c r="K489" s="659"/>
      <c r="L489" s="659"/>
      <c r="M489" s="659"/>
      <c r="N489" s="659"/>
      <c r="O489" s="659"/>
      <c r="P489" s="659"/>
      <c r="Q489" s="659"/>
      <c r="R489" s="659"/>
      <c r="S489" s="659"/>
      <c r="T489" s="659"/>
      <c r="U489" s="659"/>
      <c r="V489" s="659"/>
      <c r="W489" s="659"/>
      <c r="X489" s="659"/>
      <c r="Y489" s="659"/>
      <c r="Z489" s="659"/>
      <c r="AA489" s="659"/>
    </row>
    <row r="490" spans="10:27" s="1308" customFormat="1" ht="21.75" customHeight="1">
      <c r="J490" s="2840"/>
      <c r="K490" s="659"/>
      <c r="L490" s="659"/>
      <c r="M490" s="659"/>
      <c r="N490" s="659"/>
      <c r="O490" s="659"/>
      <c r="P490" s="659"/>
      <c r="Q490" s="659"/>
      <c r="R490" s="659"/>
      <c r="S490" s="659"/>
      <c r="T490" s="659"/>
      <c r="U490" s="659"/>
      <c r="V490" s="659"/>
      <c r="W490" s="659"/>
      <c r="X490" s="659"/>
      <c r="Y490" s="659"/>
      <c r="Z490" s="659"/>
      <c r="AA490" s="659"/>
    </row>
    <row r="491" spans="10:27" s="1308" customFormat="1" ht="21.75" customHeight="1">
      <c r="J491" s="2840"/>
      <c r="K491" s="659"/>
      <c r="L491" s="659"/>
      <c r="M491" s="659"/>
      <c r="N491" s="659"/>
      <c r="O491" s="659"/>
      <c r="P491" s="659"/>
      <c r="Q491" s="659"/>
      <c r="R491" s="659"/>
      <c r="S491" s="659"/>
      <c r="T491" s="659"/>
      <c r="U491" s="659"/>
      <c r="V491" s="659"/>
      <c r="W491" s="659"/>
      <c r="X491" s="659"/>
      <c r="Y491" s="659"/>
      <c r="Z491" s="659"/>
      <c r="AA491" s="659"/>
    </row>
    <row r="492" spans="10:27" s="1308" customFormat="1" ht="21.75" customHeight="1">
      <c r="J492" s="2840"/>
      <c r="K492" s="659"/>
      <c r="L492" s="659"/>
      <c r="M492" s="659"/>
      <c r="N492" s="659"/>
      <c r="O492" s="659"/>
      <c r="P492" s="659"/>
      <c r="Q492" s="659"/>
      <c r="R492" s="659"/>
      <c r="S492" s="659"/>
      <c r="T492" s="659"/>
      <c r="U492" s="659"/>
      <c r="V492" s="659"/>
      <c r="W492" s="659"/>
      <c r="X492" s="659"/>
      <c r="Y492" s="659"/>
      <c r="Z492" s="659"/>
      <c r="AA492" s="659"/>
    </row>
    <row r="493" spans="10:27" s="1308" customFormat="1" ht="21.75" customHeight="1">
      <c r="J493" s="2840"/>
      <c r="K493" s="659"/>
      <c r="L493" s="659"/>
      <c r="M493" s="659"/>
      <c r="N493" s="659"/>
      <c r="O493" s="659"/>
      <c r="P493" s="659"/>
      <c r="Q493" s="659"/>
      <c r="R493" s="659"/>
      <c r="S493" s="659"/>
      <c r="T493" s="659"/>
      <c r="U493" s="659"/>
      <c r="V493" s="659"/>
      <c r="W493" s="659"/>
      <c r="X493" s="659"/>
      <c r="Y493" s="659"/>
      <c r="Z493" s="659"/>
      <c r="AA493" s="659"/>
    </row>
    <row r="494" spans="10:27" s="1308" customFormat="1" ht="21.75" customHeight="1">
      <c r="J494" s="2840"/>
      <c r="K494" s="659"/>
      <c r="L494" s="659"/>
      <c r="M494" s="659"/>
      <c r="N494" s="659"/>
      <c r="O494" s="659"/>
      <c r="P494" s="659"/>
      <c r="Q494" s="659"/>
      <c r="R494" s="659"/>
      <c r="S494" s="659"/>
      <c r="T494" s="659"/>
      <c r="U494" s="659"/>
      <c r="V494" s="659"/>
      <c r="W494" s="659"/>
      <c r="X494" s="659"/>
      <c r="Y494" s="659"/>
      <c r="Z494" s="659"/>
      <c r="AA494" s="659"/>
    </row>
    <row r="495" spans="10:27" s="1308" customFormat="1" ht="21.75" customHeight="1">
      <c r="J495" s="2840"/>
      <c r="K495" s="659"/>
      <c r="L495" s="659"/>
      <c r="M495" s="659"/>
      <c r="N495" s="659"/>
      <c r="O495" s="659"/>
      <c r="P495" s="659"/>
      <c r="Q495" s="659"/>
      <c r="R495" s="659"/>
      <c r="S495" s="659"/>
      <c r="T495" s="659"/>
      <c r="U495" s="659"/>
      <c r="V495" s="659"/>
      <c r="W495" s="659"/>
      <c r="X495" s="659"/>
      <c r="Y495" s="659"/>
      <c r="Z495" s="659"/>
      <c r="AA495" s="659"/>
    </row>
    <row r="496" spans="10:27" s="1308" customFormat="1" ht="21.75" customHeight="1">
      <c r="J496" s="2840"/>
      <c r="K496" s="659"/>
      <c r="L496" s="659"/>
      <c r="M496" s="659"/>
      <c r="N496" s="659"/>
      <c r="O496" s="659"/>
      <c r="P496" s="659"/>
      <c r="Q496" s="659"/>
      <c r="R496" s="659"/>
      <c r="S496" s="659"/>
      <c r="T496" s="659"/>
      <c r="U496" s="659"/>
      <c r="V496" s="659"/>
      <c r="W496" s="659"/>
      <c r="X496" s="659"/>
      <c r="Y496" s="659"/>
      <c r="Z496" s="659"/>
      <c r="AA496" s="659"/>
    </row>
    <row r="497" spans="10:27" s="1308" customFormat="1" ht="21.75" customHeight="1">
      <c r="J497" s="2840"/>
      <c r="K497" s="659"/>
      <c r="L497" s="659"/>
      <c r="M497" s="659"/>
      <c r="N497" s="659"/>
      <c r="O497" s="659"/>
      <c r="P497" s="659"/>
      <c r="Q497" s="659"/>
      <c r="R497" s="659"/>
      <c r="S497" s="659"/>
      <c r="T497" s="659"/>
      <c r="U497" s="659"/>
      <c r="V497" s="659"/>
      <c r="W497" s="659"/>
      <c r="X497" s="659"/>
      <c r="Y497" s="659"/>
      <c r="Z497" s="659"/>
      <c r="AA497" s="659"/>
    </row>
    <row r="498" spans="10:27" s="1308" customFormat="1" ht="21.75" customHeight="1">
      <c r="J498" s="2840"/>
      <c r="K498" s="659"/>
      <c r="L498" s="659"/>
      <c r="M498" s="659"/>
      <c r="N498" s="659"/>
      <c r="O498" s="659"/>
      <c r="P498" s="659"/>
      <c r="Q498" s="659"/>
      <c r="R498" s="659"/>
      <c r="S498" s="659"/>
      <c r="T498" s="659"/>
      <c r="U498" s="659"/>
      <c r="V498" s="659"/>
      <c r="W498" s="659"/>
      <c r="X498" s="659"/>
      <c r="Y498" s="659"/>
      <c r="Z498" s="659"/>
      <c r="AA498" s="659"/>
    </row>
    <row r="499" spans="10:27" s="1308" customFormat="1" ht="21.75" customHeight="1">
      <c r="J499" s="2840"/>
      <c r="K499" s="659"/>
      <c r="L499" s="659"/>
      <c r="M499" s="659"/>
      <c r="N499" s="659"/>
      <c r="O499" s="659"/>
      <c r="P499" s="659"/>
      <c r="Q499" s="659"/>
      <c r="R499" s="659"/>
      <c r="S499" s="659"/>
      <c r="T499" s="659"/>
      <c r="U499" s="659"/>
      <c r="V499" s="659"/>
      <c r="W499" s="659"/>
      <c r="X499" s="659"/>
      <c r="Y499" s="659"/>
      <c r="Z499" s="659"/>
      <c r="AA499" s="659"/>
    </row>
    <row r="500" spans="10:27" s="1308" customFormat="1" ht="21.75" customHeight="1">
      <c r="J500" s="2840"/>
      <c r="K500" s="659"/>
      <c r="L500" s="659"/>
      <c r="M500" s="659"/>
      <c r="N500" s="659"/>
      <c r="O500" s="659"/>
      <c r="P500" s="659"/>
      <c r="Q500" s="659"/>
      <c r="R500" s="659"/>
      <c r="S500" s="659"/>
      <c r="T500" s="659"/>
      <c r="U500" s="659"/>
      <c r="V500" s="659"/>
      <c r="W500" s="659"/>
      <c r="X500" s="659"/>
      <c r="Y500" s="659"/>
      <c r="Z500" s="659"/>
      <c r="AA500" s="659"/>
    </row>
    <row r="501" spans="10:27" s="1308" customFormat="1" ht="21.75" customHeight="1">
      <c r="J501" s="2840"/>
      <c r="K501" s="659"/>
      <c r="L501" s="659"/>
      <c r="M501" s="659"/>
      <c r="N501" s="659"/>
      <c r="O501" s="659"/>
      <c r="P501" s="659"/>
      <c r="Q501" s="659"/>
      <c r="R501" s="659"/>
      <c r="S501" s="659"/>
      <c r="T501" s="659"/>
      <c r="U501" s="659"/>
      <c r="V501" s="659"/>
      <c r="W501" s="659"/>
      <c r="X501" s="659"/>
      <c r="Y501" s="659"/>
      <c r="Z501" s="659"/>
      <c r="AA501" s="659"/>
    </row>
    <row r="502" spans="10:27" s="1308" customFormat="1" ht="21.75" customHeight="1">
      <c r="J502" s="2840"/>
      <c r="K502" s="659"/>
      <c r="L502" s="659"/>
      <c r="M502" s="659"/>
      <c r="N502" s="659"/>
      <c r="O502" s="659"/>
      <c r="P502" s="659"/>
      <c r="Q502" s="659"/>
      <c r="R502" s="659"/>
      <c r="S502" s="659"/>
      <c r="T502" s="659"/>
      <c r="U502" s="659"/>
      <c r="V502" s="659"/>
      <c r="W502" s="659"/>
      <c r="X502" s="659"/>
      <c r="Y502" s="659"/>
      <c r="Z502" s="659"/>
      <c r="AA502" s="659"/>
    </row>
    <row r="503" spans="10:27" s="1308" customFormat="1" ht="21.75" customHeight="1">
      <c r="J503" s="2840"/>
      <c r="K503" s="659"/>
      <c r="L503" s="659"/>
      <c r="M503" s="659"/>
      <c r="N503" s="659"/>
      <c r="O503" s="659"/>
      <c r="P503" s="659"/>
      <c r="Q503" s="659"/>
      <c r="R503" s="659"/>
      <c r="S503" s="659"/>
      <c r="T503" s="659"/>
      <c r="U503" s="659"/>
      <c r="V503" s="659"/>
      <c r="W503" s="659"/>
      <c r="X503" s="659"/>
      <c r="Y503" s="659"/>
      <c r="Z503" s="659"/>
      <c r="AA503" s="659"/>
    </row>
    <row r="504" spans="10:27" s="1308" customFormat="1" ht="21.75" customHeight="1">
      <c r="J504" s="2840"/>
      <c r="K504" s="659"/>
      <c r="L504" s="659"/>
      <c r="M504" s="659"/>
      <c r="N504" s="659"/>
      <c r="O504" s="659"/>
      <c r="P504" s="659"/>
      <c r="Q504" s="659"/>
      <c r="R504" s="659"/>
      <c r="S504" s="659"/>
      <c r="T504" s="659"/>
      <c r="U504" s="659"/>
      <c r="V504" s="659"/>
      <c r="W504" s="659"/>
      <c r="X504" s="659"/>
      <c r="Y504" s="659"/>
      <c r="Z504" s="659"/>
      <c r="AA504" s="659"/>
    </row>
    <row r="505" spans="10:27" s="1308" customFormat="1" ht="21.75" customHeight="1">
      <c r="J505" s="2840"/>
      <c r="K505" s="659"/>
      <c r="L505" s="659"/>
      <c r="M505" s="659"/>
      <c r="N505" s="659"/>
      <c r="O505" s="659"/>
      <c r="P505" s="659"/>
      <c r="Q505" s="659"/>
      <c r="R505" s="659"/>
      <c r="S505" s="659"/>
      <c r="T505" s="659"/>
      <c r="U505" s="659"/>
      <c r="V505" s="659"/>
      <c r="W505" s="659"/>
      <c r="X505" s="659"/>
      <c r="Y505" s="659"/>
      <c r="Z505" s="659"/>
      <c r="AA505" s="659"/>
    </row>
    <row r="506" spans="10:27" s="1308" customFormat="1" ht="21.75" customHeight="1">
      <c r="J506" s="2840"/>
      <c r="K506" s="659"/>
      <c r="L506" s="659"/>
      <c r="M506" s="659"/>
      <c r="N506" s="659"/>
      <c r="O506" s="659"/>
      <c r="P506" s="659"/>
      <c r="Q506" s="659"/>
      <c r="R506" s="659"/>
      <c r="S506" s="659"/>
      <c r="T506" s="659"/>
      <c r="U506" s="659"/>
      <c r="V506" s="659"/>
      <c r="W506" s="659"/>
      <c r="X506" s="659"/>
      <c r="Y506" s="659"/>
      <c r="Z506" s="659"/>
      <c r="AA506" s="659"/>
    </row>
    <row r="507" spans="10:27" s="1308" customFormat="1" ht="21.75" customHeight="1">
      <c r="J507" s="2840"/>
      <c r="K507" s="659"/>
      <c r="L507" s="659"/>
      <c r="M507" s="659"/>
      <c r="N507" s="659"/>
      <c r="O507" s="659"/>
      <c r="P507" s="659"/>
      <c r="Q507" s="659"/>
      <c r="R507" s="659"/>
      <c r="S507" s="659"/>
      <c r="T507" s="659"/>
      <c r="U507" s="659"/>
      <c r="V507" s="659"/>
      <c r="W507" s="659"/>
      <c r="X507" s="659"/>
      <c r="Y507" s="659"/>
      <c r="Z507" s="659"/>
      <c r="AA507" s="659"/>
    </row>
    <row r="508" spans="10:27" s="1308" customFormat="1" ht="21.75" customHeight="1">
      <c r="J508" s="2840"/>
      <c r="K508" s="659"/>
      <c r="L508" s="659"/>
      <c r="M508" s="659"/>
      <c r="N508" s="659"/>
      <c r="O508" s="659"/>
      <c r="P508" s="659"/>
      <c r="Q508" s="659"/>
      <c r="R508" s="659"/>
      <c r="S508" s="659"/>
      <c r="T508" s="659"/>
      <c r="U508" s="659"/>
      <c r="V508" s="659"/>
      <c r="W508" s="659"/>
      <c r="X508" s="659"/>
      <c r="Y508" s="659"/>
      <c r="Z508" s="659"/>
      <c r="AA508" s="659"/>
    </row>
    <row r="509" spans="10:27" s="1308" customFormat="1" ht="21.75" customHeight="1">
      <c r="J509" s="2840"/>
      <c r="K509" s="659"/>
      <c r="L509" s="659"/>
      <c r="M509" s="659"/>
      <c r="N509" s="659"/>
      <c r="O509" s="659"/>
      <c r="P509" s="659"/>
      <c r="Q509" s="659"/>
      <c r="R509" s="659"/>
      <c r="S509" s="659"/>
      <c r="T509" s="659"/>
      <c r="U509" s="659"/>
      <c r="V509" s="659"/>
      <c r="W509" s="659"/>
      <c r="X509" s="659"/>
      <c r="Y509" s="659"/>
      <c r="Z509" s="659"/>
      <c r="AA509" s="659"/>
    </row>
    <row r="510" spans="10:27" s="1308" customFormat="1" ht="21.75" customHeight="1">
      <c r="J510" s="2840"/>
      <c r="K510" s="659"/>
      <c r="L510" s="659"/>
      <c r="M510" s="659"/>
      <c r="N510" s="659"/>
      <c r="O510" s="659"/>
      <c r="P510" s="659"/>
      <c r="Q510" s="659"/>
      <c r="R510" s="659"/>
      <c r="S510" s="659"/>
      <c r="T510" s="659"/>
      <c r="U510" s="659"/>
      <c r="V510" s="659"/>
      <c r="W510" s="659"/>
      <c r="X510" s="659"/>
      <c r="Y510" s="659"/>
      <c r="Z510" s="659"/>
      <c r="AA510" s="659"/>
    </row>
    <row r="511" spans="10:27" s="1308" customFormat="1" ht="21.75" customHeight="1">
      <c r="J511" s="2840"/>
      <c r="K511" s="659"/>
      <c r="L511" s="659"/>
      <c r="M511" s="659"/>
      <c r="N511" s="659"/>
      <c r="O511" s="659"/>
      <c r="P511" s="659"/>
      <c r="Q511" s="659"/>
      <c r="R511" s="659"/>
      <c r="S511" s="659"/>
      <c r="T511" s="659"/>
      <c r="U511" s="659"/>
      <c r="V511" s="659"/>
      <c r="W511" s="659"/>
      <c r="X511" s="659"/>
      <c r="Y511" s="659"/>
      <c r="Z511" s="659"/>
      <c r="AA511" s="659"/>
    </row>
    <row r="512" spans="10:27" s="1308" customFormat="1" ht="21.75" customHeight="1">
      <c r="J512" s="2840"/>
      <c r="K512" s="659"/>
      <c r="L512" s="659"/>
      <c r="M512" s="659"/>
      <c r="N512" s="659"/>
      <c r="O512" s="659"/>
      <c r="P512" s="659"/>
      <c r="Q512" s="659"/>
      <c r="R512" s="659"/>
      <c r="S512" s="659"/>
      <c r="T512" s="659"/>
      <c r="U512" s="659"/>
      <c r="V512" s="659"/>
      <c r="W512" s="659"/>
      <c r="X512" s="659"/>
      <c r="Y512" s="659"/>
      <c r="Z512" s="659"/>
      <c r="AA512" s="659"/>
    </row>
    <row r="513" spans="6:27" s="1308" customFormat="1" ht="21.75" customHeight="1">
      <c r="J513" s="2840"/>
      <c r="K513" s="659"/>
      <c r="L513" s="659"/>
      <c r="M513" s="659"/>
      <c r="N513" s="659"/>
      <c r="O513" s="659"/>
      <c r="P513" s="659"/>
      <c r="Q513" s="659"/>
      <c r="R513" s="659"/>
      <c r="S513" s="659"/>
      <c r="T513" s="659"/>
      <c r="U513" s="659"/>
      <c r="V513" s="659"/>
      <c r="W513" s="659"/>
      <c r="X513" s="659"/>
      <c r="Y513" s="659"/>
      <c r="Z513" s="659"/>
      <c r="AA513" s="659"/>
    </row>
    <row r="514" spans="6:27" s="1308" customFormat="1" ht="21.75" customHeight="1">
      <c r="J514" s="2840"/>
      <c r="K514" s="659"/>
      <c r="L514" s="659"/>
      <c r="M514" s="659"/>
      <c r="N514" s="659"/>
      <c r="O514" s="659"/>
      <c r="P514" s="659"/>
      <c r="Q514" s="659"/>
      <c r="R514" s="659"/>
      <c r="S514" s="659"/>
      <c r="T514" s="659"/>
      <c r="U514" s="659"/>
      <c r="V514" s="659"/>
      <c r="W514" s="659"/>
      <c r="X514" s="659"/>
      <c r="Y514" s="659"/>
      <c r="Z514" s="659"/>
      <c r="AA514" s="659"/>
    </row>
    <row r="515" spans="6:27" s="1308" customFormat="1" ht="21.75" customHeight="1">
      <c r="J515" s="2840"/>
      <c r="K515" s="659"/>
      <c r="L515" s="659"/>
      <c r="M515" s="659"/>
      <c r="N515" s="659"/>
      <c r="O515" s="659"/>
      <c r="P515" s="659"/>
      <c r="Q515" s="659"/>
      <c r="R515" s="659"/>
      <c r="S515" s="659"/>
      <c r="T515" s="659"/>
      <c r="U515" s="659"/>
      <c r="V515" s="659"/>
      <c r="W515" s="659"/>
      <c r="X515" s="659"/>
      <c r="Y515" s="659"/>
      <c r="Z515" s="659"/>
      <c r="AA515" s="659"/>
    </row>
    <row r="516" spans="6:27" s="1308" customFormat="1" ht="21.75" customHeight="1">
      <c r="J516" s="2840"/>
      <c r="K516" s="659"/>
      <c r="L516" s="659"/>
      <c r="M516" s="659"/>
      <c r="N516" s="659"/>
      <c r="O516" s="659"/>
      <c r="P516" s="659"/>
      <c r="Q516" s="659"/>
      <c r="R516" s="659"/>
      <c r="S516" s="659"/>
      <c r="T516" s="659"/>
      <c r="U516" s="659"/>
      <c r="V516" s="659"/>
      <c r="W516" s="659"/>
      <c r="X516" s="659"/>
      <c r="Y516" s="659"/>
      <c r="Z516" s="659"/>
      <c r="AA516" s="659"/>
    </row>
    <row r="517" spans="6:27" s="1308" customFormat="1" ht="21.75" customHeight="1">
      <c r="J517" s="2840"/>
      <c r="K517" s="659"/>
      <c r="L517" s="659"/>
      <c r="M517" s="659"/>
      <c r="N517" s="659"/>
      <c r="O517" s="659"/>
      <c r="P517" s="659"/>
      <c r="Q517" s="659"/>
      <c r="R517" s="659"/>
      <c r="S517" s="659"/>
      <c r="T517" s="659"/>
      <c r="U517" s="659"/>
      <c r="V517" s="659"/>
      <c r="W517" s="659"/>
      <c r="X517" s="659"/>
      <c r="Y517" s="659"/>
      <c r="Z517" s="659"/>
      <c r="AA517" s="659"/>
    </row>
    <row r="518" spans="6:27" s="1308" customFormat="1" ht="21.75" customHeight="1">
      <c r="J518" s="2840"/>
      <c r="K518" s="659"/>
      <c r="L518" s="659"/>
      <c r="M518" s="659"/>
      <c r="N518" s="659"/>
      <c r="O518" s="659"/>
      <c r="P518" s="659"/>
      <c r="Q518" s="659"/>
      <c r="R518" s="659"/>
      <c r="S518" s="659"/>
      <c r="T518" s="659"/>
      <c r="U518" s="659"/>
      <c r="V518" s="659"/>
      <c r="W518" s="659"/>
      <c r="X518" s="659"/>
      <c r="Y518" s="659"/>
      <c r="Z518" s="659"/>
      <c r="AA518" s="659"/>
    </row>
    <row r="519" spans="6:27" s="1308" customFormat="1" ht="21.75" customHeight="1">
      <c r="J519" s="2840"/>
      <c r="K519" s="659"/>
      <c r="L519" s="659"/>
      <c r="M519" s="659"/>
      <c r="N519" s="659"/>
      <c r="O519" s="659"/>
      <c r="P519" s="659"/>
      <c r="Q519" s="659"/>
      <c r="R519" s="659"/>
      <c r="S519" s="659"/>
      <c r="T519" s="659"/>
      <c r="U519" s="659"/>
      <c r="V519" s="659"/>
      <c r="W519" s="659"/>
      <c r="X519" s="659"/>
      <c r="Y519" s="659"/>
      <c r="Z519" s="659"/>
      <c r="AA519" s="659"/>
    </row>
    <row r="520" spans="6:27" s="1308" customFormat="1" ht="21.75" customHeight="1">
      <c r="F520" s="1462"/>
      <c r="G520" s="1462"/>
      <c r="H520" s="1462"/>
      <c r="I520" s="1462"/>
      <c r="J520" s="2840"/>
      <c r="K520" s="659"/>
      <c r="L520" s="659"/>
      <c r="M520" s="659"/>
      <c r="N520" s="659"/>
      <c r="O520" s="659"/>
      <c r="P520" s="659"/>
      <c r="Q520" s="659"/>
      <c r="R520" s="659"/>
      <c r="S520" s="659"/>
      <c r="T520" s="659"/>
      <c r="U520" s="659"/>
      <c r="V520" s="659"/>
      <c r="W520" s="659"/>
      <c r="X520" s="659"/>
      <c r="Y520" s="659"/>
      <c r="Z520" s="659"/>
      <c r="AA520" s="659"/>
    </row>
  </sheetData>
  <sheetProtection password="CEE9" sheet="1" objects="1" scenarios="1" formatCells="0" formatColumns="0" formatRows="0"/>
  <mergeCells count="140">
    <mergeCell ref="K65:K71"/>
    <mergeCell ref="A8:A9"/>
    <mergeCell ref="B8:B9"/>
    <mergeCell ref="C8:C9"/>
    <mergeCell ref="D8:D9"/>
    <mergeCell ref="A10:A11"/>
    <mergeCell ref="B10:B11"/>
    <mergeCell ref="C10:C11"/>
    <mergeCell ref="D10:D11"/>
    <mergeCell ref="A47:C47"/>
    <mergeCell ref="K47:P47"/>
    <mergeCell ref="A48:G48"/>
    <mergeCell ref="L48:M48"/>
    <mergeCell ref="N48:P48"/>
    <mergeCell ref="K52:P52"/>
    <mergeCell ref="B53:C53"/>
    <mergeCell ref="L53:M53"/>
    <mergeCell ref="B54:C54"/>
    <mergeCell ref="L54:M54"/>
    <mergeCell ref="B55:C55"/>
    <mergeCell ref="L55:M55"/>
    <mergeCell ref="L49:M49"/>
    <mergeCell ref="N49:P49"/>
    <mergeCell ref="A50:C50"/>
    <mergeCell ref="A2:I2"/>
    <mergeCell ref="A3:I3"/>
    <mergeCell ref="E4:I4"/>
    <mergeCell ref="A5:A7"/>
    <mergeCell ref="B5:B7"/>
    <mergeCell ref="C5:C7"/>
    <mergeCell ref="D5:D7"/>
    <mergeCell ref="A24:A25"/>
    <mergeCell ref="A38:A40"/>
    <mergeCell ref="A12:A13"/>
    <mergeCell ref="B12:B13"/>
    <mergeCell ref="C12:C13"/>
    <mergeCell ref="D12:D13"/>
    <mergeCell ref="A14:A16"/>
    <mergeCell ref="B14:B16"/>
    <mergeCell ref="C14:C16"/>
    <mergeCell ref="D14:D16"/>
    <mergeCell ref="E18:I18"/>
    <mergeCell ref="L50:M50"/>
    <mergeCell ref="N50:P50"/>
    <mergeCell ref="B51:C51"/>
    <mergeCell ref="G51:G53"/>
    <mergeCell ref="L51:M51"/>
    <mergeCell ref="N51:P51"/>
    <mergeCell ref="B52:C52"/>
    <mergeCell ref="B60:C60"/>
    <mergeCell ref="O58:P58"/>
    <mergeCell ref="K61:K62"/>
    <mergeCell ref="L61:L62"/>
    <mergeCell ref="A61:C61"/>
    <mergeCell ref="L63:M63"/>
    <mergeCell ref="A63:E63"/>
    <mergeCell ref="B56:C56"/>
    <mergeCell ref="L56:M56"/>
    <mergeCell ref="A57:C57"/>
    <mergeCell ref="L57:M57"/>
    <mergeCell ref="A58:C58"/>
    <mergeCell ref="K59:K60"/>
    <mergeCell ref="L59:L60"/>
    <mergeCell ref="B59:C59"/>
    <mergeCell ref="L58:M58"/>
    <mergeCell ref="A86:B86"/>
    <mergeCell ref="E93:G93"/>
    <mergeCell ref="E94:H94"/>
    <mergeCell ref="E95:H95"/>
    <mergeCell ref="E96:H96"/>
    <mergeCell ref="A101:D101"/>
    <mergeCell ref="F101:I101"/>
    <mergeCell ref="A64:B64"/>
    <mergeCell ref="A72:H72"/>
    <mergeCell ref="A73:B73"/>
    <mergeCell ref="E78:H78"/>
    <mergeCell ref="E80:H80"/>
    <mergeCell ref="A85:H85"/>
    <mergeCell ref="G92:H92"/>
    <mergeCell ref="A102:B102"/>
    <mergeCell ref="F102:G102"/>
    <mergeCell ref="H102:I102"/>
    <mergeCell ref="A103:A104"/>
    <mergeCell ref="F103:G103"/>
    <mergeCell ref="H103:I103"/>
    <mergeCell ref="F104:G105"/>
    <mergeCell ref="A105:A106"/>
    <mergeCell ref="F106:G106"/>
    <mergeCell ref="H106:I106"/>
    <mergeCell ref="A109:D109"/>
    <mergeCell ref="A115:B115"/>
    <mergeCell ref="F107:G107"/>
    <mergeCell ref="A110:B111"/>
    <mergeCell ref="F108:G108"/>
    <mergeCell ref="F109:G109"/>
    <mergeCell ref="A112:B112"/>
    <mergeCell ref="F110:G110"/>
    <mergeCell ref="A113:B113"/>
    <mergeCell ref="H111:I111"/>
    <mergeCell ref="A114:B114"/>
    <mergeCell ref="F111:G111"/>
    <mergeCell ref="F112:G113"/>
    <mergeCell ref="F114:G115"/>
    <mergeCell ref="B123:B124"/>
    <mergeCell ref="C123:C124"/>
    <mergeCell ref="D123:E123"/>
    <mergeCell ref="F123:G123"/>
    <mergeCell ref="H123:I123"/>
    <mergeCell ref="A118:B119"/>
    <mergeCell ref="F116:G117"/>
    <mergeCell ref="A120:B121"/>
    <mergeCell ref="F118:G118"/>
    <mergeCell ref="H118:I118"/>
    <mergeCell ref="F119:I119"/>
    <mergeCell ref="A116:B117"/>
    <mergeCell ref="A122:I122"/>
    <mergeCell ref="A134:C134"/>
    <mergeCell ref="D134:I134"/>
    <mergeCell ref="A136:I136"/>
    <mergeCell ref="A107:A108"/>
    <mergeCell ref="A32:I32"/>
    <mergeCell ref="A131:C131"/>
    <mergeCell ref="D131:I131"/>
    <mergeCell ref="A132:C132"/>
    <mergeCell ref="D132:I132"/>
    <mergeCell ref="A133:C133"/>
    <mergeCell ref="D133:I133"/>
    <mergeCell ref="A128:C128"/>
    <mergeCell ref="D128:I128"/>
    <mergeCell ref="A129:C129"/>
    <mergeCell ref="D129:I129"/>
    <mergeCell ref="A130:C130"/>
    <mergeCell ref="D130:I130"/>
    <mergeCell ref="A126:C126"/>
    <mergeCell ref="D126:E126"/>
    <mergeCell ref="F126:G126"/>
    <mergeCell ref="H126:I126"/>
    <mergeCell ref="A127:C127"/>
    <mergeCell ref="D127:I127"/>
    <mergeCell ref="A123:A124"/>
  </mergeCells>
  <phoneticPr fontId="91" type="noConversion"/>
  <conditionalFormatting sqref="C5:C7">
    <cfRule type="cellIs" dxfId="174" priority="9" stopIfTrue="1" operator="equal">
      <formula>25</formula>
    </cfRule>
  </conditionalFormatting>
  <conditionalFormatting sqref="C8:C9">
    <cfRule type="cellIs" dxfId="173" priority="8" stopIfTrue="1" operator="equal">
      <formula>15</formula>
    </cfRule>
  </conditionalFormatting>
  <conditionalFormatting sqref="C14:C16">
    <cfRule type="cellIs" dxfId="172" priority="7" stopIfTrue="1" operator="equal">
      <formula>30</formula>
    </cfRule>
  </conditionalFormatting>
  <conditionalFormatting sqref="D5:D7">
    <cfRule type="cellIs" dxfId="171" priority="6" stopIfTrue="1" operator="equal">
      <formula>25</formula>
    </cfRule>
  </conditionalFormatting>
  <conditionalFormatting sqref="D8:D9">
    <cfRule type="cellIs" dxfId="170" priority="5" stopIfTrue="1" operator="equal">
      <formula>15</formula>
    </cfRule>
  </conditionalFormatting>
  <conditionalFormatting sqref="C10:D13">
    <cfRule type="cellIs" dxfId="169" priority="4" stopIfTrue="1" operator="equal">
      <formula>15</formula>
    </cfRule>
  </conditionalFormatting>
  <conditionalFormatting sqref="D14:D16">
    <cfRule type="cellIs" dxfId="168" priority="3" stopIfTrue="1" operator="equal">
      <formula>30</formula>
    </cfRule>
  </conditionalFormatting>
  <conditionalFormatting sqref="C92">
    <cfRule type="expression" dxfId="167" priority="2" stopIfTrue="1">
      <formula>$H$90&lt;&gt;"仅含出让金"</formula>
    </cfRule>
  </conditionalFormatting>
  <conditionalFormatting sqref="C93">
    <cfRule type="expression" dxfId="166" priority="1" stopIfTrue="1">
      <formula>$H$93="由企业提供"</formula>
    </cfRule>
  </conditionalFormatting>
  <dataValidations count="13">
    <dataValidation type="list" allowBlank="1" showInputMessage="1" showErrorMessage="1" sqref="H93">
      <formula1>"企业提供（在右侧录入）,——"</formula1>
    </dataValidation>
    <dataValidation type="list" allowBlank="1" showInputMessage="1" showErrorMessage="1" sqref="C137">
      <formula1>"无,有"</formula1>
    </dataValidation>
    <dataValidation type="list" allowBlank="1" showInputMessage="1" showErrorMessage="1" sqref="D123:E123">
      <formula1>"出让国有建设用地使用权价值,划拨国有建设用地使用权价值"</formula1>
    </dataValidation>
    <dataValidation type="list" allowBlank="1" showInputMessage="1" showErrorMessage="1" sqref="D38">
      <formula1>"同一抵押权人同一抵押物续贷,注销后放款,正常操作"</formula1>
    </dataValidation>
    <dataValidation type="list" allowBlank="1" showInputMessage="1" showErrorMessage="1" sqref="F77">
      <formula1>"买卖合同,购房发票"</formula1>
    </dataValidation>
    <dataValidation type="list" allowBlank="1" showInputMessage="1" showErrorMessage="1" sqref="H90">
      <formula1>"仅含出让金,出让金+开发费"</formula1>
    </dataValidation>
    <dataValidation type="list" allowBlank="1" showInputMessage="1" showErrorMessage="1" sqref="F47">
      <formula1>"100%,80%,60%,64%"</formula1>
    </dataValidation>
    <dataValidation type="list" allowBlank="1" showInputMessage="1" showErrorMessage="1" sqref="H60">
      <formula1>"转让取得,自行开发建设"</formula1>
    </dataValidation>
    <dataValidation type="list" allowBlank="1" showInputMessage="1" showErrorMessage="1" sqref="H50">
      <formula1>"情况1,情况2,情况3,情况4"</formula1>
    </dataValidation>
    <dataValidation type="list" allowBlank="1" showInputMessage="1" showErrorMessage="1" sqref="H57:H58">
      <formula1>"个人住宅,正常"</formula1>
    </dataValidation>
    <dataValidation type="list" allowBlank="1" showInputMessage="1" showErrorMessage="1" sqref="C4:D4">
      <formula1>估价方法</formula1>
    </dataValidation>
    <dataValidation type="list" allowBlank="1" showInputMessage="1" showErrorMessage="1" sqref="G79">
      <formula1>"个人住宅,2016年5月1日前购买,2016年5月1日后购买"</formula1>
    </dataValidation>
    <dataValidation type="list" allowBlank="1" showInputMessage="1" showErrorMessage="1" sqref="H61">
      <formula1>"非个人房产,个人住宅（满五唯一有凭证）,个人其他（有凭证）,个人其他（无凭证）"</formula1>
    </dataValidation>
  </dataValidations>
  <pageMargins left="0.43307086614173229" right="0.43307086614173229" top="0.35433070866141736" bottom="0.15748031496062992" header="0.31496062992125984" footer="0.31496062992125984"/>
  <pageSetup paperSize="9" scale="80" orientation="portrait" r:id="rId1"/>
  <rowBreaks count="3" manualBreakCount="3">
    <brk id="45" max="8" man="1"/>
    <brk id="99" max="8" man="1"/>
    <brk id="150" max="8" man="1"/>
  </rowBreaks>
  <colBreaks count="1" manualBreakCount="1">
    <brk id="10" max="1048575" man="1"/>
  </col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A1:DS57"/>
  <sheetViews>
    <sheetView view="pageBreakPreview" zoomScale="80" zoomScaleNormal="80" zoomScaleSheetLayoutView="80" workbookViewId="0">
      <selection activeCell="N47" sqref="N47"/>
    </sheetView>
  </sheetViews>
  <sheetFormatPr defaultColWidth="8.375" defaultRowHeight="12.75"/>
  <cols>
    <col min="1" max="1" width="9.375" style="131" customWidth="1"/>
    <col min="2" max="2" width="29.25" style="116" customWidth="1"/>
    <col min="3" max="3" width="12.125" style="116" customWidth="1"/>
    <col min="4" max="4" width="12.25" style="134" customWidth="1"/>
    <col min="5" max="5" width="11.25" style="134" customWidth="1"/>
    <col min="6" max="6" width="9.5" style="116" customWidth="1"/>
    <col min="7" max="7" width="31.875" style="116" customWidth="1"/>
    <col min="8" max="123" width="9" style="122" customWidth="1"/>
    <col min="124" max="254" width="9" style="116" customWidth="1"/>
    <col min="255" max="16384" width="8.375" style="116"/>
  </cols>
  <sheetData>
    <row r="1" spans="1:123" s="80" customFormat="1" ht="20.25">
      <c r="A1" s="77" t="s">
        <v>1913</v>
      </c>
      <c r="B1" s="1002" t="s">
        <v>2915</v>
      </c>
      <c r="C1" s="78"/>
      <c r="D1" s="78"/>
      <c r="E1" s="78"/>
      <c r="F1" s="78"/>
      <c r="G1" s="79"/>
      <c r="H1" s="225"/>
      <c r="I1" s="225"/>
      <c r="J1" s="225"/>
      <c r="K1" s="225"/>
      <c r="L1" s="225"/>
      <c r="M1" s="225"/>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5"/>
      <c r="DR1" s="225"/>
      <c r="DS1" s="225"/>
    </row>
    <row r="2" spans="1:123" s="80" customFormat="1" ht="18" customHeight="1">
      <c r="A2" s="81" t="s">
        <v>1914</v>
      </c>
      <c r="B2" s="82">
        <f ca="1">IF(D2="——",IF(C2="元",C52,ROUND(C52/10000,0)),IF(C2="元",C52,ROUND(C52/10000,0))-E2)</f>
        <v>657</v>
      </c>
      <c r="C2" s="79" t="str">
        <f>'数据-取费表'!B3</f>
        <v>万元</v>
      </c>
      <c r="D2" s="1516" t="s">
        <v>1241</v>
      </c>
      <c r="E2" s="1180" t="e">
        <f ca="1">SUMIF(INDIRECT("'"&amp;G2&amp;"'"&amp;"!A:A"),"承租人权益价值",INDIRECT("'"&amp;G2&amp;"'"&amp;"!c:c"))</f>
        <v>#REF!</v>
      </c>
      <c r="F2" s="1517" t="str">
        <f>C2</f>
        <v>万元</v>
      </c>
      <c r="G2" s="1338"/>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row>
    <row r="3" spans="1:123" s="80" customFormat="1" ht="18" customHeight="1" thickBot="1">
      <c r="A3" s="83" t="s">
        <v>1915</v>
      </c>
      <c r="B3" s="84">
        <f ca="1">ROUND(C52/IF(B1="仅计算典型户型",'数据-取费表'!E5,'数据-取费表'!B5),0)</f>
        <v>42143</v>
      </c>
      <c r="C3" s="79" t="s">
        <v>1916</v>
      </c>
      <c r="D3" s="79"/>
      <c r="E3" s="79"/>
      <c r="F3" s="79"/>
      <c r="G3" s="79"/>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row>
    <row r="4" spans="1:123" s="88" customFormat="1" ht="15.75">
      <c r="A4" s="85" t="s">
        <v>1917</v>
      </c>
      <c r="B4" s="86"/>
      <c r="C4" s="86"/>
      <c r="D4" s="86"/>
      <c r="E4" s="86"/>
      <c r="F4" s="86"/>
      <c r="G4" s="87"/>
      <c r="H4" s="2983"/>
      <c r="I4" s="2983"/>
      <c r="J4" s="2983"/>
      <c r="K4" s="2983"/>
      <c r="L4" s="2983"/>
      <c r="M4" s="2983"/>
      <c r="N4" s="2983"/>
      <c r="O4" s="2983"/>
      <c r="P4" s="2983"/>
      <c r="Q4" s="2983"/>
      <c r="R4" s="2983"/>
      <c r="S4" s="2983"/>
      <c r="T4" s="2983"/>
      <c r="U4" s="2983"/>
      <c r="V4" s="2983"/>
      <c r="W4" s="2983"/>
      <c r="X4" s="2983"/>
      <c r="Y4" s="2983"/>
      <c r="Z4" s="2983"/>
      <c r="AA4" s="2983"/>
      <c r="AB4" s="2983"/>
      <c r="AC4" s="2983"/>
      <c r="AD4" s="2983"/>
      <c r="AE4" s="2983"/>
      <c r="AF4" s="2983"/>
      <c r="AG4" s="2983"/>
      <c r="AH4" s="2983"/>
      <c r="AI4" s="2983"/>
      <c r="AJ4" s="2983"/>
      <c r="AK4" s="2983"/>
      <c r="AL4" s="2983"/>
      <c r="AM4" s="2983"/>
      <c r="AN4" s="2983"/>
      <c r="AO4" s="2983"/>
      <c r="AP4" s="2983"/>
      <c r="AQ4" s="2983"/>
      <c r="AR4" s="2983"/>
      <c r="AS4" s="2983"/>
      <c r="AT4" s="2983"/>
      <c r="AU4" s="2983"/>
      <c r="AV4" s="2983"/>
      <c r="AW4" s="2983"/>
      <c r="AX4" s="2983"/>
      <c r="AY4" s="2983"/>
      <c r="AZ4" s="2983"/>
      <c r="BA4" s="2983"/>
      <c r="BB4" s="2983"/>
      <c r="BC4" s="2983"/>
      <c r="BD4" s="2983"/>
      <c r="BE4" s="2983"/>
      <c r="BF4" s="2983"/>
      <c r="BG4" s="2983"/>
      <c r="BH4" s="2983"/>
      <c r="BI4" s="2983"/>
      <c r="BJ4" s="2983"/>
      <c r="BK4" s="2983"/>
      <c r="BL4" s="2983"/>
      <c r="BM4" s="2983"/>
      <c r="BN4" s="2983"/>
      <c r="BO4" s="2983"/>
      <c r="BP4" s="2983"/>
      <c r="BQ4" s="2983"/>
      <c r="BR4" s="2983"/>
      <c r="BS4" s="2983"/>
      <c r="BT4" s="2983"/>
      <c r="BU4" s="2983"/>
      <c r="BV4" s="2983"/>
      <c r="BW4" s="2983"/>
      <c r="BX4" s="2983"/>
      <c r="BY4" s="2983"/>
      <c r="BZ4" s="2983"/>
      <c r="CA4" s="2983"/>
      <c r="CB4" s="2983"/>
      <c r="CC4" s="2983"/>
      <c r="CD4" s="2983"/>
      <c r="CE4" s="2983"/>
      <c r="CF4" s="2983"/>
      <c r="CG4" s="2983"/>
      <c r="CH4" s="2983"/>
      <c r="CI4" s="2983"/>
      <c r="CJ4" s="2983"/>
      <c r="CK4" s="2983"/>
      <c r="CL4" s="2983"/>
      <c r="CM4" s="2983"/>
      <c r="CN4" s="2983"/>
      <c r="CO4" s="2983"/>
      <c r="CP4" s="2983"/>
      <c r="CQ4" s="2983"/>
      <c r="CR4" s="2983"/>
      <c r="CS4" s="2983"/>
      <c r="CT4" s="2983"/>
      <c r="CU4" s="2983"/>
      <c r="CV4" s="2983"/>
      <c r="CW4" s="2983"/>
      <c r="CX4" s="2983"/>
      <c r="CY4" s="2983"/>
      <c r="CZ4" s="2983"/>
      <c r="DA4" s="2983"/>
      <c r="DB4" s="2983"/>
      <c r="DC4" s="2983"/>
      <c r="DD4" s="2983"/>
      <c r="DE4" s="2983"/>
      <c r="DF4" s="2983"/>
      <c r="DG4" s="2983"/>
      <c r="DH4" s="2983"/>
      <c r="DI4" s="2983"/>
      <c r="DJ4" s="2983"/>
      <c r="DK4" s="2983"/>
      <c r="DL4" s="2983"/>
      <c r="DM4" s="2983"/>
      <c r="DN4" s="2983"/>
      <c r="DO4" s="2983"/>
      <c r="DP4" s="2983"/>
      <c r="DQ4" s="2983"/>
      <c r="DR4" s="2983"/>
      <c r="DS4" s="2983"/>
    </row>
    <row r="5" spans="1:123" s="91" customFormat="1" ht="13.5" customHeight="1">
      <c r="A5" s="120" t="s">
        <v>1918</v>
      </c>
      <c r="B5" s="89" t="s">
        <v>1919</v>
      </c>
      <c r="C5" s="111">
        <f>C6+C7+C8</f>
        <v>4145924</v>
      </c>
      <c r="D5" s="111" t="s">
        <v>1920</v>
      </c>
      <c r="E5" s="1166" t="s">
        <v>1921</v>
      </c>
      <c r="F5" s="1166" t="s">
        <v>1922</v>
      </c>
      <c r="G5" s="90"/>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row>
    <row r="6" spans="1:123" s="91" customFormat="1" ht="13.5" customHeight="1">
      <c r="A6" s="92" t="s">
        <v>1923</v>
      </c>
      <c r="B6" s="93" t="s">
        <v>1924</v>
      </c>
      <c r="C6" s="1165">
        <f>基准地价修正!B2</f>
        <v>3992955</v>
      </c>
      <c r="D6" s="1167"/>
      <c r="E6" s="1168"/>
      <c r="F6" s="1168"/>
      <c r="G6" s="95"/>
      <c r="H6" s="96"/>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row>
    <row r="7" spans="1:123" s="91" customFormat="1" ht="13.5" customHeight="1">
      <c r="A7" s="92" t="s">
        <v>1925</v>
      </c>
      <c r="B7" s="93" t="s">
        <v>1926</v>
      </c>
      <c r="C7" s="115">
        <f>ROUND(C6*F7,0)</f>
        <v>121785</v>
      </c>
      <c r="D7" s="115"/>
      <c r="E7" s="1168"/>
      <c r="F7" s="1169">
        <f>'数据-取费表'!E36+'数据-取费表'!E37</f>
        <v>3.0499999999999999E-2</v>
      </c>
      <c r="G7" s="95"/>
      <c r="H7" s="96"/>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c r="CJ7" s="96"/>
      <c r="CK7" s="96"/>
      <c r="CL7" s="96"/>
      <c r="CM7" s="96"/>
      <c r="CN7" s="96"/>
      <c r="CO7" s="96"/>
      <c r="CP7" s="96"/>
      <c r="CQ7" s="96"/>
      <c r="CR7" s="96"/>
      <c r="CS7" s="96"/>
      <c r="CT7" s="96"/>
      <c r="CU7" s="96"/>
      <c r="CV7" s="96"/>
      <c r="CW7" s="96"/>
      <c r="CX7" s="96"/>
      <c r="CY7" s="96"/>
      <c r="CZ7" s="96"/>
      <c r="DA7" s="96"/>
      <c r="DB7" s="96"/>
      <c r="DC7" s="96"/>
      <c r="DD7" s="96"/>
      <c r="DE7" s="96"/>
      <c r="DF7" s="96"/>
      <c r="DG7" s="96"/>
      <c r="DH7" s="96"/>
      <c r="DI7" s="96"/>
      <c r="DJ7" s="96"/>
      <c r="DK7" s="96"/>
      <c r="DL7" s="96"/>
      <c r="DM7" s="96"/>
      <c r="DN7" s="96"/>
      <c r="DO7" s="96"/>
      <c r="DP7" s="96"/>
      <c r="DQ7" s="96"/>
      <c r="DR7" s="96"/>
      <c r="DS7" s="96"/>
    </row>
    <row r="8" spans="1:123" s="96" customFormat="1">
      <c r="A8" s="92" t="s">
        <v>1927</v>
      </c>
      <c r="B8" s="93" t="s">
        <v>1928</v>
      </c>
      <c r="C8" s="115">
        <f>IF(G8="已包含在土地购买价格中","0",'数据-取费表'!E13)</f>
        <v>31184</v>
      </c>
      <c r="D8" s="1170"/>
      <c r="E8" s="115"/>
      <c r="F8" s="1169"/>
      <c r="G8" s="1518" t="s">
        <v>2913</v>
      </c>
    </row>
    <row r="9" spans="1:123" s="91" customFormat="1" ht="13.5" customHeight="1">
      <c r="A9" s="993" t="s">
        <v>945</v>
      </c>
      <c r="B9" s="97" t="s">
        <v>1929</v>
      </c>
      <c r="C9" s="1171">
        <f>ROUND(D9*E9,0)</f>
        <v>0</v>
      </c>
      <c r="D9" s="1172">
        <f>IF('数据-取费表'!B10="住宅",IF(B1="仅计算典型户型",'数据-取费表'!E5,'数据-取费表'!B5),0)</f>
        <v>0</v>
      </c>
      <c r="E9" s="1171">
        <f>'数据-取费表'!E11</f>
        <v>0</v>
      </c>
      <c r="F9" s="1169"/>
      <c r="G9" s="98"/>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c r="AT9" s="96"/>
      <c r="AU9" s="96"/>
      <c r="AV9" s="96"/>
      <c r="AW9" s="96"/>
      <c r="AX9" s="96"/>
      <c r="AY9" s="96"/>
      <c r="AZ9" s="96"/>
      <c r="BA9" s="96"/>
      <c r="BB9" s="96"/>
      <c r="BC9" s="96"/>
      <c r="BD9" s="96"/>
      <c r="BE9" s="96"/>
      <c r="BF9" s="96"/>
      <c r="BG9" s="96"/>
      <c r="BH9" s="96"/>
      <c r="BI9" s="96"/>
      <c r="BJ9" s="96"/>
      <c r="BK9" s="96"/>
      <c r="BL9" s="96"/>
      <c r="BM9" s="96"/>
      <c r="BN9" s="96"/>
      <c r="BO9" s="96"/>
      <c r="BP9" s="96"/>
      <c r="BQ9" s="96"/>
      <c r="BR9" s="96"/>
      <c r="BS9" s="96"/>
      <c r="BT9" s="96"/>
      <c r="BU9" s="96"/>
      <c r="BV9" s="96"/>
      <c r="BW9" s="96"/>
      <c r="BX9" s="96"/>
      <c r="BY9" s="96"/>
      <c r="BZ9" s="96"/>
      <c r="CA9" s="96"/>
      <c r="CB9" s="96"/>
      <c r="CC9" s="96"/>
      <c r="CD9" s="96"/>
      <c r="CE9" s="96"/>
      <c r="CF9" s="96"/>
      <c r="CG9" s="96"/>
      <c r="CH9" s="96"/>
      <c r="CI9" s="96"/>
      <c r="CJ9" s="96"/>
      <c r="CK9" s="96"/>
      <c r="CL9" s="96"/>
      <c r="CM9" s="96"/>
      <c r="CN9" s="96"/>
      <c r="CO9" s="96"/>
      <c r="CP9" s="96"/>
      <c r="CQ9" s="96"/>
      <c r="CR9" s="96"/>
      <c r="CS9" s="96"/>
      <c r="CT9" s="96"/>
      <c r="CU9" s="96"/>
      <c r="CV9" s="96"/>
      <c r="CW9" s="96"/>
      <c r="CX9" s="96"/>
      <c r="CY9" s="96"/>
      <c r="CZ9" s="96"/>
      <c r="DA9" s="96"/>
      <c r="DB9" s="96"/>
      <c r="DC9" s="96"/>
      <c r="DD9" s="96"/>
      <c r="DE9" s="96"/>
      <c r="DF9" s="96"/>
      <c r="DG9" s="96"/>
      <c r="DH9" s="96"/>
      <c r="DI9" s="96"/>
      <c r="DJ9" s="96"/>
      <c r="DK9" s="96"/>
      <c r="DL9" s="96"/>
      <c r="DM9" s="96"/>
      <c r="DN9" s="96"/>
      <c r="DO9" s="96"/>
      <c r="DP9" s="96"/>
      <c r="DQ9" s="96"/>
      <c r="DR9" s="96"/>
      <c r="DS9" s="96"/>
    </row>
    <row r="10" spans="1:123" s="91" customFormat="1" ht="13.5" customHeight="1">
      <c r="A10" s="993" t="s">
        <v>946</v>
      </c>
      <c r="B10" s="97" t="s">
        <v>1930</v>
      </c>
      <c r="C10" s="1171">
        <f>ROUND(D10*E10,0)</f>
        <v>31184</v>
      </c>
      <c r="D10" s="1172">
        <f>IF('数据-取费表'!B10&lt;&gt;"住宅",IF(B1="仅计算典型户型",'数据-取费表'!E5,'数据-取费表'!B5),0)</f>
        <v>155.91999999999999</v>
      </c>
      <c r="E10" s="1171">
        <f>'数据-取费表'!E12</f>
        <v>200</v>
      </c>
      <c r="F10" s="1169"/>
      <c r="G10" s="98"/>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96"/>
      <c r="CK10" s="96"/>
      <c r="CL10" s="96"/>
      <c r="CM10" s="96"/>
      <c r="CN10" s="96"/>
      <c r="CO10" s="96"/>
      <c r="CP10" s="96"/>
      <c r="CQ10" s="96"/>
      <c r="CR10" s="96"/>
      <c r="CS10" s="96"/>
      <c r="CT10" s="96"/>
      <c r="CU10" s="96"/>
      <c r="CV10" s="96"/>
      <c r="CW10" s="96"/>
      <c r="CX10" s="96"/>
      <c r="CY10" s="96"/>
      <c r="CZ10" s="96"/>
      <c r="DA10" s="96"/>
      <c r="DB10" s="96"/>
      <c r="DC10" s="96"/>
      <c r="DD10" s="96"/>
      <c r="DE10" s="96"/>
      <c r="DF10" s="96"/>
      <c r="DG10" s="96"/>
      <c r="DH10" s="96"/>
      <c r="DI10" s="96"/>
      <c r="DJ10" s="96"/>
      <c r="DK10" s="96"/>
      <c r="DL10" s="96"/>
      <c r="DM10" s="96"/>
      <c r="DN10" s="96"/>
      <c r="DO10" s="96"/>
      <c r="DP10" s="96"/>
      <c r="DQ10" s="96"/>
      <c r="DR10" s="96"/>
      <c r="DS10" s="96"/>
    </row>
    <row r="11" spans="1:123" s="91" customFormat="1" ht="13.5" hidden="1" customHeight="1">
      <c r="A11" s="92" t="s">
        <v>4</v>
      </c>
      <c r="B11" s="93" t="s">
        <v>1931</v>
      </c>
      <c r="C11" s="111"/>
      <c r="D11" s="115"/>
      <c r="E11" s="1168"/>
      <c r="F11" s="1168"/>
      <c r="G11" s="95"/>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c r="BM11" s="96"/>
      <c r="BN11" s="96"/>
      <c r="BO11" s="96"/>
      <c r="BP11" s="96"/>
      <c r="BQ11" s="96"/>
      <c r="BR11" s="96"/>
      <c r="BS11" s="96"/>
      <c r="BT11" s="96"/>
      <c r="BU11" s="96"/>
      <c r="BV11" s="96"/>
      <c r="BW11" s="96"/>
      <c r="BX11" s="96"/>
      <c r="BY11" s="96"/>
      <c r="BZ11" s="96"/>
      <c r="CA11" s="96"/>
      <c r="CB11" s="96"/>
      <c r="CC11" s="96"/>
      <c r="CD11" s="96"/>
      <c r="CE11" s="96"/>
      <c r="CF11" s="96"/>
      <c r="CG11" s="96"/>
      <c r="CH11" s="96"/>
      <c r="CI11" s="96"/>
      <c r="CJ11" s="96"/>
      <c r="CK11" s="96"/>
      <c r="CL11" s="96"/>
      <c r="CM11" s="96"/>
      <c r="CN11" s="96"/>
      <c r="CO11" s="96"/>
      <c r="CP11" s="96"/>
      <c r="CQ11" s="96"/>
      <c r="CR11" s="96"/>
      <c r="CS11" s="96"/>
      <c r="CT11" s="96"/>
      <c r="CU11" s="96"/>
      <c r="CV11" s="96"/>
      <c r="CW11" s="96"/>
      <c r="CX11" s="96"/>
      <c r="CY11" s="96"/>
      <c r="CZ11" s="96"/>
      <c r="DA11" s="96"/>
      <c r="DB11" s="96"/>
      <c r="DC11" s="96"/>
      <c r="DD11" s="96"/>
      <c r="DE11" s="96"/>
      <c r="DF11" s="96"/>
      <c r="DG11" s="96"/>
      <c r="DH11" s="96"/>
      <c r="DI11" s="96"/>
      <c r="DJ11" s="96"/>
      <c r="DK11" s="96"/>
      <c r="DL11" s="96"/>
      <c r="DM11" s="96"/>
      <c r="DN11" s="96"/>
      <c r="DO11" s="96"/>
      <c r="DP11" s="96"/>
      <c r="DQ11" s="96"/>
      <c r="DR11" s="96"/>
      <c r="DS11" s="96"/>
    </row>
    <row r="12" spans="1:123" s="91" customFormat="1" ht="13.5" hidden="1" customHeight="1">
      <c r="A12" s="92" t="s">
        <v>5</v>
      </c>
      <c r="B12" s="93" t="s">
        <v>1932</v>
      </c>
      <c r="C12" s="111">
        <v>0</v>
      </c>
      <c r="D12" s="115"/>
      <c r="E12" s="1173"/>
      <c r="F12" s="1169">
        <v>3.0499999999999999E-2</v>
      </c>
      <c r="G12" s="95"/>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c r="BM12" s="96"/>
      <c r="BN12" s="96"/>
      <c r="BO12" s="96"/>
      <c r="BP12" s="96"/>
      <c r="BQ12" s="96"/>
      <c r="BR12" s="96"/>
      <c r="BS12" s="96"/>
      <c r="BT12" s="96"/>
      <c r="BU12" s="96"/>
      <c r="BV12" s="96"/>
      <c r="BW12" s="96"/>
      <c r="BX12" s="96"/>
      <c r="BY12" s="96"/>
      <c r="BZ12" s="96"/>
      <c r="CA12" s="96"/>
      <c r="CB12" s="96"/>
      <c r="CC12" s="96"/>
      <c r="CD12" s="96"/>
      <c r="CE12" s="96"/>
      <c r="CF12" s="96"/>
      <c r="CG12" s="96"/>
      <c r="CH12" s="96"/>
      <c r="CI12" s="96"/>
      <c r="CJ12" s="96"/>
      <c r="CK12" s="96"/>
      <c r="CL12" s="96"/>
      <c r="CM12" s="96"/>
      <c r="CN12" s="96"/>
      <c r="CO12" s="96"/>
      <c r="CP12" s="96"/>
      <c r="CQ12" s="96"/>
      <c r="CR12" s="96"/>
      <c r="CS12" s="96"/>
      <c r="CT12" s="96"/>
      <c r="CU12" s="96"/>
      <c r="CV12" s="96"/>
      <c r="CW12" s="96"/>
      <c r="CX12" s="96"/>
      <c r="CY12" s="96"/>
      <c r="CZ12" s="96"/>
      <c r="DA12" s="96"/>
      <c r="DB12" s="96"/>
      <c r="DC12" s="96"/>
      <c r="DD12" s="96"/>
      <c r="DE12" s="96"/>
      <c r="DF12" s="96"/>
      <c r="DG12" s="96"/>
      <c r="DH12" s="96"/>
      <c r="DI12" s="96"/>
      <c r="DJ12" s="96"/>
      <c r="DK12" s="96"/>
      <c r="DL12" s="96"/>
      <c r="DM12" s="96"/>
      <c r="DN12" s="96"/>
      <c r="DO12" s="96"/>
      <c r="DP12" s="96"/>
      <c r="DQ12" s="96"/>
      <c r="DR12" s="96"/>
      <c r="DS12" s="96"/>
    </row>
    <row r="13" spans="1:123" s="91" customFormat="1" ht="13.5" hidden="1" customHeight="1">
      <c r="A13" s="92" t="s">
        <v>6</v>
      </c>
      <c r="B13" s="93" t="s">
        <v>1933</v>
      </c>
      <c r="C13" s="111"/>
      <c r="D13" s="115"/>
      <c r="E13" s="1168"/>
      <c r="F13" s="1168"/>
      <c r="G13" s="95"/>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6"/>
      <c r="AO13" s="96"/>
      <c r="AP13" s="96"/>
      <c r="AQ13" s="96"/>
      <c r="AR13" s="96"/>
      <c r="AS13" s="96"/>
      <c r="AT13" s="96"/>
      <c r="AU13" s="96"/>
      <c r="AV13" s="96"/>
      <c r="AW13" s="96"/>
      <c r="AX13" s="96"/>
      <c r="AY13" s="96"/>
      <c r="AZ13" s="96"/>
      <c r="BA13" s="96"/>
      <c r="BB13" s="96"/>
      <c r="BC13" s="96"/>
      <c r="BD13" s="96"/>
      <c r="BE13" s="96"/>
      <c r="BF13" s="96"/>
      <c r="BG13" s="96"/>
      <c r="BH13" s="96"/>
      <c r="BI13" s="96"/>
      <c r="BJ13" s="96"/>
      <c r="BK13" s="96"/>
      <c r="BL13" s="96"/>
      <c r="BM13" s="96"/>
      <c r="BN13" s="96"/>
      <c r="BO13" s="96"/>
      <c r="BP13" s="96"/>
      <c r="BQ13" s="96"/>
      <c r="BR13" s="96"/>
      <c r="BS13" s="96"/>
      <c r="BT13" s="96"/>
      <c r="BU13" s="96"/>
      <c r="BV13" s="96"/>
      <c r="BW13" s="96"/>
      <c r="BX13" s="96"/>
      <c r="BY13" s="96"/>
      <c r="BZ13" s="96"/>
      <c r="CA13" s="96"/>
      <c r="CB13" s="96"/>
      <c r="CC13" s="96"/>
      <c r="CD13" s="96"/>
      <c r="CE13" s="96"/>
      <c r="CF13" s="96"/>
      <c r="CG13" s="96"/>
      <c r="CH13" s="96"/>
      <c r="CI13" s="96"/>
      <c r="CJ13" s="96"/>
      <c r="CK13" s="96"/>
      <c r="CL13" s="96"/>
      <c r="CM13" s="96"/>
      <c r="CN13" s="96"/>
      <c r="CO13" s="96"/>
      <c r="CP13" s="96"/>
      <c r="CQ13" s="96"/>
      <c r="CR13" s="96"/>
      <c r="CS13" s="96"/>
      <c r="CT13" s="96"/>
      <c r="CU13" s="96"/>
      <c r="CV13" s="96"/>
      <c r="CW13" s="96"/>
      <c r="CX13" s="96"/>
      <c r="CY13" s="96"/>
      <c r="CZ13" s="96"/>
      <c r="DA13" s="96"/>
      <c r="DB13" s="96"/>
      <c r="DC13" s="96"/>
      <c r="DD13" s="96"/>
      <c r="DE13" s="96"/>
      <c r="DF13" s="96"/>
      <c r="DG13" s="96"/>
      <c r="DH13" s="96"/>
      <c r="DI13" s="96"/>
      <c r="DJ13" s="96"/>
      <c r="DK13" s="96"/>
      <c r="DL13" s="96"/>
      <c r="DM13" s="96"/>
      <c r="DN13" s="96"/>
      <c r="DO13" s="96"/>
      <c r="DP13" s="96"/>
      <c r="DQ13" s="96"/>
      <c r="DR13" s="96"/>
      <c r="DS13" s="96"/>
    </row>
    <row r="14" spans="1:123" s="91" customFormat="1" ht="13.5" hidden="1" customHeight="1">
      <c r="A14" s="92" t="s">
        <v>7</v>
      </c>
      <c r="B14" s="93" t="s">
        <v>1928</v>
      </c>
      <c r="C14" s="111"/>
      <c r="D14" s="115"/>
      <c r="E14" s="1168"/>
      <c r="F14" s="1168"/>
      <c r="G14" s="95" t="s">
        <v>1934</v>
      </c>
      <c r="H14" s="96"/>
      <c r="I14" s="9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96"/>
      <c r="AQ14" s="96"/>
      <c r="AR14" s="96"/>
      <c r="AS14" s="96"/>
      <c r="AT14" s="96"/>
      <c r="AU14" s="96"/>
      <c r="AV14" s="96"/>
      <c r="AW14" s="96"/>
      <c r="AX14" s="96"/>
      <c r="AY14" s="96"/>
      <c r="AZ14" s="96"/>
      <c r="BA14" s="96"/>
      <c r="BB14" s="96"/>
      <c r="BC14" s="96"/>
      <c r="BD14" s="96"/>
      <c r="BE14" s="96"/>
      <c r="BF14" s="96"/>
      <c r="BG14" s="96"/>
      <c r="BH14" s="96"/>
      <c r="BI14" s="96"/>
      <c r="BJ14" s="96"/>
      <c r="BK14" s="96"/>
      <c r="BL14" s="96"/>
      <c r="BM14" s="96"/>
      <c r="BN14" s="96"/>
      <c r="BO14" s="96"/>
      <c r="BP14" s="96"/>
      <c r="BQ14" s="96"/>
      <c r="BR14" s="96"/>
      <c r="BS14" s="96"/>
      <c r="BT14" s="96"/>
      <c r="BU14" s="96"/>
      <c r="BV14" s="96"/>
      <c r="BW14" s="96"/>
      <c r="BX14" s="96"/>
      <c r="BY14" s="96"/>
      <c r="BZ14" s="96"/>
      <c r="CA14" s="96"/>
      <c r="CB14" s="96"/>
      <c r="CC14" s="96"/>
      <c r="CD14" s="96"/>
      <c r="CE14" s="96"/>
      <c r="CF14" s="96"/>
      <c r="CG14" s="96"/>
      <c r="CH14" s="96"/>
      <c r="CI14" s="96"/>
      <c r="CJ14" s="96"/>
      <c r="CK14" s="96"/>
      <c r="CL14" s="96"/>
      <c r="CM14" s="96"/>
      <c r="CN14" s="96"/>
      <c r="CO14" s="96"/>
      <c r="CP14" s="96"/>
      <c r="CQ14" s="96"/>
      <c r="CR14" s="96"/>
      <c r="CS14" s="96"/>
      <c r="CT14" s="96"/>
      <c r="CU14" s="96"/>
      <c r="CV14" s="96"/>
      <c r="CW14" s="96"/>
      <c r="CX14" s="96"/>
      <c r="CY14" s="96"/>
      <c r="CZ14" s="96"/>
      <c r="DA14" s="96"/>
      <c r="DB14" s="96"/>
      <c r="DC14" s="96"/>
      <c r="DD14" s="96"/>
      <c r="DE14" s="96"/>
      <c r="DF14" s="96"/>
      <c r="DG14" s="96"/>
      <c r="DH14" s="96"/>
      <c r="DI14" s="96"/>
      <c r="DJ14" s="96"/>
      <c r="DK14" s="96"/>
      <c r="DL14" s="96"/>
      <c r="DM14" s="96"/>
      <c r="DN14" s="96"/>
      <c r="DO14" s="96"/>
      <c r="DP14" s="96"/>
      <c r="DQ14" s="96"/>
      <c r="DR14" s="96"/>
      <c r="DS14" s="96"/>
    </row>
    <row r="15" spans="1:123" s="91" customFormat="1" ht="13.5" hidden="1" customHeight="1">
      <c r="A15" s="92" t="s">
        <v>8</v>
      </c>
      <c r="B15" s="93" t="s">
        <v>1935</v>
      </c>
      <c r="C15" s="115"/>
      <c r="D15" s="115"/>
      <c r="E15" s="1168"/>
      <c r="F15" s="1168"/>
      <c r="G15" s="95" t="s">
        <v>1936</v>
      </c>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96"/>
      <c r="AV15" s="96"/>
      <c r="AW15" s="96"/>
      <c r="AX15" s="96"/>
      <c r="AY15" s="96"/>
      <c r="AZ15" s="96"/>
      <c r="BA15" s="96"/>
      <c r="BB15" s="96"/>
      <c r="BC15" s="96"/>
      <c r="BD15" s="96"/>
      <c r="BE15" s="96"/>
      <c r="BF15" s="96"/>
      <c r="BG15" s="96"/>
      <c r="BH15" s="96"/>
      <c r="BI15" s="96"/>
      <c r="BJ15" s="96"/>
      <c r="BK15" s="96"/>
      <c r="BL15" s="96"/>
      <c r="BM15" s="96"/>
      <c r="BN15" s="96"/>
      <c r="BO15" s="96"/>
      <c r="BP15" s="96"/>
      <c r="BQ15" s="96"/>
      <c r="BR15" s="96"/>
      <c r="BS15" s="96"/>
      <c r="BT15" s="96"/>
      <c r="BU15" s="96"/>
      <c r="BV15" s="96"/>
      <c r="BW15" s="96"/>
      <c r="BX15" s="96"/>
      <c r="BY15" s="96"/>
      <c r="BZ15" s="96"/>
      <c r="CA15" s="96"/>
      <c r="CB15" s="96"/>
      <c r="CC15" s="96"/>
      <c r="CD15" s="96"/>
      <c r="CE15" s="96"/>
      <c r="CF15" s="96"/>
      <c r="CG15" s="96"/>
      <c r="CH15" s="96"/>
      <c r="CI15" s="96"/>
      <c r="CJ15" s="96"/>
      <c r="CK15" s="96"/>
      <c r="CL15" s="96"/>
      <c r="CM15" s="96"/>
      <c r="CN15" s="96"/>
      <c r="CO15" s="96"/>
      <c r="CP15" s="96"/>
      <c r="CQ15" s="96"/>
      <c r="CR15" s="96"/>
      <c r="CS15" s="96"/>
      <c r="CT15" s="96"/>
      <c r="CU15" s="96"/>
      <c r="CV15" s="96"/>
      <c r="CW15" s="96"/>
      <c r="CX15" s="96"/>
      <c r="CY15" s="96"/>
      <c r="CZ15" s="96"/>
      <c r="DA15" s="96"/>
      <c r="DB15" s="96"/>
      <c r="DC15" s="96"/>
      <c r="DD15" s="96"/>
      <c r="DE15" s="96"/>
      <c r="DF15" s="96"/>
      <c r="DG15" s="96"/>
      <c r="DH15" s="96"/>
      <c r="DI15" s="96"/>
      <c r="DJ15" s="96"/>
      <c r="DK15" s="96"/>
      <c r="DL15" s="96"/>
      <c r="DM15" s="96"/>
      <c r="DN15" s="96"/>
      <c r="DO15" s="96"/>
      <c r="DP15" s="96"/>
      <c r="DQ15" s="96"/>
      <c r="DR15" s="96"/>
      <c r="DS15" s="96"/>
    </row>
    <row r="16" spans="1:123" s="91" customFormat="1" ht="13.5" hidden="1" customHeight="1">
      <c r="A16" s="92" t="s">
        <v>9</v>
      </c>
      <c r="B16" s="93" t="s">
        <v>1928</v>
      </c>
      <c r="C16" s="115"/>
      <c r="D16" s="115"/>
      <c r="E16" s="1168"/>
      <c r="F16" s="1168"/>
      <c r="G16" s="95"/>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96"/>
      <c r="BN16" s="96"/>
      <c r="BO16" s="96"/>
      <c r="BP16" s="96"/>
      <c r="BQ16" s="96"/>
      <c r="BR16" s="96"/>
      <c r="BS16" s="96"/>
      <c r="BT16" s="96"/>
      <c r="BU16" s="96"/>
      <c r="BV16" s="96"/>
      <c r="BW16" s="96"/>
      <c r="BX16" s="96"/>
      <c r="BY16" s="96"/>
      <c r="BZ16" s="96"/>
      <c r="CA16" s="96"/>
      <c r="CB16" s="96"/>
      <c r="CC16" s="96"/>
      <c r="CD16" s="96"/>
      <c r="CE16" s="96"/>
      <c r="CF16" s="96"/>
      <c r="CG16" s="96"/>
      <c r="CH16" s="96"/>
      <c r="CI16" s="96"/>
      <c r="CJ16" s="96"/>
      <c r="CK16" s="96"/>
      <c r="CL16" s="96"/>
      <c r="CM16" s="96"/>
      <c r="CN16" s="96"/>
      <c r="CO16" s="96"/>
      <c r="CP16" s="96"/>
      <c r="CQ16" s="96"/>
      <c r="CR16" s="96"/>
      <c r="CS16" s="96"/>
      <c r="CT16" s="96"/>
      <c r="CU16" s="96"/>
      <c r="CV16" s="96"/>
      <c r="CW16" s="96"/>
      <c r="CX16" s="96"/>
      <c r="CY16" s="96"/>
      <c r="CZ16" s="96"/>
      <c r="DA16" s="96"/>
      <c r="DB16" s="96"/>
      <c r="DC16" s="96"/>
      <c r="DD16" s="96"/>
      <c r="DE16" s="96"/>
      <c r="DF16" s="96"/>
      <c r="DG16" s="96"/>
      <c r="DH16" s="96"/>
      <c r="DI16" s="96"/>
      <c r="DJ16" s="96"/>
      <c r="DK16" s="96"/>
      <c r="DL16" s="96"/>
      <c r="DM16" s="96"/>
      <c r="DN16" s="96"/>
      <c r="DO16" s="96"/>
      <c r="DP16" s="96"/>
      <c r="DQ16" s="96"/>
      <c r="DR16" s="96"/>
      <c r="DS16" s="96"/>
    </row>
    <row r="17" spans="1:123" s="91" customFormat="1" ht="13.5" hidden="1" customHeight="1">
      <c r="A17" s="92" t="s">
        <v>10</v>
      </c>
      <c r="B17" s="93" t="s">
        <v>1937</v>
      </c>
      <c r="C17" s="1174"/>
      <c r="D17" s="1174"/>
      <c r="E17" s="1174"/>
      <c r="F17" s="1174"/>
      <c r="G17" s="95" t="s">
        <v>1936</v>
      </c>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96"/>
      <c r="BH17" s="96"/>
      <c r="BI17" s="96"/>
      <c r="BJ17" s="96"/>
      <c r="BK17" s="96"/>
      <c r="BL17" s="96"/>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96"/>
      <c r="CK17" s="96"/>
      <c r="CL17" s="96"/>
      <c r="CM17" s="96"/>
      <c r="CN17" s="96"/>
      <c r="CO17" s="96"/>
      <c r="CP17" s="96"/>
      <c r="CQ17" s="96"/>
      <c r="CR17" s="96"/>
      <c r="CS17" s="96"/>
      <c r="CT17" s="96"/>
      <c r="CU17" s="96"/>
      <c r="CV17" s="96"/>
      <c r="CW17" s="96"/>
      <c r="CX17" s="96"/>
      <c r="CY17" s="96"/>
      <c r="CZ17" s="96"/>
      <c r="DA17" s="96"/>
      <c r="DB17" s="96"/>
      <c r="DC17" s="96"/>
      <c r="DD17" s="96"/>
      <c r="DE17" s="96"/>
      <c r="DF17" s="96"/>
      <c r="DG17" s="96"/>
      <c r="DH17" s="96"/>
      <c r="DI17" s="96"/>
      <c r="DJ17" s="96"/>
      <c r="DK17" s="96"/>
      <c r="DL17" s="96"/>
      <c r="DM17" s="96"/>
      <c r="DN17" s="96"/>
      <c r="DO17" s="96"/>
      <c r="DP17" s="96"/>
      <c r="DQ17" s="96"/>
      <c r="DR17" s="96"/>
      <c r="DS17" s="96"/>
    </row>
    <row r="18" spans="1:123" s="91" customFormat="1" ht="13.5" hidden="1" customHeight="1">
      <c r="A18" s="92" t="s">
        <v>11</v>
      </c>
      <c r="B18" s="93" t="s">
        <v>1938</v>
      </c>
      <c r="C18" s="115">
        <v>0</v>
      </c>
      <c r="D18" s="115"/>
      <c r="E18" s="1168"/>
      <c r="F18" s="1169">
        <v>3.0499999999999999E-2</v>
      </c>
      <c r="G18" s="95" t="s">
        <v>1939</v>
      </c>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c r="DM18" s="96"/>
      <c r="DN18" s="96"/>
      <c r="DO18" s="96"/>
      <c r="DP18" s="96"/>
      <c r="DQ18" s="96"/>
      <c r="DR18" s="96"/>
      <c r="DS18" s="96"/>
    </row>
    <row r="19" spans="1:123" s="96" customFormat="1" ht="13.5" customHeight="1">
      <c r="A19" s="120" t="s">
        <v>1940</v>
      </c>
      <c r="B19" s="89" t="s">
        <v>1941</v>
      </c>
      <c r="C19" s="111" t="str">
        <f>IF(G19="已包含在土地取得成本中","0",ROUND(D19*E19,0))</f>
        <v>0</v>
      </c>
      <c r="D19" s="1175">
        <f>IF(B1="仅计算典型户型",'数据-取费表'!E5,'数据-取费表'!B5)</f>
        <v>155.91999999999999</v>
      </c>
      <c r="E19" s="111">
        <f>'数据-取费表'!E15</f>
        <v>200</v>
      </c>
      <c r="F19" s="112"/>
      <c r="G19" s="1518" t="s">
        <v>2914</v>
      </c>
    </row>
    <row r="20" spans="1:123" s="91" customFormat="1" ht="13.5" customHeight="1">
      <c r="A20" s="120" t="s">
        <v>1942</v>
      </c>
      <c r="B20" s="89" t="s">
        <v>1943</v>
      </c>
      <c r="C20" s="99">
        <f>ROUND((C5+C19)*F20,0)</f>
        <v>82918</v>
      </c>
      <c r="D20" s="99"/>
      <c r="E20" s="99"/>
      <c r="F20" s="103">
        <f>'数据-取费表'!E25</f>
        <v>0.02</v>
      </c>
      <c r="G20" s="100" t="s">
        <v>1944</v>
      </c>
      <c r="H20" s="96"/>
      <c r="I20" s="96"/>
      <c r="J20" s="96"/>
      <c r="K20" s="96"/>
      <c r="L20" s="96"/>
      <c r="M20" s="96"/>
      <c r="N20" s="96"/>
      <c r="O20" s="96"/>
      <c r="P20" s="96"/>
      <c r="Q20" s="96"/>
      <c r="R20" s="96"/>
      <c r="S20" s="96"/>
      <c r="T20" s="96"/>
      <c r="U20" s="96"/>
      <c r="V20" s="96"/>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96"/>
      <c r="CK20" s="96"/>
      <c r="CL20" s="96"/>
      <c r="CM20" s="96"/>
      <c r="CN20" s="96"/>
      <c r="CO20" s="96"/>
      <c r="CP20" s="96"/>
      <c r="CQ20" s="96"/>
      <c r="CR20" s="96"/>
      <c r="CS20" s="96"/>
      <c r="CT20" s="96"/>
      <c r="CU20" s="96"/>
      <c r="CV20" s="96"/>
      <c r="CW20" s="96"/>
      <c r="CX20" s="96"/>
      <c r="CY20" s="96"/>
      <c r="CZ20" s="96"/>
      <c r="DA20" s="96"/>
      <c r="DB20" s="96"/>
      <c r="DC20" s="96"/>
      <c r="DD20" s="96"/>
      <c r="DE20" s="96"/>
      <c r="DF20" s="96"/>
      <c r="DG20" s="96"/>
      <c r="DH20" s="96"/>
      <c r="DI20" s="96"/>
      <c r="DJ20" s="96"/>
      <c r="DK20" s="96"/>
      <c r="DL20" s="96"/>
      <c r="DM20" s="96"/>
      <c r="DN20" s="96"/>
      <c r="DO20" s="96"/>
      <c r="DP20" s="96"/>
      <c r="DQ20" s="96"/>
      <c r="DR20" s="96"/>
      <c r="DS20" s="96"/>
    </row>
    <row r="21" spans="1:123" s="91" customFormat="1" ht="13.5" customHeight="1">
      <c r="A21" s="120" t="s">
        <v>1945</v>
      </c>
      <c r="B21" s="89" t="s">
        <v>1946</v>
      </c>
      <c r="C21" s="101">
        <f>F21</f>
        <v>0.02</v>
      </c>
      <c r="D21" s="102" t="s">
        <v>1947</v>
      </c>
      <c r="E21" s="99"/>
      <c r="F21" s="103">
        <f>'数据-取费表'!E26</f>
        <v>0.02</v>
      </c>
      <c r="G21" s="100" t="s">
        <v>1948</v>
      </c>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BU21" s="96"/>
      <c r="BV21" s="96"/>
      <c r="BW21" s="96"/>
      <c r="BX21" s="96"/>
      <c r="BY21" s="96"/>
      <c r="BZ21" s="96"/>
      <c r="CA21" s="96"/>
      <c r="CB21" s="96"/>
      <c r="CC21" s="96"/>
      <c r="CD21" s="96"/>
      <c r="CE21" s="96"/>
      <c r="CF21" s="96"/>
      <c r="CG21" s="96"/>
      <c r="CH21" s="96"/>
      <c r="CI21" s="96"/>
      <c r="CJ21" s="96"/>
      <c r="CK21" s="96"/>
      <c r="CL21" s="96"/>
      <c r="CM21" s="96"/>
      <c r="CN21" s="96"/>
      <c r="CO21" s="96"/>
      <c r="CP21" s="96"/>
      <c r="CQ21" s="96"/>
      <c r="CR21" s="96"/>
      <c r="CS21" s="96"/>
      <c r="CT21" s="96"/>
      <c r="CU21" s="96"/>
      <c r="CV21" s="96"/>
      <c r="CW21" s="96"/>
      <c r="CX21" s="96"/>
      <c r="CY21" s="96"/>
      <c r="CZ21" s="96"/>
      <c r="DA21" s="96"/>
      <c r="DB21" s="96"/>
      <c r="DC21" s="96"/>
      <c r="DD21" s="96"/>
      <c r="DE21" s="96"/>
      <c r="DF21" s="96"/>
      <c r="DG21" s="96"/>
      <c r="DH21" s="96"/>
      <c r="DI21" s="96"/>
      <c r="DJ21" s="96"/>
      <c r="DK21" s="96"/>
      <c r="DL21" s="96"/>
      <c r="DM21" s="96"/>
      <c r="DN21" s="96"/>
      <c r="DO21" s="96"/>
      <c r="DP21" s="96"/>
      <c r="DQ21" s="96"/>
      <c r="DR21" s="96"/>
      <c r="DS21" s="96"/>
    </row>
    <row r="22" spans="1:123" s="91" customFormat="1" ht="13.5" customHeight="1">
      <c r="A22" s="120" t="s">
        <v>1949</v>
      </c>
      <c r="B22" s="89" t="s">
        <v>1950</v>
      </c>
      <c r="C22" s="121">
        <f ca="1">ROUND(SUM(C23:C25),0)</f>
        <v>372148</v>
      </c>
      <c r="D22" s="101">
        <f ca="1">C26</f>
        <v>8.9999999999999998E-4</v>
      </c>
      <c r="E22" s="102" t="s">
        <v>1947</v>
      </c>
      <c r="F22" s="103">
        <f ca="1">'数据-取费表'!E27</f>
        <v>4.3499999999999997E-2</v>
      </c>
      <c r="G22" s="100" t="str">
        <f>IF('数据-取费表'!B24&lt;=1,"单利计息。","复利计息。")</f>
        <v>复利计息。</v>
      </c>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96"/>
      <c r="AV22" s="96"/>
      <c r="AW22" s="96"/>
      <c r="AX22" s="96"/>
      <c r="AY22" s="96"/>
      <c r="AZ22" s="96"/>
      <c r="BA22" s="96"/>
      <c r="BB22" s="96"/>
      <c r="BC22" s="96"/>
      <c r="BD22" s="96"/>
      <c r="BE22" s="96"/>
      <c r="BF22" s="96"/>
      <c r="BG22" s="96"/>
      <c r="BH22" s="96"/>
      <c r="BI22" s="96"/>
      <c r="BJ22" s="96"/>
      <c r="BK22" s="96"/>
      <c r="BL22" s="96"/>
      <c r="BM22" s="96"/>
      <c r="BN22" s="96"/>
      <c r="BO22" s="96"/>
      <c r="BP22" s="96"/>
      <c r="BQ22" s="96"/>
      <c r="BR22" s="96"/>
      <c r="BS22" s="96"/>
      <c r="BT22" s="96"/>
      <c r="BU22" s="96"/>
      <c r="BV22" s="96"/>
      <c r="BW22" s="96"/>
      <c r="BX22" s="96"/>
      <c r="BY22" s="96"/>
      <c r="BZ22" s="96"/>
      <c r="CA22" s="96"/>
      <c r="CB22" s="96"/>
      <c r="CC22" s="96"/>
      <c r="CD22" s="96"/>
      <c r="CE22" s="96"/>
      <c r="CF22" s="96"/>
      <c r="CG22" s="96"/>
      <c r="CH22" s="96"/>
      <c r="CI22" s="96"/>
      <c r="CJ22" s="96"/>
      <c r="CK22" s="96"/>
      <c r="CL22" s="96"/>
      <c r="CM22" s="96"/>
      <c r="CN22" s="96"/>
      <c r="CO22" s="96"/>
      <c r="CP22" s="96"/>
      <c r="CQ22" s="96"/>
      <c r="CR22" s="96"/>
      <c r="CS22" s="96"/>
      <c r="CT22" s="96"/>
      <c r="CU22" s="96"/>
      <c r="CV22" s="96"/>
      <c r="CW22" s="96"/>
      <c r="CX22" s="96"/>
      <c r="CY22" s="96"/>
      <c r="CZ22" s="96"/>
      <c r="DA22" s="96"/>
      <c r="DB22" s="96"/>
      <c r="DC22" s="96"/>
      <c r="DD22" s="96"/>
      <c r="DE22" s="96"/>
      <c r="DF22" s="96"/>
      <c r="DG22" s="96"/>
      <c r="DH22" s="96"/>
      <c r="DI22" s="96"/>
      <c r="DJ22" s="96"/>
      <c r="DK22" s="96"/>
      <c r="DL22" s="96"/>
      <c r="DM22" s="96"/>
      <c r="DN22" s="96"/>
      <c r="DO22" s="96"/>
      <c r="DP22" s="96"/>
      <c r="DQ22" s="96"/>
      <c r="DR22" s="96"/>
      <c r="DS22" s="96"/>
    </row>
    <row r="23" spans="1:123" s="91" customFormat="1" ht="13.5" customHeight="1">
      <c r="A23" s="92" t="s">
        <v>1951</v>
      </c>
      <c r="B23" s="93" t="s">
        <v>1952</v>
      </c>
      <c r="C23" s="1125">
        <f ca="1">ROUND(IF('数据-取费表'!B24&lt;=1,C5*F22*'数据-取费表'!B25,C5*(POWER((1+F22),'数据-取费表'!B25)-1)),0)</f>
        <v>368541</v>
      </c>
      <c r="D23" s="104"/>
      <c r="E23" s="104"/>
      <c r="F23" s="105"/>
      <c r="G23" s="106" t="s">
        <v>1953</v>
      </c>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96"/>
      <c r="AS23" s="96"/>
      <c r="AT23" s="96"/>
      <c r="AU23" s="96"/>
      <c r="AV23" s="96"/>
      <c r="AW23" s="96"/>
      <c r="AX23" s="96"/>
      <c r="AY23" s="96"/>
      <c r="AZ23" s="96"/>
      <c r="BA23" s="96"/>
      <c r="BB23" s="96"/>
      <c r="BC23" s="96"/>
      <c r="BD23" s="96"/>
      <c r="BE23" s="96"/>
      <c r="BF23" s="96"/>
      <c r="BG23" s="96"/>
      <c r="BH23" s="96"/>
      <c r="BI23" s="96"/>
      <c r="BJ23" s="96"/>
      <c r="BK23" s="96"/>
      <c r="BL23" s="96"/>
      <c r="BM23" s="96"/>
      <c r="BN23" s="96"/>
      <c r="BO23" s="96"/>
      <c r="BP23" s="96"/>
      <c r="BQ23" s="96"/>
      <c r="BR23" s="96"/>
      <c r="BS23" s="96"/>
      <c r="BT23" s="96"/>
      <c r="BU23" s="96"/>
      <c r="BV23" s="96"/>
      <c r="BW23" s="96"/>
      <c r="BX23" s="96"/>
      <c r="BY23" s="96"/>
      <c r="BZ23" s="96"/>
      <c r="CA23" s="96"/>
      <c r="CB23" s="96"/>
      <c r="CC23" s="96"/>
      <c r="CD23" s="96"/>
      <c r="CE23" s="96"/>
      <c r="CF23" s="96"/>
      <c r="CG23" s="96"/>
      <c r="CH23" s="96"/>
      <c r="CI23" s="96"/>
      <c r="CJ23" s="96"/>
      <c r="CK23" s="96"/>
      <c r="CL23" s="96"/>
      <c r="CM23" s="96"/>
      <c r="CN23" s="96"/>
      <c r="CO23" s="96"/>
      <c r="CP23" s="96"/>
      <c r="CQ23" s="96"/>
      <c r="CR23" s="96"/>
      <c r="CS23" s="96"/>
      <c r="CT23" s="96"/>
      <c r="CU23" s="96"/>
      <c r="CV23" s="96"/>
      <c r="CW23" s="96"/>
      <c r="CX23" s="96"/>
      <c r="CY23" s="96"/>
      <c r="CZ23" s="96"/>
      <c r="DA23" s="96"/>
      <c r="DB23" s="96"/>
      <c r="DC23" s="96"/>
      <c r="DD23" s="96"/>
      <c r="DE23" s="96"/>
      <c r="DF23" s="96"/>
      <c r="DG23" s="96"/>
      <c r="DH23" s="96"/>
      <c r="DI23" s="96"/>
      <c r="DJ23" s="96"/>
      <c r="DK23" s="96"/>
      <c r="DL23" s="96"/>
      <c r="DM23" s="96"/>
      <c r="DN23" s="96"/>
      <c r="DO23" s="96"/>
      <c r="DP23" s="96"/>
      <c r="DQ23" s="96"/>
      <c r="DR23" s="96"/>
      <c r="DS23" s="96"/>
    </row>
    <row r="24" spans="1:123" s="91" customFormat="1" ht="13.5" customHeight="1">
      <c r="A24" s="92" t="s">
        <v>1925</v>
      </c>
      <c r="B24" s="93" t="s">
        <v>1954</v>
      </c>
      <c r="C24" s="1125">
        <f ca="1">ROUND(IF('数据-取费表'!B24&lt;=1,C19*F22*('数据-取费表'!B21/2+'数据-取费表'!B23),C19*(POWER((1+F22),('数据-取费表'!B21/2+'数据-取费表'!B23))-1)),0)</f>
        <v>0</v>
      </c>
      <c r="D24" s="104"/>
      <c r="E24" s="104"/>
      <c r="F24" s="105"/>
      <c r="G24" s="106" t="s">
        <v>1955</v>
      </c>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c r="BM24" s="96"/>
      <c r="BN24" s="96"/>
      <c r="BO24" s="96"/>
      <c r="BP24" s="96"/>
      <c r="BQ24" s="96"/>
      <c r="BR24" s="96"/>
      <c r="BS24" s="96"/>
      <c r="BT24" s="96"/>
      <c r="BU24" s="96"/>
      <c r="BV24" s="96"/>
      <c r="BW24" s="96"/>
      <c r="BX24" s="96"/>
      <c r="BY24" s="96"/>
      <c r="BZ24" s="96"/>
      <c r="CA24" s="96"/>
      <c r="CB24" s="96"/>
      <c r="CC24" s="96"/>
      <c r="CD24" s="96"/>
      <c r="CE24" s="96"/>
      <c r="CF24" s="96"/>
      <c r="CG24" s="96"/>
      <c r="CH24" s="96"/>
      <c r="CI24" s="96"/>
      <c r="CJ24" s="96"/>
      <c r="CK24" s="96"/>
      <c r="CL24" s="96"/>
      <c r="CM24" s="96"/>
      <c r="CN24" s="96"/>
      <c r="CO24" s="96"/>
      <c r="CP24" s="96"/>
      <c r="CQ24" s="96"/>
      <c r="CR24" s="96"/>
      <c r="CS24" s="96"/>
      <c r="CT24" s="96"/>
      <c r="CU24" s="96"/>
      <c r="CV24" s="96"/>
      <c r="CW24" s="96"/>
      <c r="CX24" s="96"/>
      <c r="CY24" s="96"/>
      <c r="CZ24" s="96"/>
      <c r="DA24" s="96"/>
      <c r="DB24" s="96"/>
      <c r="DC24" s="96"/>
      <c r="DD24" s="96"/>
      <c r="DE24" s="96"/>
      <c r="DF24" s="96"/>
      <c r="DG24" s="96"/>
      <c r="DH24" s="96"/>
      <c r="DI24" s="96"/>
      <c r="DJ24" s="96"/>
      <c r="DK24" s="96"/>
      <c r="DL24" s="96"/>
      <c r="DM24" s="96"/>
      <c r="DN24" s="96"/>
      <c r="DO24" s="96"/>
      <c r="DP24" s="96"/>
      <c r="DQ24" s="96"/>
      <c r="DR24" s="96"/>
      <c r="DS24" s="96"/>
    </row>
    <row r="25" spans="1:123" s="91" customFormat="1" ht="24">
      <c r="A25" s="92" t="s">
        <v>1927</v>
      </c>
      <c r="B25" s="93" t="s">
        <v>1956</v>
      </c>
      <c r="C25" s="1125">
        <f ca="1">ROUND(IF('数据-取费表'!B24&lt;=1,C20*F22*'数据-取费表'!B25/2,C20*(POWER((1+F22),'数据-取费表'!B25/2)-1)),0)</f>
        <v>3607</v>
      </c>
      <c r="D25" s="104"/>
      <c r="E25" s="107"/>
      <c r="F25" s="105"/>
      <c r="G25" s="108" t="s">
        <v>1957</v>
      </c>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c r="BM25" s="96"/>
      <c r="BN25" s="96"/>
      <c r="BO25" s="96"/>
      <c r="BP25" s="96"/>
      <c r="BQ25" s="96"/>
      <c r="BR25" s="96"/>
      <c r="BS25" s="96"/>
      <c r="BT25" s="96"/>
      <c r="BU25" s="96"/>
      <c r="BV25" s="96"/>
      <c r="BW25" s="96"/>
      <c r="BX25" s="96"/>
      <c r="BY25" s="96"/>
      <c r="BZ25" s="96"/>
      <c r="CA25" s="96"/>
      <c r="CB25" s="96"/>
      <c r="CC25" s="96"/>
      <c r="CD25" s="96"/>
      <c r="CE25" s="96"/>
      <c r="CF25" s="96"/>
      <c r="CG25" s="96"/>
      <c r="CH25" s="96"/>
      <c r="CI25" s="96"/>
      <c r="CJ25" s="96"/>
      <c r="CK25" s="96"/>
      <c r="CL25" s="96"/>
      <c r="CM25" s="96"/>
      <c r="CN25" s="96"/>
      <c r="CO25" s="96"/>
      <c r="CP25" s="96"/>
      <c r="CQ25" s="96"/>
      <c r="CR25" s="96"/>
      <c r="CS25" s="96"/>
      <c r="CT25" s="96"/>
      <c r="CU25" s="96"/>
      <c r="CV25" s="96"/>
      <c r="CW25" s="96"/>
      <c r="CX25" s="96"/>
      <c r="CY25" s="96"/>
      <c r="CZ25" s="96"/>
      <c r="DA25" s="96"/>
      <c r="DB25" s="96"/>
      <c r="DC25" s="96"/>
      <c r="DD25" s="96"/>
      <c r="DE25" s="96"/>
      <c r="DF25" s="96"/>
      <c r="DG25" s="96"/>
      <c r="DH25" s="96"/>
      <c r="DI25" s="96"/>
      <c r="DJ25" s="96"/>
      <c r="DK25" s="96"/>
      <c r="DL25" s="96"/>
      <c r="DM25" s="96"/>
      <c r="DN25" s="96"/>
      <c r="DO25" s="96"/>
      <c r="DP25" s="96"/>
      <c r="DQ25" s="96"/>
      <c r="DR25" s="96"/>
      <c r="DS25" s="96"/>
    </row>
    <row r="26" spans="1:123" s="91" customFormat="1">
      <c r="A26" s="92" t="s">
        <v>1958</v>
      </c>
      <c r="B26" s="93" t="s">
        <v>1959</v>
      </c>
      <c r="C26" s="104">
        <f ca="1">ROUND(IF('数据-取费表'!B24&lt;=1,F21*F22*'数据-取费表'!B25/2,F21*(POWER((1+F22),'数据-取费表'!B25/2)-1)),4)</f>
        <v>8.9999999999999998E-4</v>
      </c>
      <c r="D26" s="104"/>
      <c r="E26" s="107"/>
      <c r="F26" s="105"/>
      <c r="G26" s="109"/>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c r="CF26" s="96"/>
      <c r="CG26" s="96"/>
      <c r="CH26" s="96"/>
      <c r="CI26" s="96"/>
      <c r="CJ26" s="96"/>
      <c r="CK26" s="96"/>
      <c r="CL26" s="96"/>
      <c r="CM26" s="96"/>
      <c r="CN26" s="96"/>
      <c r="CO26" s="96"/>
      <c r="CP26" s="96"/>
      <c r="CQ26" s="96"/>
      <c r="CR26" s="96"/>
      <c r="CS26" s="96"/>
      <c r="CT26" s="96"/>
      <c r="CU26" s="96"/>
      <c r="CV26" s="96"/>
      <c r="CW26" s="96"/>
      <c r="CX26" s="96"/>
      <c r="CY26" s="96"/>
      <c r="CZ26" s="96"/>
      <c r="DA26" s="96"/>
      <c r="DB26" s="96"/>
      <c r="DC26" s="96"/>
      <c r="DD26" s="96"/>
      <c r="DE26" s="96"/>
      <c r="DF26" s="96"/>
      <c r="DG26" s="96"/>
      <c r="DH26" s="96"/>
      <c r="DI26" s="96"/>
      <c r="DJ26" s="96"/>
      <c r="DK26" s="96"/>
      <c r="DL26" s="96"/>
      <c r="DM26" s="96"/>
      <c r="DN26" s="96"/>
      <c r="DO26" s="96"/>
      <c r="DP26" s="96"/>
      <c r="DQ26" s="96"/>
      <c r="DR26" s="96"/>
      <c r="DS26" s="96"/>
    </row>
    <row r="27" spans="1:123" s="91" customFormat="1" ht="25.5">
      <c r="A27" s="994" t="s">
        <v>1960</v>
      </c>
      <c r="B27" s="110" t="s">
        <v>1961</v>
      </c>
      <c r="C27" s="111">
        <f>C28</f>
        <v>845768</v>
      </c>
      <c r="D27" s="101">
        <f>C29</f>
        <v>4.0000000000000001E-3</v>
      </c>
      <c r="E27" s="102" t="s">
        <v>1947</v>
      </c>
      <c r="F27" s="112">
        <f>'数据-取费表'!E28</f>
        <v>0.2</v>
      </c>
      <c r="G27" s="113" t="s">
        <v>1962</v>
      </c>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c r="BM27" s="96"/>
      <c r="BN27" s="96"/>
      <c r="BO27" s="96"/>
      <c r="BP27" s="96"/>
      <c r="BQ27" s="96"/>
      <c r="BR27" s="96"/>
      <c r="BS27" s="96"/>
      <c r="BT27" s="96"/>
      <c r="BU27" s="96"/>
      <c r="BV27" s="96"/>
      <c r="BW27" s="96"/>
      <c r="BX27" s="96"/>
      <c r="BY27" s="96"/>
      <c r="BZ27" s="96"/>
      <c r="CA27" s="96"/>
      <c r="CB27" s="96"/>
      <c r="CC27" s="96"/>
      <c r="CD27" s="96"/>
      <c r="CE27" s="96"/>
      <c r="CF27" s="96"/>
      <c r="CG27" s="96"/>
      <c r="CH27" s="96"/>
      <c r="CI27" s="96"/>
      <c r="CJ27" s="96"/>
      <c r="CK27" s="96"/>
      <c r="CL27" s="96"/>
      <c r="CM27" s="96"/>
      <c r="CN27" s="96"/>
      <c r="CO27" s="96"/>
      <c r="CP27" s="96"/>
      <c r="CQ27" s="96"/>
      <c r="CR27" s="96"/>
      <c r="CS27" s="96"/>
      <c r="CT27" s="96"/>
      <c r="CU27" s="96"/>
      <c r="CV27" s="96"/>
      <c r="CW27" s="96"/>
      <c r="CX27" s="96"/>
      <c r="CY27" s="96"/>
      <c r="CZ27" s="96"/>
      <c r="DA27" s="96"/>
      <c r="DB27" s="96"/>
      <c r="DC27" s="96"/>
      <c r="DD27" s="96"/>
      <c r="DE27" s="96"/>
      <c r="DF27" s="96"/>
      <c r="DG27" s="96"/>
      <c r="DH27" s="96"/>
      <c r="DI27" s="96"/>
      <c r="DJ27" s="96"/>
      <c r="DK27" s="96"/>
      <c r="DL27" s="96"/>
      <c r="DM27" s="96"/>
      <c r="DN27" s="96"/>
      <c r="DO27" s="96"/>
      <c r="DP27" s="96"/>
      <c r="DQ27" s="96"/>
      <c r="DR27" s="96"/>
      <c r="DS27" s="96"/>
    </row>
    <row r="28" spans="1:123" s="91" customFormat="1" ht="13.5" customHeight="1">
      <c r="A28" s="92" t="s">
        <v>1951</v>
      </c>
      <c r="B28" s="114" t="s">
        <v>1963</v>
      </c>
      <c r="C28" s="115">
        <f>ROUND((C5+C19+C20)*F27*'数据-取费表'!B23/'数据-取费表'!B22,0)</f>
        <v>845768</v>
      </c>
      <c r="D28" s="101"/>
      <c r="E28" s="102"/>
      <c r="F28" s="112"/>
      <c r="G28" s="113"/>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c r="BM28" s="96"/>
      <c r="BN28" s="96"/>
      <c r="BO28" s="96"/>
      <c r="BP28" s="96"/>
      <c r="BQ28" s="96"/>
      <c r="BR28" s="96"/>
      <c r="BS28" s="96"/>
      <c r="BT28" s="96"/>
      <c r="BU28" s="96"/>
      <c r="BV28" s="96"/>
      <c r="BW28" s="96"/>
      <c r="BX28" s="96"/>
      <c r="BY28" s="96"/>
      <c r="BZ28" s="96"/>
      <c r="CA28" s="96"/>
      <c r="CB28" s="96"/>
      <c r="CC28" s="96"/>
      <c r="CD28" s="96"/>
      <c r="CE28" s="96"/>
      <c r="CF28" s="96"/>
      <c r="CG28" s="96"/>
      <c r="CH28" s="96"/>
      <c r="CI28" s="96"/>
      <c r="CJ28" s="96"/>
      <c r="CK28" s="96"/>
      <c r="CL28" s="96"/>
      <c r="CM28" s="96"/>
      <c r="CN28" s="96"/>
      <c r="CO28" s="96"/>
      <c r="CP28" s="96"/>
      <c r="CQ28" s="96"/>
      <c r="CR28" s="96"/>
      <c r="CS28" s="96"/>
      <c r="CT28" s="96"/>
      <c r="CU28" s="96"/>
      <c r="CV28" s="96"/>
      <c r="CW28" s="96"/>
      <c r="CX28" s="96"/>
      <c r="CY28" s="96"/>
      <c r="CZ28" s="96"/>
      <c r="DA28" s="96"/>
      <c r="DB28" s="96"/>
      <c r="DC28" s="96"/>
      <c r="DD28" s="96"/>
      <c r="DE28" s="96"/>
      <c r="DF28" s="96"/>
      <c r="DG28" s="96"/>
      <c r="DH28" s="96"/>
      <c r="DI28" s="96"/>
      <c r="DJ28" s="96"/>
      <c r="DK28" s="96"/>
      <c r="DL28" s="96"/>
      <c r="DM28" s="96"/>
      <c r="DN28" s="96"/>
      <c r="DO28" s="96"/>
      <c r="DP28" s="96"/>
      <c r="DQ28" s="96"/>
      <c r="DR28" s="96"/>
      <c r="DS28" s="96"/>
    </row>
    <row r="29" spans="1:123" s="91" customFormat="1" ht="13.5" customHeight="1">
      <c r="A29" s="92" t="s">
        <v>1925</v>
      </c>
      <c r="B29" s="114" t="s">
        <v>1964</v>
      </c>
      <c r="C29" s="104">
        <f>ROUND(C21*F27*'数据-取费表'!B23/'数据-取费表'!B22,4)</f>
        <v>4.0000000000000001E-3</v>
      </c>
      <c r="D29" s="101"/>
      <c r="E29" s="102"/>
      <c r="F29" s="112"/>
      <c r="G29" s="113"/>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c r="BM29" s="96"/>
      <c r="BN29" s="96"/>
      <c r="BO29" s="96"/>
      <c r="BP29" s="96"/>
      <c r="BQ29" s="96"/>
      <c r="BR29" s="96"/>
      <c r="BS29" s="96"/>
      <c r="BT29" s="96"/>
      <c r="BU29" s="96"/>
      <c r="BV29" s="96"/>
      <c r="BW29" s="96"/>
      <c r="BX29" s="96"/>
      <c r="BY29" s="96"/>
      <c r="BZ29" s="96"/>
      <c r="CA29" s="96"/>
      <c r="CB29" s="96"/>
      <c r="CC29" s="96"/>
      <c r="CD29" s="96"/>
      <c r="CE29" s="96"/>
      <c r="CF29" s="96"/>
      <c r="CG29" s="96"/>
      <c r="CH29" s="96"/>
      <c r="CI29" s="96"/>
      <c r="CJ29" s="96"/>
      <c r="CK29" s="96"/>
      <c r="CL29" s="96"/>
      <c r="CM29" s="96"/>
      <c r="CN29" s="96"/>
      <c r="CO29" s="96"/>
      <c r="CP29" s="96"/>
      <c r="CQ29" s="96"/>
      <c r="CR29" s="96"/>
      <c r="CS29" s="96"/>
      <c r="CT29" s="96"/>
      <c r="CU29" s="96"/>
      <c r="CV29" s="96"/>
      <c r="CW29" s="96"/>
      <c r="CX29" s="96"/>
      <c r="CY29" s="96"/>
      <c r="CZ29" s="96"/>
      <c r="DA29" s="96"/>
      <c r="DB29" s="96"/>
      <c r="DC29" s="96"/>
      <c r="DD29" s="96"/>
      <c r="DE29" s="96"/>
      <c r="DF29" s="96"/>
      <c r="DG29" s="96"/>
      <c r="DH29" s="96"/>
      <c r="DI29" s="96"/>
      <c r="DJ29" s="96"/>
      <c r="DK29" s="96"/>
      <c r="DL29" s="96"/>
      <c r="DM29" s="96"/>
      <c r="DN29" s="96"/>
      <c r="DO29" s="96"/>
      <c r="DP29" s="96"/>
      <c r="DQ29" s="96"/>
      <c r="DR29" s="96"/>
      <c r="DS29" s="96"/>
    </row>
    <row r="30" spans="1:123" s="91" customFormat="1" ht="13.5" customHeight="1">
      <c r="A30" s="994" t="s">
        <v>1965</v>
      </c>
      <c r="B30" s="89" t="s">
        <v>1966</v>
      </c>
      <c r="C30" s="101">
        <f>ROUND(F30/(1+'数据-取费表'!F30),4)</f>
        <v>5.33E-2</v>
      </c>
      <c r="D30" s="102" t="s">
        <v>1947</v>
      </c>
      <c r="E30" s="107"/>
      <c r="F30" s="103">
        <f>'数据-取费表'!E29</f>
        <v>5.6000000000000001E-2</v>
      </c>
      <c r="G30" s="100" t="s">
        <v>1967</v>
      </c>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c r="BM30" s="96"/>
      <c r="BN30" s="96"/>
      <c r="BO30" s="96"/>
      <c r="BP30" s="96"/>
      <c r="BQ30" s="96"/>
      <c r="BR30" s="96"/>
      <c r="BS30" s="96"/>
      <c r="BT30" s="96"/>
      <c r="BU30" s="96"/>
      <c r="BV30" s="96"/>
      <c r="BW30" s="96"/>
      <c r="BX30" s="96"/>
      <c r="BY30" s="96"/>
      <c r="BZ30" s="96"/>
      <c r="CA30" s="96"/>
      <c r="CB30" s="96"/>
      <c r="CC30" s="96"/>
      <c r="CD30" s="96"/>
      <c r="CE30" s="96"/>
      <c r="CF30" s="96"/>
      <c r="CG30" s="96"/>
      <c r="CH30" s="96"/>
      <c r="CI30" s="96"/>
      <c r="CJ30" s="96"/>
      <c r="CK30" s="96"/>
      <c r="CL30" s="96"/>
      <c r="CM30" s="96"/>
      <c r="CN30" s="96"/>
      <c r="CO30" s="96"/>
      <c r="CP30" s="96"/>
      <c r="CQ30" s="96"/>
      <c r="CR30" s="96"/>
      <c r="CS30" s="96"/>
      <c r="CT30" s="96"/>
      <c r="CU30" s="96"/>
      <c r="CV30" s="96"/>
      <c r="CW30" s="96"/>
      <c r="CX30" s="96"/>
      <c r="CY30" s="96"/>
      <c r="CZ30" s="96"/>
      <c r="DA30" s="96"/>
      <c r="DB30" s="96"/>
      <c r="DC30" s="96"/>
      <c r="DD30" s="96"/>
      <c r="DE30" s="96"/>
      <c r="DF30" s="96"/>
      <c r="DG30" s="96"/>
      <c r="DH30" s="96"/>
      <c r="DI30" s="96"/>
      <c r="DJ30" s="96"/>
      <c r="DK30" s="96"/>
      <c r="DL30" s="96"/>
      <c r="DM30" s="96"/>
      <c r="DN30" s="96"/>
      <c r="DO30" s="96"/>
      <c r="DP30" s="96"/>
      <c r="DQ30" s="96"/>
      <c r="DR30" s="96"/>
      <c r="DS30" s="96"/>
    </row>
    <row r="31" spans="1:123" ht="16.5" customHeight="1">
      <c r="A31" s="120">
        <v>1</v>
      </c>
      <c r="B31" s="89" t="s">
        <v>1968</v>
      </c>
      <c r="C31" s="111">
        <f ca="1">ROUND((C5+C19+C20+C22+C27)/(1-C21-D22-D27-C30),0)</f>
        <v>5908828</v>
      </c>
      <c r="D31" s="1175"/>
      <c r="E31" s="111"/>
      <c r="F31" s="1176"/>
      <c r="G31" s="100" t="s">
        <v>1969</v>
      </c>
    </row>
    <row r="32" spans="1:123" s="88" customFormat="1" ht="15.75">
      <c r="A32" s="117" t="s">
        <v>1970</v>
      </c>
      <c r="B32" s="118"/>
      <c r="C32" s="1177"/>
      <c r="D32" s="1177"/>
      <c r="E32" s="1177"/>
      <c r="F32" s="1177"/>
      <c r="G32" s="119"/>
      <c r="H32" s="2983"/>
      <c r="I32" s="2983"/>
      <c r="J32" s="2983"/>
      <c r="K32" s="2983"/>
      <c r="L32" s="2983"/>
      <c r="M32" s="2983"/>
      <c r="N32" s="2983"/>
      <c r="O32" s="2983"/>
      <c r="P32" s="2983"/>
      <c r="Q32" s="2983"/>
      <c r="R32" s="2983"/>
      <c r="S32" s="2983"/>
      <c r="T32" s="2983"/>
      <c r="U32" s="2983"/>
      <c r="V32" s="2983"/>
      <c r="W32" s="2983"/>
      <c r="X32" s="2983"/>
      <c r="Y32" s="2983"/>
      <c r="Z32" s="2983"/>
      <c r="AA32" s="2983"/>
      <c r="AB32" s="2983"/>
      <c r="AC32" s="2983"/>
      <c r="AD32" s="2983"/>
      <c r="AE32" s="2983"/>
      <c r="AF32" s="2983"/>
      <c r="AG32" s="2983"/>
      <c r="AH32" s="2983"/>
      <c r="AI32" s="2983"/>
      <c r="AJ32" s="2983"/>
      <c r="AK32" s="2983"/>
      <c r="AL32" s="2983"/>
      <c r="AM32" s="2983"/>
      <c r="AN32" s="2983"/>
      <c r="AO32" s="2983"/>
      <c r="AP32" s="2983"/>
      <c r="AQ32" s="2983"/>
      <c r="AR32" s="2983"/>
      <c r="AS32" s="2983"/>
      <c r="AT32" s="2983"/>
      <c r="AU32" s="2983"/>
      <c r="AV32" s="2983"/>
      <c r="AW32" s="2983"/>
      <c r="AX32" s="2983"/>
      <c r="AY32" s="2983"/>
      <c r="AZ32" s="2983"/>
      <c r="BA32" s="2983"/>
      <c r="BB32" s="2983"/>
      <c r="BC32" s="2983"/>
      <c r="BD32" s="2983"/>
      <c r="BE32" s="2983"/>
      <c r="BF32" s="2983"/>
      <c r="BG32" s="2983"/>
      <c r="BH32" s="2983"/>
      <c r="BI32" s="2983"/>
      <c r="BJ32" s="2983"/>
      <c r="BK32" s="2983"/>
      <c r="BL32" s="2983"/>
      <c r="BM32" s="2983"/>
      <c r="BN32" s="2983"/>
      <c r="BO32" s="2983"/>
      <c r="BP32" s="2983"/>
      <c r="BQ32" s="2983"/>
      <c r="BR32" s="2983"/>
      <c r="BS32" s="2983"/>
      <c r="BT32" s="2983"/>
      <c r="BU32" s="2983"/>
      <c r="BV32" s="2983"/>
      <c r="BW32" s="2983"/>
      <c r="BX32" s="2983"/>
      <c r="BY32" s="2983"/>
      <c r="BZ32" s="2983"/>
      <c r="CA32" s="2983"/>
      <c r="CB32" s="2983"/>
      <c r="CC32" s="2983"/>
      <c r="CD32" s="2983"/>
      <c r="CE32" s="2983"/>
      <c r="CF32" s="2983"/>
      <c r="CG32" s="2983"/>
      <c r="CH32" s="2983"/>
      <c r="CI32" s="2983"/>
      <c r="CJ32" s="2983"/>
      <c r="CK32" s="2983"/>
      <c r="CL32" s="2983"/>
      <c r="CM32" s="2983"/>
      <c r="CN32" s="2983"/>
      <c r="CO32" s="2983"/>
      <c r="CP32" s="2983"/>
      <c r="CQ32" s="2983"/>
      <c r="CR32" s="2983"/>
      <c r="CS32" s="2983"/>
      <c r="CT32" s="2983"/>
      <c r="CU32" s="2983"/>
      <c r="CV32" s="2983"/>
      <c r="CW32" s="2983"/>
      <c r="CX32" s="2983"/>
      <c r="CY32" s="2983"/>
      <c r="CZ32" s="2983"/>
      <c r="DA32" s="2983"/>
      <c r="DB32" s="2983"/>
      <c r="DC32" s="2983"/>
      <c r="DD32" s="2983"/>
      <c r="DE32" s="2983"/>
      <c r="DF32" s="2983"/>
      <c r="DG32" s="2983"/>
      <c r="DH32" s="2983"/>
      <c r="DI32" s="2983"/>
      <c r="DJ32" s="2983"/>
      <c r="DK32" s="2983"/>
      <c r="DL32" s="2983"/>
      <c r="DM32" s="2983"/>
      <c r="DN32" s="2983"/>
      <c r="DO32" s="2983"/>
      <c r="DP32" s="2983"/>
      <c r="DQ32" s="2983"/>
      <c r="DR32" s="2983"/>
      <c r="DS32" s="2983"/>
    </row>
    <row r="33" spans="1:123" s="91" customFormat="1" ht="13.5" customHeight="1">
      <c r="A33" s="120" t="s">
        <v>1971</v>
      </c>
      <c r="B33" s="89" t="s">
        <v>1972</v>
      </c>
      <c r="C33" s="121">
        <f>SUM(C34:C38)</f>
        <v>601462</v>
      </c>
      <c r="D33" s="99"/>
      <c r="E33" s="1166"/>
      <c r="F33" s="107"/>
      <c r="G33" s="100"/>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c r="BM33" s="96"/>
      <c r="BN33" s="96"/>
      <c r="BO33" s="96"/>
      <c r="BP33" s="96"/>
      <c r="BQ33" s="96"/>
      <c r="BR33" s="96"/>
      <c r="BS33" s="96"/>
      <c r="BT33" s="96"/>
      <c r="BU33" s="96"/>
      <c r="BV33" s="96"/>
      <c r="BW33" s="96"/>
      <c r="BX33" s="96"/>
      <c r="BY33" s="96"/>
      <c r="BZ33" s="96"/>
      <c r="CA33" s="96"/>
      <c r="CB33" s="96"/>
      <c r="CC33" s="96"/>
      <c r="CD33" s="96"/>
      <c r="CE33" s="96"/>
      <c r="CF33" s="96"/>
      <c r="CG33" s="96"/>
      <c r="CH33" s="96"/>
      <c r="CI33" s="96"/>
      <c r="CJ33" s="96"/>
      <c r="CK33" s="96"/>
      <c r="CL33" s="96"/>
      <c r="CM33" s="96"/>
      <c r="CN33" s="96"/>
      <c r="CO33" s="96"/>
      <c r="CP33" s="96"/>
      <c r="CQ33" s="96"/>
      <c r="CR33" s="96"/>
      <c r="CS33" s="96"/>
      <c r="CT33" s="96"/>
      <c r="CU33" s="96"/>
      <c r="CV33" s="96"/>
      <c r="CW33" s="96"/>
      <c r="CX33" s="96"/>
      <c r="CY33" s="96"/>
      <c r="CZ33" s="96"/>
      <c r="DA33" s="96"/>
      <c r="DB33" s="96"/>
      <c r="DC33" s="96"/>
      <c r="DD33" s="96"/>
      <c r="DE33" s="96"/>
      <c r="DF33" s="96"/>
      <c r="DG33" s="96"/>
      <c r="DH33" s="96"/>
      <c r="DI33" s="96"/>
      <c r="DJ33" s="96"/>
      <c r="DK33" s="96"/>
      <c r="DL33" s="96"/>
      <c r="DM33" s="96"/>
      <c r="DN33" s="96"/>
      <c r="DO33" s="96"/>
      <c r="DP33" s="96"/>
      <c r="DQ33" s="96"/>
      <c r="DR33" s="96"/>
      <c r="DS33" s="96"/>
    </row>
    <row r="34" spans="1:123" s="122" customFormat="1" ht="13.5" customHeight="1">
      <c r="A34" s="92" t="s">
        <v>1951</v>
      </c>
      <c r="B34" s="93" t="s">
        <v>1973</v>
      </c>
      <c r="C34" s="115">
        <f>IF(B1="仅计算典型户型",'数据-取费表'!F18,'数据-取费表'!E18)</f>
        <v>545720</v>
      </c>
      <c r="D34" s="1167"/>
      <c r="E34" s="115"/>
      <c r="F34" s="1178" t="str">
        <f>IF('数据-取费表'!B26=0,"",'数据-取费表'!E20)</f>
        <v/>
      </c>
      <c r="G34" s="95"/>
    </row>
    <row r="35" spans="1:123" ht="13.5" customHeight="1">
      <c r="A35" s="92" t="s">
        <v>1925</v>
      </c>
      <c r="B35" s="93" t="s">
        <v>1974</v>
      </c>
      <c r="C35" s="115">
        <f>ROUND(C34*F35,0)</f>
        <v>16372</v>
      </c>
      <c r="D35" s="115"/>
      <c r="E35" s="115"/>
      <c r="F35" s="1179">
        <f>'数据-取费表'!E21</f>
        <v>0.03</v>
      </c>
      <c r="G35" s="95" t="s">
        <v>1975</v>
      </c>
    </row>
    <row r="36" spans="1:123" ht="24">
      <c r="A36" s="92" t="s">
        <v>1927</v>
      </c>
      <c r="B36" s="93" t="s">
        <v>1976</v>
      </c>
      <c r="C36" s="115">
        <f>ROUND(IF('数据-取费表'!B10="住宅",C34*F36,0),0)</f>
        <v>0</v>
      </c>
      <c r="D36" s="115"/>
      <c r="E36" s="115"/>
      <c r="F36" s="1179">
        <f>'数据-取费表'!E22</f>
        <v>0.05</v>
      </c>
      <c r="G36" s="123" t="s">
        <v>1977</v>
      </c>
    </row>
    <row r="37" spans="1:123" s="122" customFormat="1" ht="13.5" customHeight="1">
      <c r="A37" s="92" t="s">
        <v>1958</v>
      </c>
      <c r="B37" s="93" t="s">
        <v>1978</v>
      </c>
      <c r="C37" s="115">
        <f>ROUND(E37*D37,0)</f>
        <v>31184</v>
      </c>
      <c r="D37" s="1167">
        <f>IF(B1="仅计算典型户型",'数据-取费表'!E5,'数据-取费表'!B5)</f>
        <v>155.91999999999999</v>
      </c>
      <c r="E37" s="115">
        <f>'数据-取费表'!E23</f>
        <v>200</v>
      </c>
      <c r="F37" s="1179"/>
      <c r="G37" s="124" t="s">
        <v>1979</v>
      </c>
    </row>
    <row r="38" spans="1:123" ht="13.5" customHeight="1">
      <c r="A38" s="92" t="s">
        <v>1980</v>
      </c>
      <c r="B38" s="93" t="s">
        <v>1981</v>
      </c>
      <c r="C38" s="115">
        <f>ROUND(C34*F38,0)</f>
        <v>8186</v>
      </c>
      <c r="D38" s="115"/>
      <c r="E38" s="115"/>
      <c r="F38" s="1179">
        <f>'数据-取费表'!E24</f>
        <v>1.4999999999999999E-2</v>
      </c>
      <c r="G38" s="95" t="s">
        <v>1975</v>
      </c>
    </row>
    <row r="39" spans="1:123" s="91" customFormat="1" ht="13.5" customHeight="1">
      <c r="A39" s="120" t="s">
        <v>1940</v>
      </c>
      <c r="B39" s="89" t="s">
        <v>1943</v>
      </c>
      <c r="C39" s="99">
        <f>ROUND(C33*F20,0)</f>
        <v>12029</v>
      </c>
      <c r="D39" s="99"/>
      <c r="E39" s="99"/>
      <c r="F39" s="2885">
        <f>F20</f>
        <v>0.02</v>
      </c>
      <c r="G39" s="100" t="s">
        <v>1982</v>
      </c>
      <c r="H39" s="96"/>
      <c r="I39" s="96"/>
      <c r="J39" s="96"/>
      <c r="K39" s="96"/>
      <c r="L39" s="96"/>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96"/>
      <c r="AL39" s="96"/>
      <c r="AM39" s="96"/>
      <c r="AN39" s="96"/>
      <c r="AO39" s="96"/>
      <c r="AP39" s="96"/>
      <c r="AQ39" s="96"/>
      <c r="AR39" s="96"/>
      <c r="AS39" s="96"/>
      <c r="AT39" s="96"/>
      <c r="AU39" s="96"/>
      <c r="AV39" s="96"/>
      <c r="AW39" s="96"/>
      <c r="AX39" s="96"/>
      <c r="AY39" s="96"/>
      <c r="AZ39" s="96"/>
      <c r="BA39" s="96"/>
      <c r="BB39" s="96"/>
      <c r="BC39" s="96"/>
      <c r="BD39" s="96"/>
      <c r="BE39" s="96"/>
      <c r="BF39" s="96"/>
      <c r="BG39" s="96"/>
      <c r="BH39" s="96"/>
      <c r="BI39" s="96"/>
      <c r="BJ39" s="96"/>
      <c r="BK39" s="96"/>
      <c r="BL39" s="96"/>
      <c r="BM39" s="96"/>
      <c r="BN39" s="96"/>
      <c r="BO39" s="96"/>
      <c r="BP39" s="96"/>
      <c r="BQ39" s="96"/>
      <c r="BR39" s="96"/>
      <c r="BS39" s="96"/>
      <c r="BT39" s="96"/>
      <c r="BU39" s="96"/>
      <c r="BV39" s="96"/>
      <c r="BW39" s="96"/>
      <c r="BX39" s="96"/>
      <c r="BY39" s="96"/>
      <c r="BZ39" s="96"/>
      <c r="CA39" s="96"/>
      <c r="CB39" s="96"/>
      <c r="CC39" s="96"/>
      <c r="CD39" s="96"/>
      <c r="CE39" s="96"/>
      <c r="CF39" s="96"/>
      <c r="CG39" s="96"/>
      <c r="CH39" s="96"/>
      <c r="CI39" s="96"/>
      <c r="CJ39" s="96"/>
      <c r="CK39" s="96"/>
      <c r="CL39" s="96"/>
      <c r="CM39" s="96"/>
      <c r="CN39" s="96"/>
      <c r="CO39" s="96"/>
      <c r="CP39" s="96"/>
      <c r="CQ39" s="96"/>
      <c r="CR39" s="96"/>
      <c r="CS39" s="96"/>
      <c r="CT39" s="96"/>
      <c r="CU39" s="96"/>
      <c r="CV39" s="96"/>
      <c r="CW39" s="96"/>
      <c r="CX39" s="96"/>
      <c r="CY39" s="96"/>
      <c r="CZ39" s="96"/>
      <c r="DA39" s="96"/>
      <c r="DB39" s="96"/>
      <c r="DC39" s="96"/>
      <c r="DD39" s="96"/>
      <c r="DE39" s="96"/>
      <c r="DF39" s="96"/>
      <c r="DG39" s="96"/>
      <c r="DH39" s="96"/>
      <c r="DI39" s="96"/>
      <c r="DJ39" s="96"/>
      <c r="DK39" s="96"/>
      <c r="DL39" s="96"/>
      <c r="DM39" s="96"/>
      <c r="DN39" s="96"/>
      <c r="DO39" s="96"/>
      <c r="DP39" s="96"/>
      <c r="DQ39" s="96"/>
      <c r="DR39" s="96"/>
      <c r="DS39" s="96"/>
    </row>
    <row r="40" spans="1:123" s="91" customFormat="1" ht="13.5" customHeight="1">
      <c r="A40" s="120" t="s">
        <v>1942</v>
      </c>
      <c r="B40" s="89" t="s">
        <v>1946</v>
      </c>
      <c r="C40" s="1302">
        <f>F21</f>
        <v>0.02</v>
      </c>
      <c r="D40" s="102" t="s">
        <v>1983</v>
      </c>
      <c r="E40" s="99"/>
      <c r="F40" s="2885">
        <f>F21</f>
        <v>0.02</v>
      </c>
      <c r="G40" s="100" t="s">
        <v>1984</v>
      </c>
      <c r="H40" s="96"/>
      <c r="I40" s="96"/>
      <c r="J40" s="96"/>
      <c r="K40" s="96"/>
      <c r="L40" s="96"/>
      <c r="M40" s="96"/>
      <c r="N40" s="96"/>
      <c r="O40" s="96"/>
      <c r="P40" s="96"/>
      <c r="Q40" s="96"/>
      <c r="R40" s="96"/>
      <c r="S40" s="96"/>
      <c r="T40" s="96"/>
      <c r="U40" s="96"/>
      <c r="V40" s="96"/>
      <c r="W40" s="96"/>
      <c r="X40" s="96"/>
      <c r="Y40" s="96"/>
      <c r="Z40" s="96"/>
      <c r="AA40" s="96"/>
      <c r="AB40" s="96"/>
      <c r="AC40" s="96"/>
      <c r="AD40" s="96"/>
      <c r="AE40" s="96"/>
      <c r="AF40" s="96"/>
      <c r="AG40" s="96"/>
      <c r="AH40" s="96"/>
      <c r="AI40" s="96"/>
      <c r="AJ40" s="96"/>
      <c r="AK40" s="96"/>
      <c r="AL40" s="96"/>
      <c r="AM40" s="96"/>
      <c r="AN40" s="96"/>
      <c r="AO40" s="96"/>
      <c r="AP40" s="96"/>
      <c r="AQ40" s="96"/>
      <c r="AR40" s="96"/>
      <c r="AS40" s="96"/>
      <c r="AT40" s="96"/>
      <c r="AU40" s="96"/>
      <c r="AV40" s="96"/>
      <c r="AW40" s="96"/>
      <c r="AX40" s="96"/>
      <c r="AY40" s="96"/>
      <c r="AZ40" s="96"/>
      <c r="BA40" s="96"/>
      <c r="BB40" s="96"/>
      <c r="BC40" s="96"/>
      <c r="BD40" s="96"/>
      <c r="BE40" s="96"/>
      <c r="BF40" s="96"/>
      <c r="BG40" s="96"/>
      <c r="BH40" s="96"/>
      <c r="BI40" s="96"/>
      <c r="BJ40" s="96"/>
      <c r="BK40" s="96"/>
      <c r="BL40" s="96"/>
      <c r="BM40" s="96"/>
      <c r="BN40" s="96"/>
      <c r="BO40" s="96"/>
      <c r="BP40" s="96"/>
      <c r="BQ40" s="96"/>
      <c r="BR40" s="96"/>
      <c r="BS40" s="96"/>
      <c r="BT40" s="96"/>
      <c r="BU40" s="96"/>
      <c r="BV40" s="96"/>
      <c r="BW40" s="96"/>
      <c r="BX40" s="96"/>
      <c r="BY40" s="96"/>
      <c r="BZ40" s="96"/>
      <c r="CA40" s="96"/>
      <c r="CB40" s="96"/>
      <c r="CC40" s="96"/>
      <c r="CD40" s="96"/>
      <c r="CE40" s="96"/>
      <c r="CF40" s="96"/>
      <c r="CG40" s="96"/>
      <c r="CH40" s="96"/>
      <c r="CI40" s="96"/>
      <c r="CJ40" s="96"/>
      <c r="CK40" s="96"/>
      <c r="CL40" s="96"/>
      <c r="CM40" s="96"/>
      <c r="CN40" s="96"/>
      <c r="CO40" s="96"/>
      <c r="CP40" s="96"/>
      <c r="CQ40" s="96"/>
      <c r="CR40" s="96"/>
      <c r="CS40" s="96"/>
      <c r="CT40" s="96"/>
      <c r="CU40" s="96"/>
      <c r="CV40" s="96"/>
      <c r="CW40" s="96"/>
      <c r="CX40" s="96"/>
      <c r="CY40" s="96"/>
      <c r="CZ40" s="96"/>
      <c r="DA40" s="96"/>
      <c r="DB40" s="96"/>
      <c r="DC40" s="96"/>
      <c r="DD40" s="96"/>
      <c r="DE40" s="96"/>
      <c r="DF40" s="96"/>
      <c r="DG40" s="96"/>
      <c r="DH40" s="96"/>
      <c r="DI40" s="96"/>
      <c r="DJ40" s="96"/>
      <c r="DK40" s="96"/>
      <c r="DL40" s="96"/>
      <c r="DM40" s="96"/>
      <c r="DN40" s="96"/>
      <c r="DO40" s="96"/>
      <c r="DP40" s="96"/>
      <c r="DQ40" s="96"/>
      <c r="DR40" s="96"/>
      <c r="DS40" s="96"/>
    </row>
    <row r="41" spans="1:123" s="91" customFormat="1" ht="13.5" customHeight="1">
      <c r="A41" s="120" t="s">
        <v>1945</v>
      </c>
      <c r="B41" s="89" t="s">
        <v>1950</v>
      </c>
      <c r="C41" s="99">
        <f ca="1">ROUND(SUM(C42:C43),0)</f>
        <v>26687</v>
      </c>
      <c r="D41" s="101">
        <f ca="1">C44</f>
        <v>8.9999999999999998E-4</v>
      </c>
      <c r="E41" s="102" t="s">
        <v>1983</v>
      </c>
      <c r="F41" s="2885">
        <f ca="1">F22</f>
        <v>4.3499999999999997E-2</v>
      </c>
      <c r="G41" s="100" t="str">
        <f>IF('数据-取费表'!B24&lt;=1,"单利计息。","复利计息。")</f>
        <v>复利计息。</v>
      </c>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96"/>
      <c r="BB41" s="96"/>
      <c r="BC41" s="96"/>
      <c r="BD41" s="96"/>
      <c r="BE41" s="96"/>
      <c r="BF41" s="96"/>
      <c r="BG41" s="96"/>
      <c r="BH41" s="96"/>
      <c r="BI41" s="96"/>
      <c r="BJ41" s="96"/>
      <c r="BK41" s="96"/>
      <c r="BL41" s="96"/>
      <c r="BM41" s="96"/>
      <c r="BN41" s="96"/>
      <c r="BO41" s="96"/>
      <c r="BP41" s="96"/>
      <c r="BQ41" s="96"/>
      <c r="BR41" s="96"/>
      <c r="BS41" s="96"/>
      <c r="BT41" s="96"/>
      <c r="BU41" s="96"/>
      <c r="BV41" s="96"/>
      <c r="BW41" s="96"/>
      <c r="BX41" s="96"/>
      <c r="BY41" s="96"/>
      <c r="BZ41" s="96"/>
      <c r="CA41" s="96"/>
      <c r="CB41" s="96"/>
      <c r="CC41" s="96"/>
      <c r="CD41" s="96"/>
      <c r="CE41" s="96"/>
      <c r="CF41" s="96"/>
      <c r="CG41" s="96"/>
      <c r="CH41" s="96"/>
      <c r="CI41" s="96"/>
      <c r="CJ41" s="96"/>
      <c r="CK41" s="96"/>
      <c r="CL41" s="96"/>
      <c r="CM41" s="96"/>
      <c r="CN41" s="96"/>
      <c r="CO41" s="96"/>
      <c r="CP41" s="96"/>
      <c r="CQ41" s="96"/>
      <c r="CR41" s="96"/>
      <c r="CS41" s="96"/>
      <c r="CT41" s="96"/>
      <c r="CU41" s="96"/>
      <c r="CV41" s="96"/>
      <c r="CW41" s="96"/>
      <c r="CX41" s="96"/>
      <c r="CY41" s="96"/>
      <c r="CZ41" s="96"/>
      <c r="DA41" s="96"/>
      <c r="DB41" s="96"/>
      <c r="DC41" s="96"/>
      <c r="DD41" s="96"/>
      <c r="DE41" s="96"/>
      <c r="DF41" s="96"/>
      <c r="DG41" s="96"/>
      <c r="DH41" s="96"/>
      <c r="DI41" s="96"/>
      <c r="DJ41" s="96"/>
      <c r="DK41" s="96"/>
      <c r="DL41" s="96"/>
      <c r="DM41" s="96"/>
      <c r="DN41" s="96"/>
      <c r="DO41" s="96"/>
      <c r="DP41" s="96"/>
      <c r="DQ41" s="96"/>
      <c r="DR41" s="96"/>
      <c r="DS41" s="96"/>
    </row>
    <row r="42" spans="1:123" ht="13.5" customHeight="1">
      <c r="A42" s="92" t="s">
        <v>1951</v>
      </c>
      <c r="B42" s="93" t="s">
        <v>1952</v>
      </c>
      <c r="C42" s="104">
        <f ca="1">ROUND(IF('数据-取费表'!B24&lt;=1,C33*F22*'数据-取费表'!B23/2,C33*(POWER((1+F22),'数据-取费表'!B23/2)-1)),0)</f>
        <v>26164</v>
      </c>
      <c r="D42" s="104"/>
      <c r="E42" s="104"/>
      <c r="F42" s="105"/>
      <c r="G42" s="3390" t="s">
        <v>1985</v>
      </c>
    </row>
    <row r="43" spans="1:123" ht="13.5" customHeight="1">
      <c r="A43" s="92" t="s">
        <v>1925</v>
      </c>
      <c r="B43" s="93" t="s">
        <v>1954</v>
      </c>
      <c r="C43" s="104">
        <f ca="1">ROUND(IF('数据-取费表'!B24&lt;=1,C39*F22*'数据-取费表'!B23/2,C39*(POWER((1+F22),'数据-取费表'!B23/2)-1)),0)</f>
        <v>523</v>
      </c>
      <c r="D43" s="104"/>
      <c r="E43" s="104"/>
      <c r="F43" s="105"/>
      <c r="G43" s="3391"/>
    </row>
    <row r="44" spans="1:123" ht="13.5" customHeight="1">
      <c r="A44" s="92" t="s">
        <v>1927</v>
      </c>
      <c r="B44" s="93" t="s">
        <v>1956</v>
      </c>
      <c r="C44" s="104">
        <f ca="1">ROUND(IF('数据-取费表'!B24&lt;=1,C40*F22*'数据-取费表'!B23/2,C40*(POWER((1+F22),'数据-取费表'!B23/2)-1)),4)</f>
        <v>8.9999999999999998E-4</v>
      </c>
      <c r="D44" s="104"/>
      <c r="E44" s="104"/>
      <c r="F44" s="105"/>
      <c r="G44" s="3392"/>
    </row>
    <row r="45" spans="1:123" s="91" customFormat="1" ht="13.5" customHeight="1">
      <c r="A45" s="120" t="s">
        <v>1949</v>
      </c>
      <c r="B45" s="110" t="s">
        <v>1961</v>
      </c>
      <c r="C45" s="111">
        <f>C46</f>
        <v>122698</v>
      </c>
      <c r="D45" s="101">
        <f>C47</f>
        <v>4.0000000000000001E-3</v>
      </c>
      <c r="E45" s="102" t="s">
        <v>1983</v>
      </c>
      <c r="F45" s="2886">
        <f>F27</f>
        <v>0.2</v>
      </c>
      <c r="G45" s="113" t="s">
        <v>1986</v>
      </c>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c r="AG45" s="96"/>
      <c r="AH45" s="96"/>
      <c r="AI45" s="96"/>
      <c r="AJ45" s="96"/>
      <c r="AK45" s="96"/>
      <c r="AL45" s="96"/>
      <c r="AM45" s="96"/>
      <c r="AN45" s="96"/>
      <c r="AO45" s="96"/>
      <c r="AP45" s="96"/>
      <c r="AQ45" s="96"/>
      <c r="AR45" s="96"/>
      <c r="AS45" s="96"/>
      <c r="AT45" s="96"/>
      <c r="AU45" s="96"/>
      <c r="AV45" s="96"/>
      <c r="AW45" s="96"/>
      <c r="AX45" s="96"/>
      <c r="AY45" s="96"/>
      <c r="AZ45" s="96"/>
      <c r="BA45" s="96"/>
      <c r="BB45" s="96"/>
      <c r="BC45" s="96"/>
      <c r="BD45" s="96"/>
      <c r="BE45" s="96"/>
      <c r="BF45" s="96"/>
      <c r="BG45" s="96"/>
      <c r="BH45" s="96"/>
      <c r="BI45" s="96"/>
      <c r="BJ45" s="96"/>
      <c r="BK45" s="96"/>
      <c r="BL45" s="96"/>
      <c r="BM45" s="96"/>
      <c r="BN45" s="96"/>
      <c r="BO45" s="96"/>
      <c r="BP45" s="96"/>
      <c r="BQ45" s="96"/>
      <c r="BR45" s="96"/>
      <c r="BS45" s="96"/>
      <c r="BT45" s="96"/>
      <c r="BU45" s="96"/>
      <c r="BV45" s="96"/>
      <c r="BW45" s="96"/>
      <c r="BX45" s="96"/>
      <c r="BY45" s="96"/>
      <c r="BZ45" s="96"/>
      <c r="CA45" s="96"/>
      <c r="CB45" s="96"/>
      <c r="CC45" s="96"/>
      <c r="CD45" s="96"/>
      <c r="CE45" s="96"/>
      <c r="CF45" s="96"/>
      <c r="CG45" s="96"/>
      <c r="CH45" s="96"/>
      <c r="CI45" s="96"/>
      <c r="CJ45" s="96"/>
      <c r="CK45" s="96"/>
      <c r="CL45" s="96"/>
      <c r="CM45" s="96"/>
      <c r="CN45" s="96"/>
      <c r="CO45" s="96"/>
      <c r="CP45" s="96"/>
      <c r="CQ45" s="96"/>
      <c r="CR45" s="96"/>
      <c r="CS45" s="96"/>
      <c r="CT45" s="96"/>
      <c r="CU45" s="96"/>
      <c r="CV45" s="96"/>
      <c r="CW45" s="96"/>
      <c r="CX45" s="96"/>
      <c r="CY45" s="96"/>
      <c r="CZ45" s="96"/>
      <c r="DA45" s="96"/>
      <c r="DB45" s="96"/>
      <c r="DC45" s="96"/>
      <c r="DD45" s="96"/>
      <c r="DE45" s="96"/>
      <c r="DF45" s="96"/>
      <c r="DG45" s="96"/>
      <c r="DH45" s="96"/>
      <c r="DI45" s="96"/>
      <c r="DJ45" s="96"/>
      <c r="DK45" s="96"/>
      <c r="DL45" s="96"/>
      <c r="DM45" s="96"/>
      <c r="DN45" s="96"/>
      <c r="DO45" s="96"/>
      <c r="DP45" s="96"/>
      <c r="DQ45" s="96"/>
      <c r="DR45" s="96"/>
      <c r="DS45" s="96"/>
    </row>
    <row r="46" spans="1:123" s="91" customFormat="1" ht="13.5" customHeight="1">
      <c r="A46" s="92" t="s">
        <v>1951</v>
      </c>
      <c r="B46" s="114" t="s">
        <v>1987</v>
      </c>
      <c r="C46" s="115">
        <f>ROUND((C33+C39)*F27,0)</f>
        <v>122698</v>
      </c>
      <c r="D46" s="125"/>
      <c r="E46" s="102"/>
      <c r="F46" s="112"/>
      <c r="G46" s="113"/>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6"/>
      <c r="AY46" s="96"/>
      <c r="AZ46" s="96"/>
      <c r="BA46" s="96"/>
      <c r="BB46" s="96"/>
      <c r="BC46" s="96"/>
      <c r="BD46" s="96"/>
      <c r="BE46" s="96"/>
      <c r="BF46" s="96"/>
      <c r="BG46" s="96"/>
      <c r="BH46" s="96"/>
      <c r="BI46" s="96"/>
      <c r="BJ46" s="96"/>
      <c r="BK46" s="96"/>
      <c r="BL46" s="96"/>
      <c r="BM46" s="96"/>
      <c r="BN46" s="96"/>
      <c r="BO46" s="96"/>
      <c r="BP46" s="96"/>
      <c r="BQ46" s="96"/>
      <c r="BR46" s="96"/>
      <c r="BS46" s="96"/>
      <c r="BT46" s="96"/>
      <c r="BU46" s="96"/>
      <c r="BV46" s="96"/>
      <c r="BW46" s="96"/>
      <c r="BX46" s="96"/>
      <c r="BY46" s="96"/>
      <c r="BZ46" s="96"/>
      <c r="CA46" s="96"/>
      <c r="CB46" s="96"/>
      <c r="CC46" s="96"/>
      <c r="CD46" s="96"/>
      <c r="CE46" s="96"/>
      <c r="CF46" s="96"/>
      <c r="CG46" s="96"/>
      <c r="CH46" s="96"/>
      <c r="CI46" s="96"/>
      <c r="CJ46" s="96"/>
      <c r="CK46" s="96"/>
      <c r="CL46" s="96"/>
      <c r="CM46" s="96"/>
      <c r="CN46" s="96"/>
      <c r="CO46" s="96"/>
      <c r="CP46" s="96"/>
      <c r="CQ46" s="96"/>
      <c r="CR46" s="96"/>
      <c r="CS46" s="96"/>
      <c r="CT46" s="96"/>
      <c r="CU46" s="96"/>
      <c r="CV46" s="96"/>
      <c r="CW46" s="96"/>
      <c r="CX46" s="96"/>
      <c r="CY46" s="96"/>
      <c r="CZ46" s="96"/>
      <c r="DA46" s="96"/>
      <c r="DB46" s="96"/>
      <c r="DC46" s="96"/>
      <c r="DD46" s="96"/>
      <c r="DE46" s="96"/>
      <c r="DF46" s="96"/>
      <c r="DG46" s="96"/>
      <c r="DH46" s="96"/>
      <c r="DI46" s="96"/>
      <c r="DJ46" s="96"/>
      <c r="DK46" s="96"/>
      <c r="DL46" s="96"/>
      <c r="DM46" s="96"/>
      <c r="DN46" s="96"/>
      <c r="DO46" s="96"/>
      <c r="DP46" s="96"/>
      <c r="DQ46" s="96"/>
      <c r="DR46" s="96"/>
      <c r="DS46" s="96"/>
    </row>
    <row r="47" spans="1:123" s="91" customFormat="1" ht="13.5" customHeight="1">
      <c r="A47" s="92" t="s">
        <v>1925</v>
      </c>
      <c r="B47" s="114" t="s">
        <v>1988</v>
      </c>
      <c r="C47" s="104">
        <f>ROUND(C40*F27,4)</f>
        <v>4.0000000000000001E-3</v>
      </c>
      <c r="D47" s="125"/>
      <c r="E47" s="102"/>
      <c r="F47" s="112"/>
      <c r="G47" s="113"/>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c r="AN47" s="96"/>
      <c r="AO47" s="96"/>
      <c r="AP47" s="96"/>
      <c r="AQ47" s="96"/>
      <c r="AR47" s="96"/>
      <c r="AS47" s="96"/>
      <c r="AT47" s="96"/>
      <c r="AU47" s="96"/>
      <c r="AV47" s="96"/>
      <c r="AW47" s="96"/>
      <c r="AX47" s="96"/>
      <c r="AY47" s="96"/>
      <c r="AZ47" s="96"/>
      <c r="BA47" s="96"/>
      <c r="BB47" s="96"/>
      <c r="BC47" s="96"/>
      <c r="BD47" s="96"/>
      <c r="BE47" s="96"/>
      <c r="BF47" s="96"/>
      <c r="BG47" s="96"/>
      <c r="BH47" s="96"/>
      <c r="BI47" s="96"/>
      <c r="BJ47" s="96"/>
      <c r="BK47" s="96"/>
      <c r="BL47" s="96"/>
      <c r="BM47" s="96"/>
      <c r="BN47" s="96"/>
      <c r="BO47" s="96"/>
      <c r="BP47" s="96"/>
      <c r="BQ47" s="96"/>
      <c r="BR47" s="96"/>
      <c r="BS47" s="96"/>
      <c r="BT47" s="96"/>
      <c r="BU47" s="96"/>
      <c r="BV47" s="96"/>
      <c r="BW47" s="96"/>
      <c r="BX47" s="96"/>
      <c r="BY47" s="96"/>
      <c r="BZ47" s="96"/>
      <c r="CA47" s="96"/>
      <c r="CB47" s="96"/>
      <c r="CC47" s="96"/>
      <c r="CD47" s="96"/>
      <c r="CE47" s="96"/>
      <c r="CF47" s="96"/>
      <c r="CG47" s="96"/>
      <c r="CH47" s="96"/>
      <c r="CI47" s="96"/>
      <c r="CJ47" s="96"/>
      <c r="CK47" s="96"/>
      <c r="CL47" s="96"/>
      <c r="CM47" s="96"/>
      <c r="CN47" s="96"/>
      <c r="CO47" s="96"/>
      <c r="CP47" s="96"/>
      <c r="CQ47" s="96"/>
      <c r="CR47" s="96"/>
      <c r="CS47" s="96"/>
      <c r="CT47" s="96"/>
      <c r="CU47" s="96"/>
      <c r="CV47" s="96"/>
      <c r="CW47" s="96"/>
      <c r="CX47" s="96"/>
      <c r="CY47" s="96"/>
      <c r="CZ47" s="96"/>
      <c r="DA47" s="96"/>
      <c r="DB47" s="96"/>
      <c r="DC47" s="96"/>
      <c r="DD47" s="96"/>
      <c r="DE47" s="96"/>
      <c r="DF47" s="96"/>
      <c r="DG47" s="96"/>
      <c r="DH47" s="96"/>
      <c r="DI47" s="96"/>
      <c r="DJ47" s="96"/>
      <c r="DK47" s="96"/>
      <c r="DL47" s="96"/>
      <c r="DM47" s="96"/>
      <c r="DN47" s="96"/>
      <c r="DO47" s="96"/>
      <c r="DP47" s="96"/>
      <c r="DQ47" s="96"/>
      <c r="DR47" s="96"/>
      <c r="DS47" s="96"/>
    </row>
    <row r="48" spans="1:123" s="91" customFormat="1" ht="13.5" customHeight="1">
      <c r="A48" s="994" t="s">
        <v>1960</v>
      </c>
      <c r="B48" s="89" t="s">
        <v>1989</v>
      </c>
      <c r="C48" s="1302">
        <f>ROUND(F30/(1+'数据-取费表'!F30),4)</f>
        <v>5.33E-2</v>
      </c>
      <c r="D48" s="102" t="s">
        <v>1983</v>
      </c>
      <c r="E48" s="99"/>
      <c r="F48" s="2885">
        <f>F30</f>
        <v>5.6000000000000001E-2</v>
      </c>
      <c r="G48" s="100" t="s">
        <v>1990</v>
      </c>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c r="AH48" s="96"/>
      <c r="AI48" s="96"/>
      <c r="AJ48" s="96"/>
      <c r="AK48" s="96"/>
      <c r="AL48" s="96"/>
      <c r="AM48" s="96"/>
      <c r="AN48" s="96"/>
      <c r="AO48" s="96"/>
      <c r="AP48" s="96"/>
      <c r="AQ48" s="96"/>
      <c r="AR48" s="96"/>
      <c r="AS48" s="96"/>
      <c r="AT48" s="96"/>
      <c r="AU48" s="96"/>
      <c r="AV48" s="96"/>
      <c r="AW48" s="96"/>
      <c r="AX48" s="96"/>
      <c r="AY48" s="96"/>
      <c r="AZ48" s="96"/>
      <c r="BA48" s="96"/>
      <c r="BB48" s="96"/>
      <c r="BC48" s="96"/>
      <c r="BD48" s="96"/>
      <c r="BE48" s="96"/>
      <c r="BF48" s="96"/>
      <c r="BG48" s="96"/>
      <c r="BH48" s="96"/>
      <c r="BI48" s="96"/>
      <c r="BJ48" s="96"/>
      <c r="BK48" s="96"/>
      <c r="BL48" s="96"/>
      <c r="BM48" s="96"/>
      <c r="BN48" s="96"/>
      <c r="BO48" s="96"/>
      <c r="BP48" s="96"/>
      <c r="BQ48" s="96"/>
      <c r="BR48" s="96"/>
      <c r="BS48" s="96"/>
      <c r="BT48" s="96"/>
      <c r="BU48" s="96"/>
      <c r="BV48" s="96"/>
      <c r="BW48" s="96"/>
      <c r="BX48" s="96"/>
      <c r="BY48" s="96"/>
      <c r="BZ48" s="96"/>
      <c r="CA48" s="96"/>
      <c r="CB48" s="96"/>
      <c r="CC48" s="96"/>
      <c r="CD48" s="96"/>
      <c r="CE48" s="96"/>
      <c r="CF48" s="96"/>
      <c r="CG48" s="96"/>
      <c r="CH48" s="96"/>
      <c r="CI48" s="96"/>
      <c r="CJ48" s="96"/>
      <c r="CK48" s="96"/>
      <c r="CL48" s="96"/>
      <c r="CM48" s="96"/>
      <c r="CN48" s="96"/>
      <c r="CO48" s="96"/>
      <c r="CP48" s="96"/>
      <c r="CQ48" s="96"/>
      <c r="CR48" s="96"/>
      <c r="CS48" s="96"/>
      <c r="CT48" s="96"/>
      <c r="CU48" s="96"/>
      <c r="CV48" s="96"/>
      <c r="CW48" s="96"/>
      <c r="CX48" s="96"/>
      <c r="CY48" s="96"/>
      <c r="CZ48" s="96"/>
      <c r="DA48" s="96"/>
      <c r="DB48" s="96"/>
      <c r="DC48" s="96"/>
      <c r="DD48" s="96"/>
      <c r="DE48" s="96"/>
      <c r="DF48" s="96"/>
      <c r="DG48" s="96"/>
      <c r="DH48" s="96"/>
      <c r="DI48" s="96"/>
      <c r="DJ48" s="96"/>
      <c r="DK48" s="96"/>
      <c r="DL48" s="96"/>
      <c r="DM48" s="96"/>
      <c r="DN48" s="96"/>
      <c r="DO48" s="96"/>
      <c r="DP48" s="96"/>
      <c r="DQ48" s="96"/>
      <c r="DR48" s="96"/>
      <c r="DS48" s="96"/>
    </row>
    <row r="49" spans="1:123" ht="16.5" customHeight="1">
      <c r="A49" s="994" t="s">
        <v>1991</v>
      </c>
      <c r="B49" s="89" t="s">
        <v>1992</v>
      </c>
      <c r="C49" s="99">
        <f ca="1">ROUND((C33+C39+C41+C45)/(1-C40-D41-D45-C48),0)</f>
        <v>827594</v>
      </c>
      <c r="D49" s="99"/>
      <c r="E49" s="99"/>
      <c r="F49" s="126"/>
      <c r="G49" s="100" t="s">
        <v>1993</v>
      </c>
    </row>
    <row r="50" spans="1:123" s="122" customFormat="1" ht="24">
      <c r="A50" s="994" t="s">
        <v>1994</v>
      </c>
      <c r="B50" s="89" t="s">
        <v>1995</v>
      </c>
      <c r="C50" s="99"/>
      <c r="D50" s="99"/>
      <c r="E50" s="99"/>
      <c r="F50" s="126">
        <f>IF('数据-取费表'!B26=0,'数据-取费表'!E20,1)</f>
        <v>0.8</v>
      </c>
      <c r="G50" s="113" t="s">
        <v>1996</v>
      </c>
    </row>
    <row r="51" spans="1:123" ht="16.5" customHeight="1">
      <c r="A51" s="994" t="s">
        <v>1997</v>
      </c>
      <c r="B51" s="89" t="s">
        <v>1998</v>
      </c>
      <c r="C51" s="99">
        <f ca="1">ROUND(C49*F50,0)</f>
        <v>662075</v>
      </c>
      <c r="D51" s="99"/>
      <c r="E51" s="99"/>
      <c r="F51" s="126"/>
      <c r="G51" s="100" t="s">
        <v>1999</v>
      </c>
    </row>
    <row r="52" spans="1:123" s="88" customFormat="1" ht="16.5" thickBot="1">
      <c r="A52" s="127" t="s">
        <v>2000</v>
      </c>
      <c r="B52" s="128"/>
      <c r="C52" s="129">
        <f ca="1">C31+C51</f>
        <v>6570903</v>
      </c>
      <c r="D52" s="128"/>
      <c r="E52" s="128"/>
      <c r="F52" s="128"/>
      <c r="G52" s="130"/>
      <c r="H52" s="2983"/>
      <c r="I52" s="2983"/>
      <c r="J52" s="2983"/>
      <c r="K52" s="2983"/>
      <c r="L52" s="2983"/>
      <c r="M52" s="2983"/>
      <c r="N52" s="2983"/>
      <c r="O52" s="2983"/>
      <c r="P52" s="2983"/>
      <c r="Q52" s="2983"/>
      <c r="R52" s="2983"/>
      <c r="S52" s="2983"/>
      <c r="T52" s="2983"/>
      <c r="U52" s="2983"/>
      <c r="V52" s="2983"/>
      <c r="W52" s="2983"/>
      <c r="X52" s="2983"/>
      <c r="Y52" s="2983"/>
      <c r="Z52" s="2983"/>
      <c r="AA52" s="2983"/>
      <c r="AB52" s="2983"/>
      <c r="AC52" s="2983"/>
      <c r="AD52" s="2983"/>
      <c r="AE52" s="2983"/>
      <c r="AF52" s="2983"/>
      <c r="AG52" s="2983"/>
      <c r="AH52" s="2983"/>
      <c r="AI52" s="2983"/>
      <c r="AJ52" s="2983"/>
      <c r="AK52" s="2983"/>
      <c r="AL52" s="2983"/>
      <c r="AM52" s="2983"/>
      <c r="AN52" s="2983"/>
      <c r="AO52" s="2983"/>
      <c r="AP52" s="2983"/>
      <c r="AQ52" s="2983"/>
      <c r="AR52" s="2983"/>
      <c r="AS52" s="2983"/>
      <c r="AT52" s="2983"/>
      <c r="AU52" s="2983"/>
      <c r="AV52" s="2983"/>
      <c r="AW52" s="2983"/>
      <c r="AX52" s="2983"/>
      <c r="AY52" s="2983"/>
      <c r="AZ52" s="2983"/>
      <c r="BA52" s="2983"/>
      <c r="BB52" s="2983"/>
      <c r="BC52" s="2983"/>
      <c r="BD52" s="2983"/>
      <c r="BE52" s="2983"/>
      <c r="BF52" s="2983"/>
      <c r="BG52" s="2983"/>
      <c r="BH52" s="2983"/>
      <c r="BI52" s="2983"/>
      <c r="BJ52" s="2983"/>
      <c r="BK52" s="2983"/>
      <c r="BL52" s="2983"/>
      <c r="BM52" s="2983"/>
      <c r="BN52" s="2983"/>
      <c r="BO52" s="2983"/>
      <c r="BP52" s="2983"/>
      <c r="BQ52" s="2983"/>
      <c r="BR52" s="2983"/>
      <c r="BS52" s="2983"/>
      <c r="BT52" s="2983"/>
      <c r="BU52" s="2983"/>
      <c r="BV52" s="2983"/>
      <c r="BW52" s="2983"/>
      <c r="BX52" s="2983"/>
      <c r="BY52" s="2983"/>
      <c r="BZ52" s="2983"/>
      <c r="CA52" s="2983"/>
      <c r="CB52" s="2983"/>
      <c r="CC52" s="2983"/>
      <c r="CD52" s="2983"/>
      <c r="CE52" s="2983"/>
      <c r="CF52" s="2983"/>
      <c r="CG52" s="2983"/>
      <c r="CH52" s="2983"/>
      <c r="CI52" s="2983"/>
      <c r="CJ52" s="2983"/>
      <c r="CK52" s="2983"/>
      <c r="CL52" s="2983"/>
      <c r="CM52" s="2983"/>
      <c r="CN52" s="2983"/>
      <c r="CO52" s="2983"/>
      <c r="CP52" s="2983"/>
      <c r="CQ52" s="2983"/>
      <c r="CR52" s="2983"/>
      <c r="CS52" s="2983"/>
      <c r="CT52" s="2983"/>
      <c r="CU52" s="2983"/>
      <c r="CV52" s="2983"/>
      <c r="CW52" s="2983"/>
      <c r="CX52" s="2983"/>
      <c r="CY52" s="2983"/>
      <c r="CZ52" s="2983"/>
      <c r="DA52" s="2983"/>
      <c r="DB52" s="2983"/>
      <c r="DC52" s="2983"/>
      <c r="DD52" s="2983"/>
      <c r="DE52" s="2983"/>
      <c r="DF52" s="2983"/>
      <c r="DG52" s="2983"/>
      <c r="DH52" s="2983"/>
      <c r="DI52" s="2983"/>
      <c r="DJ52" s="2983"/>
      <c r="DK52" s="2983"/>
      <c r="DL52" s="2983"/>
      <c r="DM52" s="2983"/>
      <c r="DN52" s="2983"/>
      <c r="DO52" s="2983"/>
      <c r="DP52" s="2983"/>
      <c r="DQ52" s="2983"/>
      <c r="DR52" s="2983"/>
      <c r="DS52" s="2983"/>
    </row>
    <row r="55" spans="1:123" ht="15">
      <c r="B55" s="132" t="s">
        <v>2001</v>
      </c>
      <c r="C55" s="133"/>
    </row>
    <row r="56" spans="1:123">
      <c r="B56" s="135" t="s">
        <v>2002</v>
      </c>
      <c r="C56" s="136">
        <f ca="1">ROUND(C51/C52,3)</f>
        <v>0.10100000000000001</v>
      </c>
    </row>
    <row r="57" spans="1:123">
      <c r="B57" s="135" t="s">
        <v>2003</v>
      </c>
      <c r="C57" s="137">
        <f ca="1">1-C56</f>
        <v>0.89900000000000002</v>
      </c>
    </row>
  </sheetData>
  <sheetProtection password="CEE9" sheet="1" objects="1" scenarios="1" formatCells="0" formatColumns="0" formatRows="0"/>
  <mergeCells count="1">
    <mergeCell ref="G42:G44"/>
  </mergeCells>
  <phoneticPr fontId="15" type="noConversion"/>
  <dataValidations count="5">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B1">
      <formula1>"估价对象,仅计算典型户型"</formula1>
    </dataValidation>
    <dataValidation type="list" allowBlank="1" showInputMessage="1" showErrorMessage="1" sqref="G2">
      <formula1>估价方法</formula1>
    </dataValidation>
    <dataValidation type="list" allowBlank="1" showInputMessage="1" showErrorMessage="1" sqref="D2">
      <formula1>"需扣减承租人权益,——"</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A1:AG34"/>
  <sheetViews>
    <sheetView workbookViewId="0">
      <selection sqref="A1:XFD1048576"/>
    </sheetView>
  </sheetViews>
  <sheetFormatPr defaultColWidth="6.625" defaultRowHeight="12.75"/>
  <cols>
    <col min="1" max="1" width="9.75" style="218" customWidth="1"/>
    <col min="2" max="2" width="25.75" style="219" customWidth="1"/>
    <col min="3" max="3" width="10.375" style="220" customWidth="1"/>
    <col min="4" max="4" width="9.875" style="219" customWidth="1"/>
    <col min="5" max="5" width="9.5" style="218" customWidth="1"/>
    <col min="6" max="6" width="10.125" style="219" customWidth="1"/>
    <col min="7" max="7" width="9.5" style="219" customWidth="1"/>
    <col min="8" max="8" width="10" style="219" customWidth="1"/>
    <col min="9" max="11" width="9.5" style="219" customWidth="1"/>
    <col min="12" max="12" width="9" style="219" customWidth="1"/>
    <col min="13" max="13" width="10.5" style="219" bestFit="1" customWidth="1"/>
    <col min="14" max="254" width="9" style="219" customWidth="1"/>
    <col min="255" max="16384" width="6.625" style="219"/>
  </cols>
  <sheetData>
    <row r="1" spans="1:33" s="139" customFormat="1" ht="20.25">
      <c r="A1" s="77" t="s">
        <v>1286</v>
      </c>
      <c r="B1" s="138"/>
      <c r="C1" s="1002" t="s">
        <v>1287</v>
      </c>
      <c r="D1" s="1124"/>
      <c r="E1" s="924"/>
      <c r="F1" s="924"/>
      <c r="G1" s="924"/>
      <c r="H1" s="924"/>
      <c r="I1" s="924"/>
      <c r="J1" s="924"/>
      <c r="K1" s="924"/>
    </row>
    <row r="2" spans="1:33" s="139" customFormat="1" ht="18" customHeight="1">
      <c r="A2" s="81" t="s">
        <v>1288</v>
      </c>
      <c r="B2" s="84">
        <f ca="1">IF(C2="元",C32,ROUND(C32/10000,0))</f>
        <v>359</v>
      </c>
      <c r="C2" s="1401" t="str">
        <f>'数据-取费表'!B3</f>
        <v>万元</v>
      </c>
      <c r="D2" s="924"/>
      <c r="E2" s="924"/>
      <c r="F2" s="924"/>
      <c r="G2" s="924"/>
      <c r="H2" s="924"/>
      <c r="I2" s="924"/>
      <c r="J2" s="924"/>
      <c r="K2" s="924"/>
    </row>
    <row r="3" spans="1:33" s="139" customFormat="1" ht="18" customHeight="1" thickBot="1">
      <c r="A3" s="83" t="s">
        <v>1289</v>
      </c>
      <c r="B3" s="84">
        <f ca="1">ROUND(C32/IF(C1="仅计算典型户型",'数据-取费表'!E5,'数据-取费表'!B5),0)</f>
        <v>23032</v>
      </c>
      <c r="C3" s="1401" t="s">
        <v>1290</v>
      </c>
      <c r="D3" s="924"/>
      <c r="E3" s="924"/>
      <c r="F3" s="924"/>
      <c r="G3" s="924"/>
      <c r="H3" s="924"/>
      <c r="I3" s="924"/>
      <c r="J3" s="924"/>
      <c r="K3" s="924"/>
    </row>
    <row r="4" spans="1:33" s="143" customFormat="1" ht="16.5" customHeight="1">
      <c r="A4" s="140" t="s">
        <v>1291</v>
      </c>
      <c r="B4" s="141"/>
      <c r="C4" s="1123">
        <f>SUM(C8:K8)</f>
        <v>5457200</v>
      </c>
      <c r="D4" s="141"/>
      <c r="E4" s="141"/>
      <c r="F4" s="141"/>
      <c r="G4" s="141"/>
      <c r="H4" s="141"/>
      <c r="I4" s="141"/>
      <c r="J4" s="141"/>
      <c r="K4" s="142"/>
      <c r="L4" s="646"/>
      <c r="M4" s="646"/>
      <c r="N4" s="646"/>
      <c r="O4" s="646"/>
      <c r="P4" s="646"/>
      <c r="Q4" s="646"/>
      <c r="R4" s="646"/>
      <c r="S4" s="646"/>
      <c r="T4" s="646"/>
      <c r="U4" s="646"/>
      <c r="V4" s="646"/>
      <c r="W4" s="646"/>
      <c r="X4" s="646"/>
      <c r="Y4" s="646"/>
      <c r="Z4" s="646"/>
      <c r="AA4" s="646"/>
      <c r="AB4" s="646"/>
      <c r="AC4" s="646"/>
      <c r="AD4" s="646"/>
      <c r="AE4" s="646"/>
      <c r="AF4" s="646"/>
      <c r="AG4" s="646"/>
    </row>
    <row r="5" spans="1:33" s="146" customFormat="1" ht="15.75">
      <c r="A5" s="144" t="s">
        <v>1292</v>
      </c>
      <c r="B5" s="145" t="s">
        <v>1293</v>
      </c>
      <c r="C5" s="154"/>
      <c r="D5" s="154"/>
      <c r="E5" s="154"/>
      <c r="F5" s="154"/>
      <c r="G5" s="154"/>
      <c r="H5" s="154"/>
      <c r="I5" s="154"/>
      <c r="J5" s="154"/>
      <c r="K5" s="155"/>
      <c r="L5" s="647"/>
      <c r="M5" s="647"/>
      <c r="N5" s="647"/>
      <c r="O5" s="647"/>
      <c r="P5" s="647"/>
      <c r="Q5" s="647"/>
      <c r="R5" s="647"/>
      <c r="S5" s="647"/>
      <c r="T5" s="647"/>
      <c r="U5" s="647"/>
      <c r="V5" s="647"/>
      <c r="W5" s="647"/>
      <c r="X5" s="647"/>
      <c r="Y5" s="647"/>
      <c r="Z5" s="647"/>
      <c r="AA5" s="647"/>
      <c r="AB5" s="647"/>
      <c r="AC5" s="647"/>
      <c r="AD5" s="647"/>
      <c r="AE5" s="647"/>
      <c r="AF5" s="647"/>
      <c r="AG5" s="647"/>
    </row>
    <row r="6" spans="1:33" s="149" customFormat="1" ht="13.5" customHeight="1">
      <c r="A6" s="995" t="s">
        <v>1294</v>
      </c>
      <c r="B6" s="147" t="s">
        <v>1295</v>
      </c>
      <c r="C6" s="148">
        <v>35000</v>
      </c>
      <c r="D6" s="1120"/>
      <c r="E6" s="1120"/>
      <c r="F6" s="1120"/>
      <c r="G6" s="1120"/>
      <c r="H6" s="1120"/>
      <c r="I6" s="1120"/>
      <c r="J6" s="1120"/>
      <c r="K6" s="1121"/>
      <c r="L6" s="648"/>
      <c r="M6" s="648"/>
      <c r="N6" s="648"/>
      <c r="O6" s="648"/>
      <c r="P6" s="648"/>
      <c r="Q6" s="648"/>
      <c r="R6" s="648"/>
      <c r="S6" s="648"/>
      <c r="T6" s="648"/>
      <c r="U6" s="648"/>
      <c r="V6" s="648"/>
      <c r="W6" s="648"/>
      <c r="X6" s="648"/>
      <c r="Y6" s="648"/>
      <c r="Z6" s="648"/>
      <c r="AA6" s="648"/>
      <c r="AB6" s="648"/>
      <c r="AC6" s="648"/>
      <c r="AD6" s="648"/>
      <c r="AE6" s="648"/>
      <c r="AF6" s="648"/>
      <c r="AG6" s="648"/>
    </row>
    <row r="7" spans="1:33" s="149" customFormat="1" ht="13.5" customHeight="1">
      <c r="A7" s="995" t="s">
        <v>1296</v>
      </c>
      <c r="B7" s="147" t="s">
        <v>1297</v>
      </c>
      <c r="C7" s="150">
        <f>IF(C1="仅计算典型户型",'数据-取费表'!E5,'数据-取费表'!B5)</f>
        <v>155.91999999999999</v>
      </c>
      <c r="D7" s="150"/>
      <c r="E7" s="150"/>
      <c r="F7" s="150"/>
      <c r="G7" s="150"/>
      <c r="H7" s="150"/>
      <c r="I7" s="150"/>
      <c r="J7" s="150"/>
      <c r="K7" s="151"/>
      <c r="L7" s="648"/>
      <c r="M7" s="648"/>
      <c r="N7" s="648"/>
      <c r="O7" s="648"/>
      <c r="P7" s="648"/>
      <c r="Q7" s="648"/>
      <c r="R7" s="648"/>
      <c r="S7" s="648"/>
      <c r="T7" s="648"/>
      <c r="U7" s="648"/>
      <c r="V7" s="648"/>
      <c r="W7" s="648"/>
      <c r="X7" s="648"/>
      <c r="Y7" s="648"/>
      <c r="Z7" s="648"/>
      <c r="AA7" s="648"/>
      <c r="AB7" s="648"/>
      <c r="AC7" s="648"/>
      <c r="AD7" s="648"/>
      <c r="AE7" s="648"/>
      <c r="AF7" s="648"/>
      <c r="AG7" s="648"/>
    </row>
    <row r="8" spans="1:33" s="149" customFormat="1" ht="13.5" customHeight="1">
      <c r="A8" s="1402" t="s">
        <v>1298</v>
      </c>
      <c r="B8" s="147" t="s">
        <v>1299</v>
      </c>
      <c r="C8" s="610">
        <f>C6*C7</f>
        <v>5457200</v>
      </c>
      <c r="D8" s="1122"/>
      <c r="E8" s="1122"/>
      <c r="F8" s="1120"/>
      <c r="G8" s="1120"/>
      <c r="H8" s="1120"/>
      <c r="I8" s="1120"/>
      <c r="J8" s="1120"/>
      <c r="K8" s="1121"/>
      <c r="L8" s="648"/>
      <c r="M8" s="648"/>
      <c r="N8" s="648"/>
      <c r="O8" s="648"/>
      <c r="P8" s="648"/>
      <c r="Q8" s="648"/>
      <c r="R8" s="648"/>
      <c r="S8" s="648"/>
      <c r="T8" s="648"/>
      <c r="U8" s="648"/>
      <c r="V8" s="648"/>
      <c r="W8" s="648"/>
      <c r="X8" s="648"/>
      <c r="Y8" s="648"/>
      <c r="Z8" s="648"/>
      <c r="AA8" s="648"/>
      <c r="AB8" s="648"/>
      <c r="AC8" s="648"/>
      <c r="AD8" s="648"/>
      <c r="AE8" s="648"/>
      <c r="AF8" s="648"/>
      <c r="AG8" s="648"/>
    </row>
    <row r="9" spans="1:33" s="143" customFormat="1" ht="16.5" customHeight="1">
      <c r="A9" s="153" t="s">
        <v>1300</v>
      </c>
      <c r="B9" s="154"/>
      <c r="C9" s="154"/>
      <c r="D9" s="154"/>
      <c r="E9" s="154"/>
      <c r="F9" s="154"/>
      <c r="G9" s="154"/>
      <c r="H9" s="154"/>
      <c r="I9" s="154"/>
      <c r="J9" s="154"/>
      <c r="K9" s="155"/>
      <c r="L9" s="646"/>
      <c r="M9" s="646"/>
      <c r="N9" s="646"/>
      <c r="O9" s="646"/>
      <c r="P9" s="646"/>
      <c r="Q9" s="646"/>
      <c r="R9" s="646"/>
      <c r="S9" s="646"/>
      <c r="T9" s="646"/>
      <c r="U9" s="646"/>
      <c r="V9" s="646"/>
      <c r="W9" s="646"/>
      <c r="X9" s="646"/>
      <c r="Y9" s="646"/>
      <c r="Z9" s="646"/>
      <c r="AA9" s="646"/>
      <c r="AB9" s="646"/>
      <c r="AC9" s="646"/>
      <c r="AD9" s="646"/>
      <c r="AE9" s="646"/>
      <c r="AF9" s="646"/>
      <c r="AG9" s="646"/>
    </row>
    <row r="10" spans="1:33" s="161" customFormat="1" ht="13.5" customHeight="1">
      <c r="A10" s="144" t="s">
        <v>1292</v>
      </c>
      <c r="B10" s="156" t="s">
        <v>1293</v>
      </c>
      <c r="C10" s="157" t="s">
        <v>1301</v>
      </c>
      <c r="D10" s="158" t="s">
        <v>1302</v>
      </c>
      <c r="E10" s="158" t="s">
        <v>1303</v>
      </c>
      <c r="F10" s="158" t="s">
        <v>1304</v>
      </c>
      <c r="G10" s="156"/>
      <c r="H10" s="159"/>
      <c r="I10" s="159"/>
      <c r="J10" s="159"/>
      <c r="K10" s="160"/>
      <c r="L10" s="649"/>
      <c r="M10" s="649"/>
      <c r="N10" s="649"/>
      <c r="O10" s="649"/>
      <c r="P10" s="649"/>
      <c r="Q10" s="649"/>
      <c r="R10" s="649"/>
      <c r="S10" s="649"/>
      <c r="T10" s="649"/>
      <c r="U10" s="649"/>
      <c r="V10" s="649"/>
      <c r="W10" s="649"/>
      <c r="X10" s="649"/>
      <c r="Y10" s="649"/>
      <c r="Z10" s="649"/>
      <c r="AA10" s="649"/>
      <c r="AB10" s="649"/>
      <c r="AC10" s="649"/>
      <c r="AD10" s="649"/>
      <c r="AE10" s="649"/>
      <c r="AF10" s="649"/>
      <c r="AG10" s="649"/>
    </row>
    <row r="11" spans="1:33" s="166" customFormat="1" ht="13.5" customHeight="1">
      <c r="A11" s="996" t="s">
        <v>1207</v>
      </c>
      <c r="B11" s="162" t="s">
        <v>1305</v>
      </c>
      <c r="C11" s="163">
        <f>IF(C1="仅计算典型户型",'数据-取费表'!F18,'数据-取费表'!E18)</f>
        <v>545720</v>
      </c>
      <c r="D11" s="164"/>
      <c r="E11" s="34"/>
      <c r="F11" s="165">
        <f>1-'数据-取费表'!E20</f>
        <v>0.19999999999999996</v>
      </c>
      <c r="G11" s="156"/>
      <c r="H11" s="159"/>
      <c r="I11" s="159"/>
      <c r="J11" s="159"/>
      <c r="K11" s="160"/>
      <c r="L11" s="650"/>
      <c r="M11" s="650"/>
      <c r="N11" s="650"/>
      <c r="O11" s="650"/>
      <c r="P11" s="650"/>
      <c r="Q11" s="650"/>
      <c r="R11" s="650"/>
      <c r="S11" s="650"/>
      <c r="T11" s="650"/>
      <c r="U11" s="650"/>
      <c r="V11" s="650"/>
      <c r="W11" s="650"/>
      <c r="X11" s="650"/>
      <c r="Y11" s="650"/>
      <c r="Z11" s="650"/>
      <c r="AA11" s="650"/>
      <c r="AB11" s="650"/>
      <c r="AC11" s="650"/>
      <c r="AD11" s="650"/>
      <c r="AE11" s="650"/>
      <c r="AF11" s="650"/>
      <c r="AG11" s="650"/>
    </row>
    <row r="12" spans="1:33" s="166" customFormat="1" ht="13.5" customHeight="1">
      <c r="A12" s="996" t="s">
        <v>1208</v>
      </c>
      <c r="B12" s="162" t="s">
        <v>1306</v>
      </c>
      <c r="C12" s="13">
        <f>ROUND(C11*F12,0)</f>
        <v>16372</v>
      </c>
      <c r="D12" s="164"/>
      <c r="E12" s="34"/>
      <c r="F12" s="167">
        <f>'数据-取费表'!E21</f>
        <v>0.03</v>
      </c>
      <c r="G12" s="156" t="s">
        <v>1307</v>
      </c>
      <c r="H12" s="159"/>
      <c r="I12" s="159"/>
      <c r="J12" s="159"/>
      <c r="K12" s="160"/>
      <c r="L12" s="650"/>
      <c r="M12" s="650"/>
      <c r="N12" s="650"/>
      <c r="O12" s="650"/>
      <c r="P12" s="650"/>
      <c r="Q12" s="650"/>
      <c r="R12" s="650"/>
      <c r="S12" s="650"/>
      <c r="T12" s="650"/>
      <c r="U12" s="650"/>
      <c r="V12" s="650"/>
      <c r="W12" s="650"/>
      <c r="X12" s="650"/>
      <c r="Y12" s="650"/>
      <c r="Z12" s="650"/>
      <c r="AA12" s="650"/>
      <c r="AB12" s="650"/>
      <c r="AC12" s="650"/>
      <c r="AD12" s="650"/>
      <c r="AE12" s="650"/>
      <c r="AF12" s="650"/>
      <c r="AG12" s="650"/>
    </row>
    <row r="13" spans="1:33" s="166" customFormat="1" ht="13.5" customHeight="1">
      <c r="A13" s="996" t="s">
        <v>1209</v>
      </c>
      <c r="B13" s="162" t="s">
        <v>1308</v>
      </c>
      <c r="C13" s="13">
        <f>ROUND(IF('数据-取费表'!B10="住宅",C11*F13,0),0)</f>
        <v>0</v>
      </c>
      <c r="D13" s="164"/>
      <c r="E13" s="34"/>
      <c r="F13" s="167">
        <f>'数据-取费表'!E22</f>
        <v>0.05</v>
      </c>
      <c r="G13" s="156" t="s">
        <v>1309</v>
      </c>
      <c r="H13" s="159"/>
      <c r="I13" s="159"/>
      <c r="J13" s="159"/>
      <c r="K13" s="160"/>
      <c r="L13" s="650"/>
      <c r="M13" s="650"/>
      <c r="N13" s="650"/>
      <c r="O13" s="650"/>
      <c r="P13" s="650"/>
      <c r="Q13" s="650"/>
      <c r="R13" s="650"/>
      <c r="S13" s="650"/>
      <c r="T13" s="650"/>
      <c r="U13" s="650"/>
      <c r="V13" s="650"/>
      <c r="W13" s="650"/>
      <c r="X13" s="650"/>
      <c r="Y13" s="650"/>
      <c r="Z13" s="650"/>
      <c r="AA13" s="650"/>
      <c r="AB13" s="650"/>
      <c r="AC13" s="650"/>
      <c r="AD13" s="650"/>
      <c r="AE13" s="650"/>
      <c r="AF13" s="650"/>
      <c r="AG13" s="650"/>
    </row>
    <row r="14" spans="1:33" s="168" customFormat="1" ht="13.5" customHeight="1">
      <c r="A14" s="996" t="s">
        <v>1210</v>
      </c>
      <c r="B14" s="162" t="s">
        <v>1310</v>
      </c>
      <c r="C14" s="13">
        <f>ROUND(D14*E14*F11,0)</f>
        <v>6237</v>
      </c>
      <c r="D14" s="164">
        <f>IF(C1="仅计算典型户型",'数据-取费表'!E5,'数据-取费表'!B5)</f>
        <v>155.91999999999999</v>
      </c>
      <c r="E14" s="13">
        <f>'数据-取费表'!E23</f>
        <v>200</v>
      </c>
      <c r="F14" s="167"/>
      <c r="G14" s="156" t="s">
        <v>1311</v>
      </c>
      <c r="H14" s="159"/>
      <c r="I14" s="159"/>
      <c r="J14" s="159"/>
      <c r="K14" s="160"/>
      <c r="L14" s="650"/>
      <c r="M14" s="650"/>
      <c r="N14" s="650"/>
      <c r="O14" s="650"/>
      <c r="P14" s="650"/>
      <c r="Q14" s="650"/>
      <c r="R14" s="650"/>
      <c r="S14" s="650"/>
      <c r="T14" s="650"/>
      <c r="U14" s="650"/>
      <c r="V14" s="650"/>
      <c r="W14" s="650"/>
      <c r="X14" s="650"/>
      <c r="Y14" s="650"/>
      <c r="Z14" s="650"/>
      <c r="AA14" s="650"/>
      <c r="AB14" s="650"/>
      <c r="AC14" s="650"/>
      <c r="AD14" s="650"/>
      <c r="AE14" s="650"/>
      <c r="AF14" s="650"/>
      <c r="AG14" s="650"/>
    </row>
    <row r="15" spans="1:33" s="168" customFormat="1" ht="13.5" customHeight="1">
      <c r="A15" s="996" t="s">
        <v>1211</v>
      </c>
      <c r="B15" s="162" t="s">
        <v>1312</v>
      </c>
      <c r="C15" s="175">
        <f>ROUND(C11*F15,0)</f>
        <v>8186</v>
      </c>
      <c r="D15" s="169"/>
      <c r="E15" s="175"/>
      <c r="F15" s="176">
        <f>'数据-取费表'!E24</f>
        <v>1.4999999999999999E-2</v>
      </c>
      <c r="G15" s="147" t="s">
        <v>1313</v>
      </c>
      <c r="H15" s="170"/>
      <c r="I15" s="170"/>
      <c r="J15" s="170"/>
      <c r="K15" s="171"/>
      <c r="L15" s="650"/>
      <c r="M15" s="650"/>
      <c r="N15" s="650"/>
      <c r="O15" s="650"/>
      <c r="P15" s="650"/>
      <c r="Q15" s="650"/>
      <c r="R15" s="650"/>
      <c r="S15" s="650"/>
      <c r="T15" s="650"/>
      <c r="U15" s="650"/>
      <c r="V15" s="650"/>
      <c r="W15" s="650"/>
      <c r="X15" s="650"/>
      <c r="Y15" s="650"/>
      <c r="Z15" s="650"/>
      <c r="AA15" s="650"/>
      <c r="AB15" s="650"/>
      <c r="AC15" s="650"/>
      <c r="AD15" s="650"/>
      <c r="AE15" s="650"/>
      <c r="AF15" s="650"/>
      <c r="AG15" s="650"/>
    </row>
    <row r="16" spans="1:33" s="168" customFormat="1" ht="13.5" customHeight="1">
      <c r="A16" s="996" t="s">
        <v>1314</v>
      </c>
      <c r="B16" s="162" t="s">
        <v>1315</v>
      </c>
      <c r="C16" s="163">
        <f>SUM(C11:C15)</f>
        <v>576515</v>
      </c>
      <c r="D16" s="164"/>
      <c r="E16" s="13"/>
      <c r="F16" s="167"/>
      <c r="G16" s="156"/>
      <c r="H16" s="159"/>
      <c r="I16" s="159"/>
      <c r="J16" s="159"/>
      <c r="K16" s="160"/>
      <c r="L16" s="650"/>
      <c r="M16" s="650"/>
      <c r="N16" s="650"/>
      <c r="O16" s="650"/>
      <c r="P16" s="650"/>
      <c r="Q16" s="650"/>
      <c r="R16" s="650"/>
      <c r="S16" s="650"/>
      <c r="T16" s="650"/>
      <c r="U16" s="650"/>
      <c r="V16" s="650"/>
      <c r="W16" s="650"/>
      <c r="X16" s="650"/>
      <c r="Y16" s="650"/>
      <c r="Z16" s="650"/>
      <c r="AA16" s="650"/>
      <c r="AB16" s="650"/>
      <c r="AC16" s="650"/>
      <c r="AD16" s="650"/>
      <c r="AE16" s="650"/>
      <c r="AF16" s="650"/>
      <c r="AG16" s="650"/>
    </row>
    <row r="17" spans="1:33" s="168" customFormat="1" ht="13.5" customHeight="1">
      <c r="A17" s="996" t="s">
        <v>1316</v>
      </c>
      <c r="B17" s="162" t="s">
        <v>1317</v>
      </c>
      <c r="C17" s="13">
        <f>ROUND(D17*E17,0)</f>
        <v>0</v>
      </c>
      <c r="D17" s="164">
        <f>IF(C1="仅计算典型户型",'数据-取费表'!E5,'数据-取费表'!B5)</f>
        <v>155.91999999999999</v>
      </c>
      <c r="E17" s="13">
        <f>'数据-取费表'!E16</f>
        <v>0</v>
      </c>
      <c r="F17" s="169"/>
      <c r="G17" s="147" t="s">
        <v>1318</v>
      </c>
      <c r="H17" s="170"/>
      <c r="I17" s="170"/>
      <c r="J17" s="170"/>
      <c r="K17" s="171"/>
      <c r="L17" s="650"/>
      <c r="M17" s="650"/>
      <c r="N17" s="650"/>
      <c r="O17" s="650"/>
      <c r="P17" s="650"/>
      <c r="Q17" s="650"/>
      <c r="R17" s="650"/>
      <c r="S17" s="650"/>
      <c r="T17" s="650"/>
      <c r="U17" s="650"/>
      <c r="V17" s="650"/>
      <c r="W17" s="650"/>
      <c r="X17" s="650"/>
      <c r="Y17" s="650"/>
      <c r="Z17" s="650"/>
      <c r="AA17" s="650"/>
      <c r="AB17" s="650"/>
      <c r="AC17" s="650"/>
      <c r="AD17" s="650"/>
      <c r="AE17" s="650"/>
      <c r="AF17" s="650"/>
      <c r="AG17" s="650"/>
    </row>
    <row r="18" spans="1:33" s="166" customFormat="1" ht="13.5" customHeight="1">
      <c r="A18" s="996" t="s">
        <v>1319</v>
      </c>
      <c r="B18" s="162" t="s">
        <v>1320</v>
      </c>
      <c r="C18" s="13">
        <f>C19+C20-'数据-取费表'!E13</f>
        <v>0</v>
      </c>
      <c r="D18" s="164"/>
      <c r="E18" s="13"/>
      <c r="F18" s="167"/>
      <c r="G18" s="147" t="s">
        <v>1321</v>
      </c>
      <c r="H18" s="170"/>
      <c r="I18" s="170"/>
      <c r="J18" s="170"/>
      <c r="K18" s="171"/>
      <c r="L18" s="650"/>
      <c r="M18" s="650"/>
      <c r="N18" s="650"/>
      <c r="O18" s="650"/>
      <c r="P18" s="650"/>
      <c r="Q18" s="650"/>
      <c r="R18" s="650"/>
      <c r="S18" s="650"/>
      <c r="T18" s="650"/>
      <c r="U18" s="650"/>
      <c r="V18" s="650"/>
      <c r="W18" s="650"/>
      <c r="X18" s="650"/>
      <c r="Y18" s="650"/>
      <c r="Z18" s="650"/>
      <c r="AA18" s="650"/>
      <c r="AB18" s="650"/>
      <c r="AC18" s="650"/>
      <c r="AD18" s="650"/>
      <c r="AE18" s="650"/>
      <c r="AF18" s="650"/>
      <c r="AG18" s="650"/>
    </row>
    <row r="19" spans="1:33" s="166" customFormat="1" ht="13.5" customHeight="1">
      <c r="A19" s="996" t="s">
        <v>947</v>
      </c>
      <c r="B19" s="162" t="s">
        <v>1322</v>
      </c>
      <c r="C19" s="13">
        <f>ROUND(D19*E19,0)</f>
        <v>0</v>
      </c>
      <c r="D19" s="164">
        <f>IF('数据-取费表'!B10="住宅",IF(C1="仅计算典型户型",'数据-取费表'!E5,'数据-取费表'!B5),0)</f>
        <v>0</v>
      </c>
      <c r="E19" s="13">
        <f>'数据-取费表'!E11</f>
        <v>0</v>
      </c>
      <c r="F19" s="167"/>
      <c r="G19" s="172"/>
      <c r="H19" s="173"/>
      <c r="I19" s="173"/>
      <c r="J19" s="173"/>
      <c r="K19" s="174"/>
      <c r="L19" s="650"/>
      <c r="M19" s="650"/>
      <c r="N19" s="650"/>
      <c r="O19" s="650"/>
      <c r="P19" s="650"/>
      <c r="Q19" s="650"/>
      <c r="R19" s="650"/>
      <c r="S19" s="650"/>
      <c r="T19" s="650"/>
      <c r="U19" s="650"/>
      <c r="V19" s="650"/>
      <c r="W19" s="650"/>
      <c r="X19" s="650"/>
      <c r="Y19" s="650"/>
      <c r="Z19" s="650"/>
      <c r="AA19" s="650"/>
      <c r="AB19" s="650"/>
      <c r="AC19" s="650"/>
      <c r="AD19" s="650"/>
      <c r="AE19" s="650"/>
      <c r="AF19" s="650"/>
      <c r="AG19" s="650"/>
    </row>
    <row r="20" spans="1:33" s="166" customFormat="1" ht="13.5" customHeight="1">
      <c r="A20" s="996" t="s">
        <v>948</v>
      </c>
      <c r="B20" s="162" t="s">
        <v>1323</v>
      </c>
      <c r="C20" s="13">
        <f>ROUND(D20*E20,0)</f>
        <v>31184</v>
      </c>
      <c r="D20" s="164">
        <f>IF('数据-取费表'!B10&lt;&gt;"住宅",IF(C1="仅计算典型户型",'数据-取费表'!E5,'数据-取费表'!B5),0)</f>
        <v>155.91999999999999</v>
      </c>
      <c r="E20" s="13">
        <f>'数据-取费表'!E12</f>
        <v>200</v>
      </c>
      <c r="F20" s="167"/>
      <c r="G20" s="172"/>
      <c r="H20" s="173"/>
      <c r="I20" s="173"/>
      <c r="J20" s="173"/>
      <c r="K20" s="174"/>
      <c r="L20" s="650"/>
      <c r="M20" s="650"/>
      <c r="N20" s="650"/>
      <c r="O20" s="650"/>
      <c r="P20" s="650"/>
      <c r="Q20" s="650"/>
      <c r="R20" s="650"/>
      <c r="S20" s="650"/>
      <c r="T20" s="650"/>
      <c r="U20" s="650"/>
      <c r="V20" s="650"/>
      <c r="W20" s="650"/>
      <c r="X20" s="650"/>
      <c r="Y20" s="650"/>
      <c r="Z20" s="650"/>
      <c r="AA20" s="650"/>
      <c r="AB20" s="650"/>
      <c r="AC20" s="650"/>
      <c r="AD20" s="650"/>
      <c r="AE20" s="650"/>
      <c r="AF20" s="650"/>
      <c r="AG20" s="650"/>
    </row>
    <row r="21" spans="1:33" s="166" customFormat="1" ht="13.5" customHeight="1">
      <c r="A21" s="995" t="s">
        <v>1294</v>
      </c>
      <c r="B21" s="177" t="s">
        <v>1324</v>
      </c>
      <c r="C21" s="178">
        <f>C16+C17+C18</f>
        <v>576515</v>
      </c>
      <c r="D21" s="179"/>
      <c r="E21" s="180"/>
      <c r="F21" s="180"/>
      <c r="G21" s="147" t="s">
        <v>1325</v>
      </c>
      <c r="H21" s="170"/>
      <c r="I21" s="170"/>
      <c r="J21" s="170"/>
      <c r="K21" s="171"/>
      <c r="L21" s="650"/>
      <c r="M21" s="650"/>
      <c r="N21" s="650"/>
      <c r="O21" s="650"/>
      <c r="P21" s="650"/>
      <c r="Q21" s="650"/>
      <c r="R21" s="650"/>
      <c r="S21" s="650"/>
      <c r="T21" s="650"/>
      <c r="U21" s="650"/>
      <c r="V21" s="650"/>
      <c r="W21" s="650"/>
      <c r="X21" s="650"/>
      <c r="Y21" s="650"/>
      <c r="Z21" s="650"/>
      <c r="AA21" s="650"/>
      <c r="AB21" s="650"/>
      <c r="AC21" s="650"/>
      <c r="AD21" s="650"/>
      <c r="AE21" s="650"/>
      <c r="AF21" s="650"/>
      <c r="AG21" s="650"/>
    </row>
    <row r="22" spans="1:33" s="166" customFormat="1" ht="13.5" customHeight="1">
      <c r="A22" s="995" t="s">
        <v>1296</v>
      </c>
      <c r="B22" s="177" t="s">
        <v>1326</v>
      </c>
      <c r="C22" s="178">
        <f>ROUND(C21*F22,0)</f>
        <v>11530</v>
      </c>
      <c r="D22" s="180"/>
      <c r="E22" s="180"/>
      <c r="F22" s="181">
        <f>'数据-取费表'!E25</f>
        <v>0.02</v>
      </c>
      <c r="G22" s="156" t="s">
        <v>1327</v>
      </c>
      <c r="H22" s="159"/>
      <c r="I22" s="159"/>
      <c r="J22" s="159"/>
      <c r="K22" s="160"/>
      <c r="L22" s="182"/>
      <c r="M22" s="182"/>
      <c r="N22" s="182"/>
    </row>
    <row r="23" spans="1:33" s="166" customFormat="1" ht="13.5" customHeight="1">
      <c r="A23" s="995" t="s">
        <v>1298</v>
      </c>
      <c r="B23" s="177" t="s">
        <v>1328</v>
      </c>
      <c r="C23" s="178">
        <f>ROUND(C4*F23*F11,0)</f>
        <v>21829</v>
      </c>
      <c r="D23" s="180"/>
      <c r="E23" s="180"/>
      <c r="F23" s="181">
        <f>'数据-取费表'!E26</f>
        <v>0.02</v>
      </c>
      <c r="G23" s="156" t="s">
        <v>1329</v>
      </c>
      <c r="H23" s="159"/>
      <c r="I23" s="159"/>
      <c r="J23" s="159"/>
      <c r="K23" s="160"/>
    </row>
    <row r="24" spans="1:33" s="166" customFormat="1" ht="13.5" customHeight="1">
      <c r="A24" s="995" t="s">
        <v>1330</v>
      </c>
      <c r="B24" s="177" t="s">
        <v>1331</v>
      </c>
      <c r="C24" s="183">
        <f>ROUND(F24/(1+'数据-取费表'!F30),4)</f>
        <v>2.9000000000000001E-2</v>
      </c>
      <c r="D24" s="184" t="s">
        <v>12</v>
      </c>
      <c r="E24" s="184"/>
      <c r="F24" s="181">
        <f>'数据-取费表'!E36+'数据-取费表'!E37</f>
        <v>3.0499999999999999E-2</v>
      </c>
      <c r="G24" s="156" t="s">
        <v>1332</v>
      </c>
      <c r="H24" s="186"/>
      <c r="I24" s="186"/>
      <c r="J24" s="186"/>
      <c r="K24" s="187"/>
    </row>
    <row r="25" spans="1:33" s="182" customFormat="1" ht="13.5" customHeight="1">
      <c r="A25" s="995" t="s">
        <v>1333</v>
      </c>
      <c r="B25" s="179" t="s">
        <v>1334</v>
      </c>
      <c r="C25" s="188">
        <f ca="1">C27</f>
        <v>0</v>
      </c>
      <c r="D25" s="183">
        <f ca="1">C26</f>
        <v>0</v>
      </c>
      <c r="E25" s="189" t="s">
        <v>12</v>
      </c>
      <c r="F25" s="190">
        <f ca="1">'数据-取费表'!E27</f>
        <v>4.3499999999999997E-2</v>
      </c>
      <c r="G25" s="147" t="s">
        <v>1335</v>
      </c>
      <c r="H25" s="186"/>
      <c r="I25" s="186"/>
      <c r="J25" s="186"/>
      <c r="K25" s="187"/>
    </row>
    <row r="26" spans="1:33" s="196" customFormat="1" ht="13.5" customHeight="1">
      <c r="A26" s="996" t="s">
        <v>1336</v>
      </c>
      <c r="B26" s="191" t="s">
        <v>1337</v>
      </c>
      <c r="C26" s="192">
        <f ca="1">ROUND(IF('数据-取费表'!B24&lt;=1,(1+C24)*F25*'数据-取费表'!B26,(1+C24)*(POWER((1+F25),'数据-取费表'!B26)-1)),4)</f>
        <v>0</v>
      </c>
      <c r="D26" s="193"/>
      <c r="E26" s="194"/>
      <c r="F26" s="195"/>
      <c r="G26" s="147"/>
      <c r="H26" s="170"/>
      <c r="I26" s="170"/>
      <c r="J26" s="170"/>
      <c r="K26" s="171"/>
    </row>
    <row r="27" spans="1:33" s="196" customFormat="1" ht="13.5" customHeight="1">
      <c r="A27" s="996" t="s">
        <v>1316</v>
      </c>
      <c r="B27" s="191" t="s">
        <v>1338</v>
      </c>
      <c r="C27" s="197">
        <f ca="1">ROUND(IF('数据-取费表'!B24&lt;=1,(C21+C22+C23)*F25*'数据-取费表'!B26/2,(C21+C22+C23)*(POWER((1+F25),'数据-取费表'!B26/2)-1)),0)</f>
        <v>0</v>
      </c>
      <c r="D27" s="193"/>
      <c r="E27" s="194"/>
      <c r="F27" s="195"/>
      <c r="G27" s="147" t="s">
        <v>1339</v>
      </c>
      <c r="H27" s="170"/>
      <c r="I27" s="170"/>
      <c r="J27" s="170"/>
      <c r="K27" s="171"/>
    </row>
    <row r="28" spans="1:33" s="201" customFormat="1" ht="13.5" customHeight="1">
      <c r="A28" s="995" t="s">
        <v>1340</v>
      </c>
      <c r="B28" s="198" t="s">
        <v>1341</v>
      </c>
      <c r="C28" s="199">
        <f>C30</f>
        <v>121975</v>
      </c>
      <c r="D28" s="183">
        <f>C29</f>
        <v>0.20580000000000001</v>
      </c>
      <c r="E28" s="189" t="s">
        <v>12</v>
      </c>
      <c r="F28" s="200">
        <f>'数据-取费表'!E28</f>
        <v>0.2</v>
      </c>
      <c r="G28" s="185"/>
      <c r="H28" s="186"/>
      <c r="I28" s="186"/>
      <c r="J28" s="186"/>
      <c r="K28" s="187"/>
    </row>
    <row r="29" spans="1:33" s="204" customFormat="1" ht="13.5" customHeight="1">
      <c r="A29" s="996" t="s">
        <v>1342</v>
      </c>
      <c r="B29" s="202" t="s">
        <v>1343</v>
      </c>
      <c r="C29" s="193">
        <f>ROUND((1+C24)*F28,4)</f>
        <v>0.20580000000000001</v>
      </c>
      <c r="D29" s="193"/>
      <c r="E29" s="194"/>
      <c r="F29" s="203"/>
      <c r="G29" s="147" t="s">
        <v>1344</v>
      </c>
      <c r="H29" s="170"/>
      <c r="I29" s="170"/>
      <c r="J29" s="170"/>
      <c r="K29" s="171"/>
    </row>
    <row r="30" spans="1:33" s="204" customFormat="1" ht="13.5" customHeight="1">
      <c r="A30" s="996" t="s">
        <v>1345</v>
      </c>
      <c r="B30" s="202" t="s">
        <v>1346</v>
      </c>
      <c r="C30" s="205">
        <f>ROUND((C21+C22+C23)*F28,0)</f>
        <v>121975</v>
      </c>
      <c r="D30" s="193"/>
      <c r="E30" s="206"/>
      <c r="F30" s="203"/>
      <c r="G30" s="147"/>
      <c r="H30" s="170"/>
      <c r="I30" s="170"/>
      <c r="J30" s="170"/>
      <c r="K30" s="171"/>
    </row>
    <row r="31" spans="1:33" s="182" customFormat="1" ht="13.5" customHeight="1" thickBot="1">
      <c r="A31" s="1403" t="s">
        <v>1347</v>
      </c>
      <c r="B31" s="177" t="s">
        <v>1348</v>
      </c>
      <c r="C31" s="207">
        <f>ROUND(C4*F31/(1+'数据-取费表'!F30),0)</f>
        <v>291051</v>
      </c>
      <c r="D31" s="152"/>
      <c r="E31" s="208"/>
      <c r="F31" s="209">
        <f>'数据-取费表'!E29</f>
        <v>5.6000000000000001E-2</v>
      </c>
      <c r="G31" s="210" t="s">
        <v>1349</v>
      </c>
      <c r="H31" s="211"/>
      <c r="I31" s="211"/>
      <c r="J31" s="211"/>
      <c r="K31" s="212"/>
    </row>
    <row r="32" spans="1:33" s="161" customFormat="1" ht="13.5" customHeight="1" thickBot="1">
      <c r="A32" s="213" t="s">
        <v>1350</v>
      </c>
      <c r="B32" s="214"/>
      <c r="C32" s="215">
        <f ca="1">ROUND((C4-C21-C22-C23-C25-C28-C31)/(1+C24+D25+D28),0)</f>
        <v>3591108</v>
      </c>
      <c r="D32" s="214"/>
      <c r="E32" s="214"/>
      <c r="F32" s="214"/>
      <c r="G32" s="216" t="s">
        <v>1351</v>
      </c>
      <c r="H32" s="214"/>
      <c r="I32" s="214"/>
      <c r="J32" s="214"/>
      <c r="K32" s="217"/>
    </row>
    <row r="34" ht="12.75" customHeight="1"/>
  </sheetData>
  <sheetProtection password="C66D" sheet="1" objects="1" scenarios="1" formatCells="0" formatColumns="0" formatRows="0"/>
  <phoneticPr fontId="15" type="noConversion"/>
  <dataValidations count="1">
    <dataValidation type="list" allowBlank="1" showInputMessage="1" showErrorMessage="1" sqref="C1">
      <formula1>"估价对象,仅计算典型户型"</formula1>
    </dataValidation>
  </dataValidations>
  <pageMargins left="0.7" right="0.7" top="0.75" bottom="0.75" header="0.3" footer="0.3"/>
  <pageSetup paperSize="9" scale="58"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J118"/>
  <sheetViews>
    <sheetView view="pageBreakPreview" zoomScale="70" zoomScaleNormal="90" zoomScaleSheetLayoutView="70" workbookViewId="0">
      <selection activeCell="G59" sqref="G59:G67"/>
    </sheetView>
  </sheetViews>
  <sheetFormatPr defaultColWidth="9" defaultRowHeight="12.75"/>
  <cols>
    <col min="1" max="1" width="9.75" style="1624" customWidth="1"/>
    <col min="2" max="2" width="19.25" style="1624" customWidth="1"/>
    <col min="3" max="3" width="12.5" style="1624" customWidth="1"/>
    <col min="4" max="4" width="12" style="1624" customWidth="1"/>
    <col min="5" max="5" width="14.625" style="1624" customWidth="1"/>
    <col min="6" max="8" width="12" style="1624" customWidth="1"/>
    <col min="9" max="9" width="12.25" style="1624" bestFit="1" customWidth="1"/>
    <col min="10" max="10" width="12" style="1624" customWidth="1"/>
    <col min="11" max="11" width="9.5" style="1623" customWidth="1"/>
    <col min="12" max="12" width="12" style="1624" customWidth="1"/>
    <col min="13" max="13" width="8.5" style="1624" customWidth="1"/>
    <col min="14" max="14" width="9.75" style="1624" customWidth="1"/>
    <col min="15" max="25" width="12" style="1624" customWidth="1"/>
    <col min="26" max="26" width="9.375" style="1624" customWidth="1"/>
    <col min="27" max="32" width="9.375" style="2265" customWidth="1"/>
    <col min="33" max="38" width="9.375" style="1624" customWidth="1"/>
    <col min="39" max="16384" width="9" style="1624"/>
  </cols>
  <sheetData>
    <row r="1" spans="1:36" ht="28.5">
      <c r="A1" s="2097" t="s">
        <v>2496</v>
      </c>
      <c r="B1" s="2098"/>
      <c r="C1" s="2099" t="s">
        <v>2497</v>
      </c>
      <c r="D1" s="2100">
        <f>SUM(D29:D30,D33:D39)</f>
        <v>155.91999999999999</v>
      </c>
      <c r="E1" s="2100"/>
      <c r="F1" s="2100"/>
      <c r="G1" s="2100"/>
      <c r="H1" s="2100"/>
      <c r="I1" s="2100"/>
      <c r="J1" s="2100"/>
      <c r="K1" s="3047"/>
      <c r="L1" s="2101" t="s">
        <v>2498</v>
      </c>
      <c r="M1" s="2102">
        <f>SUMPRODUCT((区片价!B5:B9=I2)*(区片价!C3:F3=E2)*(区片价!C5:F9))</f>
        <v>0</v>
      </c>
      <c r="N1" s="2103">
        <f>SUMPRODUCT((因素修正幅度!B5:B9=I2)*(因素修正幅度!C3:F3=E2)*(因素修正幅度!C5:F9))</f>
        <v>0</v>
      </c>
      <c r="O1" s="3047"/>
      <c r="P1" s="3047"/>
      <c r="Q1" s="3047"/>
      <c r="R1" s="2104" t="s">
        <v>2499</v>
      </c>
      <c r="S1" s="2104" t="s">
        <v>2500</v>
      </c>
      <c r="T1" s="2104" t="s">
        <v>2501</v>
      </c>
      <c r="U1" s="2104" t="s">
        <v>2502</v>
      </c>
      <c r="V1" s="2104" t="s">
        <v>2503</v>
      </c>
      <c r="W1" s="2105"/>
      <c r="X1" s="2105"/>
      <c r="Y1" s="2105"/>
      <c r="Z1" s="2105"/>
      <c r="AA1" s="2105"/>
      <c r="AB1" s="2105"/>
      <c r="AC1" s="2105"/>
      <c r="AD1" s="2106"/>
      <c r="AE1" s="2106"/>
      <c r="AF1" s="2106"/>
      <c r="AG1" s="2106"/>
      <c r="AH1" s="2106"/>
      <c r="AI1" s="2106"/>
      <c r="AJ1" s="2107"/>
    </row>
    <row r="2" spans="1:36" ht="24.75">
      <c r="A2" s="1961" t="s">
        <v>2504</v>
      </c>
      <c r="B2" s="1659">
        <f>C26</f>
        <v>3992955</v>
      </c>
      <c r="C2" s="2108" t="s">
        <v>2505</v>
      </c>
      <c r="D2" s="1602" t="s">
        <v>2506</v>
      </c>
      <c r="E2" s="2109" t="s">
        <v>2897</v>
      </c>
      <c r="F2" s="1602" t="s">
        <v>2507</v>
      </c>
      <c r="G2" s="2110" t="str">
        <f>项目基本情况!F9</f>
        <v>三级</v>
      </c>
      <c r="H2" s="1603" t="s">
        <v>2508</v>
      </c>
      <c r="I2" s="2110" t="str">
        <f>项目基本情况!F10</f>
        <v>Ⅲ—13</v>
      </c>
      <c r="J2" s="2111"/>
      <c r="K2" s="3047"/>
      <c r="L2" s="2112" t="s">
        <v>2509</v>
      </c>
      <c r="M2" s="2113">
        <f>SUMPRODUCT((区片价!B10:B28=I2)*(区片价!C3:F3=E2)*(区片价!C10:F28))</f>
        <v>0</v>
      </c>
      <c r="N2" s="2114">
        <f>SUMPRODUCT((因素修正幅度!B10:B28=I2)*(因素修正幅度!C3:F3=E2)*(因素修正幅度!C10:F28))</f>
        <v>0</v>
      </c>
      <c r="O2" s="3047"/>
      <c r="P2" s="3047"/>
      <c r="Q2" s="3047"/>
      <c r="R2" s="2104">
        <v>1</v>
      </c>
      <c r="S2" s="2104">
        <f>ROUND(IF(G3&gt;1,IF(R2&lt;7,SUMPRODUCT((B93:B98=R2)*(C92:N92=G2)*(C93:N98)),SUMIF(C92:N92,G2,C100:N100)),IF(R2&lt;7,SUMPRODUCT((B102:B107=R2)*(C92:N92=G2)*(C102:N107)),SUMIF(C92:N92,G2,C109:N109))),4)</f>
        <v>1.8629</v>
      </c>
      <c r="T2" s="2104">
        <f>ROUND($C$5*$C$18*$C$19*$C$20*S2*$C$24,0)</f>
        <v>50591</v>
      </c>
      <c r="U2" s="2115"/>
      <c r="V2" s="2104">
        <f>ROUND(T2*U2/10000,0)</f>
        <v>0</v>
      </c>
      <c r="W2" s="2105"/>
      <c r="X2" s="2105"/>
      <c r="Y2" s="2105"/>
      <c r="Z2" s="2105"/>
      <c r="AA2" s="2105"/>
      <c r="AB2" s="2105"/>
      <c r="AC2" s="2105"/>
      <c r="AD2" s="2106"/>
      <c r="AE2" s="2106"/>
      <c r="AF2" s="2106"/>
      <c r="AG2" s="2106"/>
      <c r="AH2" s="2106"/>
      <c r="AI2" s="2106"/>
      <c r="AJ2" s="2107"/>
    </row>
    <row r="3" spans="1:36" ht="25.5">
      <c r="A3" s="1659" t="s">
        <v>2510</v>
      </c>
      <c r="B3" s="1659">
        <f>ROUND(B2/D1,0)</f>
        <v>25609</v>
      </c>
      <c r="C3" s="2108" t="s">
        <v>2511</v>
      </c>
      <c r="D3" s="1602" t="s">
        <v>2512</v>
      </c>
      <c r="E3" s="2109" t="s">
        <v>2901</v>
      </c>
      <c r="F3" s="1604" t="s">
        <v>2513</v>
      </c>
      <c r="G3" s="2116">
        <f>项目基本情况!C15</f>
        <v>3</v>
      </c>
      <c r="H3" s="50" t="s">
        <v>2514</v>
      </c>
      <c r="I3" s="2117"/>
      <c r="J3" s="2111" t="s">
        <v>2515</v>
      </c>
      <c r="K3" s="3047"/>
      <c r="L3" s="2112" t="s">
        <v>2516</v>
      </c>
      <c r="M3" s="2113">
        <f>SUMPRODUCT((区片价!B29:B48=I2)*(区片价!C3:F3=E2)*(区片价!C29:F48))</f>
        <v>21040</v>
      </c>
      <c r="N3" s="2114">
        <f>SUMPRODUCT((因素修正幅度!B29:B48=I2)*(因素修正幅度!C3:F3=E2)*(因素修正幅度!C29:F48))</f>
        <v>9.8000000000000004E-2</v>
      </c>
      <c r="O3" s="3047"/>
      <c r="P3" s="3047"/>
      <c r="Q3" s="3047"/>
      <c r="R3" s="2104">
        <v>2</v>
      </c>
      <c r="S3" s="2104">
        <f>ROUND(IF(G3&gt;1,IF(R3&lt;7,SUMPRODUCT((B93:B98=R3)*(C92:N92=G2)*(C93:N98)),SUMIF(C92:N92,G2,C100:N100)),IF(R3&lt;7,SUMPRODUCT((B102:B107=R3)*(C92:N92=G2)*(C102:N107)),SUMIF(C92:N92,G2,C109:N109))),4)</f>
        <v>1.3371999999999999</v>
      </c>
      <c r="T3" s="2104">
        <f t="shared" ref="T3:T16" si="0">ROUND($C$5*$C$18*$C$19*$C$20*S3*$C$24,0)</f>
        <v>36314</v>
      </c>
      <c r="U3" s="2115"/>
      <c r="V3" s="2104">
        <f t="shared" ref="V3:V16" si="1">ROUND(T3*U3/10000,0)</f>
        <v>0</v>
      </c>
      <c r="W3" s="2105"/>
      <c r="X3" s="2105"/>
      <c r="Y3" s="2105"/>
      <c r="Z3" s="2105"/>
      <c r="AA3" s="2105"/>
      <c r="AB3" s="2105"/>
      <c r="AC3" s="2105"/>
      <c r="AD3" s="2106"/>
      <c r="AE3" s="2106"/>
      <c r="AF3" s="2106"/>
      <c r="AG3" s="2106"/>
      <c r="AH3" s="2106"/>
      <c r="AI3" s="2106"/>
      <c r="AJ3" s="2107"/>
    </row>
    <row r="4" spans="1:36" ht="15.75">
      <c r="A4" s="3395"/>
      <c r="B4" s="3396"/>
      <c r="C4" s="3396"/>
      <c r="D4" s="3397"/>
      <c r="E4" s="3397"/>
      <c r="F4" s="3397"/>
      <c r="G4" s="3397"/>
      <c r="H4" s="3397"/>
      <c r="I4" s="3397"/>
      <c r="J4" s="3398"/>
      <c r="K4" s="3047"/>
      <c r="L4" s="2112" t="s">
        <v>2517</v>
      </c>
      <c r="M4" s="2113">
        <f>SUMPRODUCT((区片价!B49:B75=I2)*(区片价!C3:F3=E2)*(区片价!C49:F75))</f>
        <v>0</v>
      </c>
      <c r="N4" s="2114">
        <f>SUMPRODUCT((因素修正幅度!B49:B75=I2)*(因素修正幅度!C3:F3=E2)*(因素修正幅度!C49:F75))</f>
        <v>0</v>
      </c>
      <c r="O4" s="3047"/>
      <c r="P4" s="3047"/>
      <c r="Q4" s="3047"/>
      <c r="R4" s="2104">
        <v>3</v>
      </c>
      <c r="S4" s="2104">
        <f>ROUND(IF(G3&gt;1,IF(R4&lt;7,SUMPRODUCT((B93:B98=R4)*(C92:N92=G2)*(C93:N98)),SUMIF(C92:N92,G2,C100:N100)),IF(R4&lt;7,SUMPRODUCT((B102:B107=R4)*(C92:N92=G2)*(C102:N107)),SUMIF(C92:N92,G2,C109:N109))),4)</f>
        <v>1.0788</v>
      </c>
      <c r="T4" s="2104">
        <f t="shared" si="0"/>
        <v>29297</v>
      </c>
      <c r="U4" s="2115"/>
      <c r="V4" s="2104">
        <f t="shared" si="1"/>
        <v>0</v>
      </c>
      <c r="W4" s="2105"/>
      <c r="X4" s="2105"/>
      <c r="Y4" s="2105"/>
      <c r="Z4" s="2105"/>
      <c r="AA4" s="2105"/>
      <c r="AB4" s="2105"/>
      <c r="AC4" s="2105"/>
      <c r="AD4" s="2106"/>
      <c r="AE4" s="2106"/>
      <c r="AF4" s="2106"/>
      <c r="AG4" s="2106"/>
      <c r="AH4" s="2106"/>
      <c r="AI4" s="2106"/>
      <c r="AJ4" s="2107"/>
    </row>
    <row r="5" spans="1:36" s="2125" customFormat="1" ht="15.75" thickBot="1">
      <c r="A5" s="1605" t="s">
        <v>2518</v>
      </c>
      <c r="B5" s="1605" t="s">
        <v>2519</v>
      </c>
      <c r="C5" s="2118">
        <f>ROUND(IF(E2="商业",C6*C7+C16,(IF(E2="住宅",C6*C12+C16,C6+C16))),0)</f>
        <v>21004</v>
      </c>
      <c r="D5" s="2119">
        <f>ROUND(C6+C16,0)</f>
        <v>21004</v>
      </c>
      <c r="E5" s="2119"/>
      <c r="F5" s="2120"/>
      <c r="G5" s="2121"/>
      <c r="H5" s="2121"/>
      <c r="I5" s="2121"/>
      <c r="J5" s="2078"/>
      <c r="K5" s="1667"/>
      <c r="L5" s="2112" t="s">
        <v>2520</v>
      </c>
      <c r="M5" s="2113">
        <f>SUMPRODUCT((区片价!B76:B109=I2)*(区片价!C3:F3=E2)*(区片价!C76:F109))</f>
        <v>0</v>
      </c>
      <c r="N5" s="2114">
        <f>SUMPRODUCT((因素修正幅度!B76:B109=I2)*(因素修正幅度!C3:F3=E2)*(因素修正幅度!C76:F109))</f>
        <v>0</v>
      </c>
      <c r="O5" s="3047"/>
      <c r="P5" s="3047"/>
      <c r="Q5" s="3047"/>
      <c r="R5" s="2104">
        <v>4</v>
      </c>
      <c r="S5" s="2104">
        <f>ROUND(IF(G3&gt;1,IF(R5&lt;7,SUMPRODUCT((B93:B98=R5)*(C92:N92=G2)*(C93:N98)),SUMIF(C92:N92,G2,C100:N100)),IF(R5&lt;7,SUMPRODUCT((B102:B107=R5)*(C92:N92=G2)*(C102:N107)),SUMIF(C92:N92,G2,C109:N109))),4)</f>
        <v>0.86560000000000004</v>
      </c>
      <c r="T5" s="2104">
        <f t="shared" si="0"/>
        <v>23507</v>
      </c>
      <c r="U5" s="2115"/>
      <c r="V5" s="2104">
        <f t="shared" si="1"/>
        <v>0</v>
      </c>
      <c r="W5" s="2105"/>
      <c r="X5" s="2105"/>
      <c r="Y5" s="2105"/>
      <c r="Z5" s="2105"/>
      <c r="AA5" s="2105"/>
      <c r="AB5" s="2105"/>
      <c r="AC5" s="2122"/>
      <c r="AD5" s="2123"/>
      <c r="AE5" s="2123"/>
      <c r="AF5" s="2123"/>
      <c r="AG5" s="2123"/>
      <c r="AH5" s="2123"/>
      <c r="AI5" s="2123"/>
      <c r="AJ5" s="2124"/>
    </row>
    <row r="6" spans="1:36" ht="15.75" thickBot="1">
      <c r="A6" s="2126">
        <v>1</v>
      </c>
      <c r="B6" s="1606" t="s">
        <v>2521</v>
      </c>
      <c r="C6" s="2127">
        <f>SUMIF(L1:L12,G2,M1:M12)</f>
        <v>21040</v>
      </c>
      <c r="D6" s="2128" t="s">
        <v>2522</v>
      </c>
      <c r="E6" s="1606"/>
      <c r="F6" s="1606"/>
      <c r="G6" s="2129"/>
      <c r="H6" s="2129"/>
      <c r="I6" s="2129"/>
      <c r="J6" s="2130"/>
      <c r="K6" s="3048"/>
      <c r="L6" s="2112" t="s">
        <v>2523</v>
      </c>
      <c r="M6" s="2113">
        <f>SUMPRODUCT((区片价!B110:B157=I2)*(区片价!C3:F3=E2)*(区片价!C110:F157))</f>
        <v>0</v>
      </c>
      <c r="N6" s="2114">
        <f>SUMPRODUCT((因素修正幅度!B110:B157=I2)*(因素修正幅度!C3:F3=E2)*(因素修正幅度!C110:F157))</f>
        <v>0</v>
      </c>
      <c r="O6" s="3047"/>
      <c r="P6" s="3047"/>
      <c r="Q6" s="3047"/>
      <c r="R6" s="2104">
        <v>5</v>
      </c>
      <c r="S6" s="2104">
        <f>ROUND(IF(G3&gt;1,IF(R6&lt;7,SUMPRODUCT((B93:B98=R6)*(C92:N92=G2)*(C93:N98)),SUMIF(C92:N92,G2,C100:N100)),IF(R6&lt;7,SUMPRODUCT((B102:B107=R6)*(C92:N92=G2)*(C102:N107)),SUMIF(C92:N92,G2,C109:N109))),4)</f>
        <v>0.73709999999999998</v>
      </c>
      <c r="T6" s="2104">
        <f t="shared" si="0"/>
        <v>20017</v>
      </c>
      <c r="U6" s="2115"/>
      <c r="V6" s="2104">
        <f t="shared" si="1"/>
        <v>0</v>
      </c>
      <c r="W6" s="2105"/>
      <c r="X6" s="2105"/>
      <c r="Y6" s="2105"/>
      <c r="Z6" s="2105"/>
      <c r="AA6" s="2105"/>
      <c r="AB6" s="2105"/>
      <c r="AC6" s="2122"/>
      <c r="AD6" s="2123"/>
      <c r="AE6" s="2123"/>
      <c r="AF6" s="2123"/>
      <c r="AG6" s="2123"/>
      <c r="AH6" s="2123"/>
      <c r="AI6" s="2123"/>
      <c r="AJ6" s="2124"/>
    </row>
    <row r="7" spans="1:36" ht="24">
      <c r="A7" s="3399" t="str">
        <f>IF(E2="商业",IF(C8="不临58条商业街","",2),"")</f>
        <v/>
      </c>
      <c r="B7" s="1607" t="s">
        <v>2524</v>
      </c>
      <c r="C7" s="2131">
        <f>IF(C8="不临58条商业街",1,ROUND(1+(1.6*E8+1.2*E9+0.8*E10+0.4*E11)*C9,4))</f>
        <v>1</v>
      </c>
      <c r="D7" s="2132" t="s">
        <v>2525</v>
      </c>
      <c r="E7" s="2133"/>
      <c r="F7" s="2134"/>
      <c r="G7" s="2134"/>
      <c r="H7" s="2134"/>
      <c r="I7" s="2134"/>
      <c r="J7" s="2135"/>
      <c r="K7" s="3048"/>
      <c r="L7" s="2112" t="s">
        <v>2526</v>
      </c>
      <c r="M7" s="2113">
        <f>SUMPRODUCT((区片价!B158:B205=I2)*(区片价!C3:F3=E2)*(区片价!C158:F205))</f>
        <v>0</v>
      </c>
      <c r="N7" s="2114">
        <f>SUMPRODUCT((因素修正幅度!B158:B205=I2)*(因素修正幅度!C3:F3=E2)*(因素修正幅度!C158:F205))</f>
        <v>0</v>
      </c>
      <c r="O7" s="3047"/>
      <c r="P7" s="3047"/>
      <c r="Q7" s="3047"/>
      <c r="R7" s="2104">
        <v>6</v>
      </c>
      <c r="S7" s="2104">
        <f>ROUND(IF(G3&gt;1,IF(R7&lt;7,SUMPRODUCT((B93:B98=R7)*(C92:N92=G2)*(C93:N98)),SUMIF(C92:N92,G2,C100:N100)),IF(R7&lt;7,SUMPRODUCT((B102:B107=R7)*(C92:N92=G2)*(C102:N107)),SUMIF(C92:N92,G2,C109:N109))),4)</f>
        <v>0.6482</v>
      </c>
      <c r="T7" s="2104">
        <f t="shared" si="0"/>
        <v>17603</v>
      </c>
      <c r="U7" s="2115"/>
      <c r="V7" s="2104">
        <f t="shared" si="1"/>
        <v>0</v>
      </c>
      <c r="W7" s="2136" t="s">
        <v>2527</v>
      </c>
      <c r="X7" s="2137" t="str">
        <f>G2</f>
        <v>三级</v>
      </c>
      <c r="Y7" s="2137" t="s">
        <v>2528</v>
      </c>
      <c r="Z7" s="2138">
        <f>G3</f>
        <v>3</v>
      </c>
      <c r="AA7" s="2105"/>
      <c r="AB7" s="2105"/>
      <c r="AC7" s="2105"/>
      <c r="AD7" s="2106"/>
      <c r="AE7" s="2106"/>
      <c r="AF7" s="2106"/>
      <c r="AG7" s="2106"/>
      <c r="AH7" s="2106"/>
      <c r="AI7" s="2106"/>
      <c r="AJ7" s="2107"/>
    </row>
    <row r="8" spans="1:36" ht="15">
      <c r="A8" s="3400"/>
      <c r="B8" s="50" t="s">
        <v>2529</v>
      </c>
      <c r="C8" s="2139" t="s">
        <v>2902</v>
      </c>
      <c r="D8" s="65" t="s">
        <v>89</v>
      </c>
      <c r="E8" s="2140" t="e">
        <f>ROUND(C11/E7,4)</f>
        <v>#DIV/0!</v>
      </c>
      <c r="F8" s="2141" t="s">
        <v>2530</v>
      </c>
      <c r="G8" s="2142"/>
      <c r="H8" s="2142"/>
      <c r="I8" s="2142"/>
      <c r="J8" s="2143"/>
      <c r="K8" s="3047"/>
      <c r="L8" s="2112" t="s">
        <v>2531</v>
      </c>
      <c r="M8" s="2113">
        <f>SUMPRODUCT((区片价!B206:B244=I2)*(区片价!C3:F3=E2)*(区片价!C206:F244))</f>
        <v>0</v>
      </c>
      <c r="N8" s="2114">
        <f>SUMPRODUCT((因素修正幅度!B206:B244=I2)*(因素修正幅度!C3:F3=E2)*(因素修正幅度!C206:F244))</f>
        <v>0</v>
      </c>
      <c r="O8" s="3047"/>
      <c r="P8" s="3047"/>
      <c r="Q8" s="3047"/>
      <c r="R8" s="2104">
        <v>7</v>
      </c>
      <c r="S8" s="2115"/>
      <c r="T8" s="2104">
        <f t="shared" si="0"/>
        <v>0</v>
      </c>
      <c r="U8" s="2115"/>
      <c r="V8" s="2104">
        <f t="shared" si="1"/>
        <v>0</v>
      </c>
      <c r="W8" s="3393" t="s">
        <v>2532</v>
      </c>
      <c r="X8" s="3394"/>
      <c r="Y8" s="2144" t="s">
        <v>2533</v>
      </c>
      <c r="Z8" s="2144" t="s">
        <v>2534</v>
      </c>
      <c r="AA8" s="2144" t="s">
        <v>2535</v>
      </c>
      <c r="AB8" s="2144" t="s">
        <v>2536</v>
      </c>
      <c r="AC8" s="2144" t="s">
        <v>2537</v>
      </c>
      <c r="AD8" s="2144" t="s">
        <v>2538</v>
      </c>
      <c r="AE8" s="2144" t="s">
        <v>2539</v>
      </c>
      <c r="AF8" s="2144" t="s">
        <v>2540</v>
      </c>
      <c r="AG8" s="2144" t="s">
        <v>2541</v>
      </c>
      <c r="AH8" s="2144" t="s">
        <v>2542</v>
      </c>
      <c r="AI8" s="2144" t="s">
        <v>2543</v>
      </c>
      <c r="AJ8" s="2144" t="s">
        <v>2544</v>
      </c>
    </row>
    <row r="9" spans="1:36" ht="15">
      <c r="A9" s="3400"/>
      <c r="B9" s="50" t="s">
        <v>2545</v>
      </c>
      <c r="C9" s="2145">
        <f>SUMIF(修正!C59:C119,C8,修正!E59:E119)</f>
        <v>0</v>
      </c>
      <c r="D9" s="50" t="s">
        <v>90</v>
      </c>
      <c r="E9" s="50" t="e">
        <f>ROUND(C11/E7,4)</f>
        <v>#DIV/0!</v>
      </c>
      <c r="F9" s="2141" t="s">
        <v>2546</v>
      </c>
      <c r="G9" s="2142"/>
      <c r="H9" s="2142"/>
      <c r="I9" s="2142"/>
      <c r="J9" s="2143"/>
      <c r="K9" s="3047"/>
      <c r="L9" s="2112" t="s">
        <v>2547</v>
      </c>
      <c r="M9" s="2113">
        <f>SUMPRODUCT((区片价!B245:B289=I2)*(区片价!C3:F3=E2)*(区片价!C245:F289))</f>
        <v>0</v>
      </c>
      <c r="N9" s="2114">
        <f>SUMPRODUCT((因素修正幅度!B245:B289=I2)*(因素修正幅度!C3:F3=E2)*(因素修正幅度!C245:F289))</f>
        <v>0</v>
      </c>
      <c r="O9" s="3047"/>
      <c r="P9" s="3047"/>
      <c r="Q9" s="3047"/>
      <c r="R9" s="2104">
        <v>8</v>
      </c>
      <c r="S9" s="2115"/>
      <c r="T9" s="2104">
        <f t="shared" si="0"/>
        <v>0</v>
      </c>
      <c r="U9" s="2115"/>
      <c r="V9" s="2104">
        <f t="shared" si="1"/>
        <v>0</v>
      </c>
      <c r="W9" s="3394" t="s">
        <v>2548</v>
      </c>
      <c r="X9" s="2146" t="s">
        <v>2549</v>
      </c>
      <c r="Y9" s="2147"/>
      <c r="Z9" s="2148">
        <f>$Y$9</f>
        <v>0</v>
      </c>
      <c r="AA9" s="2148">
        <f t="shared" ref="AA9:AJ9" si="2">$Y$9</f>
        <v>0</v>
      </c>
      <c r="AB9" s="2148">
        <f t="shared" si="2"/>
        <v>0</v>
      </c>
      <c r="AC9" s="2148">
        <f t="shared" si="2"/>
        <v>0</v>
      </c>
      <c r="AD9" s="2148">
        <f t="shared" si="2"/>
        <v>0</v>
      </c>
      <c r="AE9" s="2148">
        <f t="shared" si="2"/>
        <v>0</v>
      </c>
      <c r="AF9" s="2148">
        <f t="shared" si="2"/>
        <v>0</v>
      </c>
      <c r="AG9" s="2148">
        <f t="shared" si="2"/>
        <v>0</v>
      </c>
      <c r="AH9" s="2148">
        <f t="shared" si="2"/>
        <v>0</v>
      </c>
      <c r="AI9" s="2148">
        <f t="shared" si="2"/>
        <v>0</v>
      </c>
      <c r="AJ9" s="2148">
        <f t="shared" si="2"/>
        <v>0</v>
      </c>
    </row>
    <row r="10" spans="1:36" ht="15">
      <c r="A10" s="3400"/>
      <c r="B10" s="50" t="s">
        <v>2550</v>
      </c>
      <c r="C10" s="50">
        <f>SUMIF(修正!C59:C119,C8,修正!F59:F119)</f>
        <v>0</v>
      </c>
      <c r="D10" s="50" t="s">
        <v>91</v>
      </c>
      <c r="E10" s="50" t="e">
        <f>ROUND(C11/E7,4)</f>
        <v>#DIV/0!</v>
      </c>
      <c r="F10" s="2141" t="s">
        <v>2551</v>
      </c>
      <c r="G10" s="2142"/>
      <c r="H10" s="2142"/>
      <c r="I10" s="2142"/>
      <c r="J10" s="2143"/>
      <c r="K10" s="3047"/>
      <c r="L10" s="2112" t="s">
        <v>2552</v>
      </c>
      <c r="M10" s="2113">
        <f>SUMPRODUCT((区片价!B290:B316=I2)*(区片价!C3:F3=E2)*(区片价!C290:F316))</f>
        <v>0</v>
      </c>
      <c r="N10" s="2114">
        <f>SUMPRODUCT((因素修正幅度!B290:B316=I2)*(因素修正幅度!C3:F3=E2)*(因素修正幅度!C290:F316))</f>
        <v>0</v>
      </c>
      <c r="O10" s="3047"/>
      <c r="P10" s="3047"/>
      <c r="Q10" s="3047"/>
      <c r="R10" s="2104">
        <v>9</v>
      </c>
      <c r="S10" s="2115"/>
      <c r="T10" s="2104">
        <f t="shared" si="0"/>
        <v>0</v>
      </c>
      <c r="U10" s="2115"/>
      <c r="V10" s="2104">
        <f t="shared" si="1"/>
        <v>0</v>
      </c>
      <c r="W10" s="3394"/>
      <c r="X10" s="2146">
        <v>7</v>
      </c>
      <c r="Y10" s="2149">
        <f>(-0.163*(Y9^2)-0.59*Y9+7617)*(10^(-4))</f>
        <v>0.76170000000000004</v>
      </c>
      <c r="Z10" s="2149">
        <f>(-0.163*(Z9^2)-0.59*Z9+7617)*(10^(-4))</f>
        <v>0.76170000000000004</v>
      </c>
      <c r="AA10" s="2149">
        <f>(-0.161*(AA9^2)-7.509*AA9+6533)*(10^(-4))</f>
        <v>0.65329999999999999</v>
      </c>
      <c r="AB10" s="2149">
        <f>(-0.161*(AB9^2)-7.509*AB9+6533)*(10^(-4))</f>
        <v>0.65329999999999999</v>
      </c>
      <c r="AC10" s="2149">
        <f>(-0.161*(AC9^2)-7.509*AC9+6533)*(10^(-4))</f>
        <v>0.65329999999999999</v>
      </c>
      <c r="AD10" s="2149">
        <f>(-0.161*(AD9^2)-7.509*AD9+6533)*(10^(-4))</f>
        <v>0.65329999999999999</v>
      </c>
      <c r="AE10" s="2149">
        <f>(-0.161*(AE9^2)-7.509*AE9+6533)*(10^(-4))</f>
        <v>0.65329999999999999</v>
      </c>
      <c r="AF10" s="2149">
        <f>(-0.214*(AF9^2)-21.991*AF9+4665)*(10^(-4))</f>
        <v>0.46650000000000003</v>
      </c>
      <c r="AG10" s="2149">
        <f>(-0.214*(AG9^2)-21.991*AG9+4665)*(10^(-4))</f>
        <v>0.46650000000000003</v>
      </c>
      <c r="AH10" s="2149">
        <f>(-0.214*(AH9^2)-21.991*AH9+4665)*(10^(-4))</f>
        <v>0.46650000000000003</v>
      </c>
      <c r="AI10" s="2149">
        <f>(-0.214*(AI9^2)-21.991*AI9+4665)*(10^(-4))</f>
        <v>0.46650000000000003</v>
      </c>
      <c r="AJ10" s="2149">
        <f>(-0.214*(AJ9^2)-21.991*AJ9+4665)*(10^(-4))</f>
        <v>0.46650000000000003</v>
      </c>
    </row>
    <row r="11" spans="1:36" ht="15.75" thickBot="1">
      <c r="A11" s="3400"/>
      <c r="B11" s="1608" t="s">
        <v>2553</v>
      </c>
      <c r="C11" s="1608">
        <f>C10/4</f>
        <v>0</v>
      </c>
      <c r="D11" s="1608" t="s">
        <v>92</v>
      </c>
      <c r="E11" s="1608" t="e">
        <f>ROUND(C11/E7,4)</f>
        <v>#DIV/0!</v>
      </c>
      <c r="F11" s="2150" t="s">
        <v>2554</v>
      </c>
      <c r="G11" s="2151"/>
      <c r="H11" s="2151"/>
      <c r="I11" s="2151"/>
      <c r="J11" s="2152"/>
      <c r="K11" s="3047"/>
      <c r="L11" s="2112" t="s">
        <v>2555</v>
      </c>
      <c r="M11" s="2113">
        <f>SUMPRODUCT((区片价!B317:B337=I2)*(区片价!C3:F3=E2)*(区片价!C317:F337))</f>
        <v>0</v>
      </c>
      <c r="N11" s="2114">
        <f>SUMPRODUCT((因素修正幅度!B317:B337=I2)*(因素修正幅度!C3:F3=E2)*(因素修正幅度!C317:F337))</f>
        <v>0</v>
      </c>
      <c r="O11" s="3047"/>
      <c r="P11" s="3047"/>
      <c r="Q11" s="3047"/>
      <c r="R11" s="2104">
        <v>10</v>
      </c>
      <c r="S11" s="2115"/>
      <c r="T11" s="2104">
        <f t="shared" si="0"/>
        <v>0</v>
      </c>
      <c r="U11" s="2115"/>
      <c r="V11" s="2104">
        <f t="shared" si="1"/>
        <v>0</v>
      </c>
      <c r="W11" s="3394" t="s">
        <v>2556</v>
      </c>
      <c r="X11" s="2153" t="s">
        <v>2557</v>
      </c>
      <c r="Y11" s="2154">
        <f>$G$3</f>
        <v>3</v>
      </c>
      <c r="Z11" s="2154">
        <f t="shared" ref="Z11:AJ11" si="3">$G$3</f>
        <v>3</v>
      </c>
      <c r="AA11" s="2154">
        <f t="shared" si="3"/>
        <v>3</v>
      </c>
      <c r="AB11" s="2154">
        <f t="shared" si="3"/>
        <v>3</v>
      </c>
      <c r="AC11" s="2154">
        <f t="shared" si="3"/>
        <v>3</v>
      </c>
      <c r="AD11" s="2154">
        <f t="shared" si="3"/>
        <v>3</v>
      </c>
      <c r="AE11" s="2154">
        <f t="shared" si="3"/>
        <v>3</v>
      </c>
      <c r="AF11" s="2154">
        <f t="shared" si="3"/>
        <v>3</v>
      </c>
      <c r="AG11" s="2154">
        <f t="shared" si="3"/>
        <v>3</v>
      </c>
      <c r="AH11" s="2154">
        <f t="shared" si="3"/>
        <v>3</v>
      </c>
      <c r="AI11" s="2154">
        <f t="shared" si="3"/>
        <v>3</v>
      </c>
      <c r="AJ11" s="2154">
        <f t="shared" si="3"/>
        <v>3</v>
      </c>
    </row>
    <row r="12" spans="1:36" ht="25.5" thickBot="1">
      <c r="A12" s="3399" t="str">
        <f>IF(E2="住宅",2,"")</f>
        <v/>
      </c>
      <c r="B12" s="1609" t="s">
        <v>2558</v>
      </c>
      <c r="C12" s="2131">
        <f>ROUND(C15*D15*E15*F15*G15*H15*I15*J15,4)</f>
        <v>1.32</v>
      </c>
      <c r="D12" s="2155" t="s">
        <v>2559</v>
      </c>
      <c r="E12" s="2156"/>
      <c r="F12" s="2156"/>
      <c r="G12" s="2156"/>
      <c r="H12" s="2156"/>
      <c r="I12" s="2156"/>
      <c r="J12" s="2157"/>
      <c r="K12" s="3047"/>
      <c r="L12" s="2158" t="s">
        <v>2560</v>
      </c>
      <c r="M12" s="2159">
        <f>SUMPRODUCT((区片价!B338:B344=I2)*(区片价!C3:F3=E2)*(区片价!C338:F344))</f>
        <v>0</v>
      </c>
      <c r="N12" s="2160">
        <f>SUMPRODUCT((因素修正幅度!B338:B344=I2)*(因素修正幅度!C3:F3=E2)*(因素修正幅度!C338:F344))</f>
        <v>0</v>
      </c>
      <c r="O12" s="3047"/>
      <c r="P12" s="3047"/>
      <c r="Q12" s="3047"/>
      <c r="R12" s="2104">
        <v>11</v>
      </c>
      <c r="S12" s="2115"/>
      <c r="T12" s="2104">
        <f t="shared" si="0"/>
        <v>0</v>
      </c>
      <c r="U12" s="2115"/>
      <c r="V12" s="2104">
        <f t="shared" si="1"/>
        <v>0</v>
      </c>
      <c r="W12" s="3394"/>
      <c r="X12" s="2161" t="s">
        <v>2561</v>
      </c>
      <c r="Y12" s="2148">
        <f t="shared" ref="Y12:AJ12" si="4">Y9</f>
        <v>0</v>
      </c>
      <c r="Z12" s="2148">
        <f t="shared" si="4"/>
        <v>0</v>
      </c>
      <c r="AA12" s="2148">
        <f t="shared" si="4"/>
        <v>0</v>
      </c>
      <c r="AB12" s="2148">
        <f t="shared" si="4"/>
        <v>0</v>
      </c>
      <c r="AC12" s="2148">
        <f t="shared" si="4"/>
        <v>0</v>
      </c>
      <c r="AD12" s="2148">
        <f t="shared" si="4"/>
        <v>0</v>
      </c>
      <c r="AE12" s="2148">
        <f t="shared" si="4"/>
        <v>0</v>
      </c>
      <c r="AF12" s="2148">
        <f t="shared" si="4"/>
        <v>0</v>
      </c>
      <c r="AG12" s="2148">
        <f t="shared" si="4"/>
        <v>0</v>
      </c>
      <c r="AH12" s="2148">
        <f t="shared" si="4"/>
        <v>0</v>
      </c>
      <c r="AI12" s="2148">
        <f t="shared" si="4"/>
        <v>0</v>
      </c>
      <c r="AJ12" s="2148">
        <f t="shared" si="4"/>
        <v>0</v>
      </c>
    </row>
    <row r="13" spans="1:36" ht="24">
      <c r="A13" s="3401"/>
      <c r="B13" s="1610" t="s">
        <v>2562</v>
      </c>
      <c r="C13" s="2162" t="s">
        <v>2563</v>
      </c>
      <c r="D13" s="1611" t="s">
        <v>2564</v>
      </c>
      <c r="E13" s="1611" t="s">
        <v>2565</v>
      </c>
      <c r="F13" s="264" t="s">
        <v>2566</v>
      </c>
      <c r="G13" s="2163" t="s">
        <v>2567</v>
      </c>
      <c r="H13" s="2163" t="s">
        <v>2567</v>
      </c>
      <c r="I13" s="2163" t="s">
        <v>2567</v>
      </c>
      <c r="J13" s="2164" t="s">
        <v>2567</v>
      </c>
      <c r="K13" s="3047"/>
      <c r="L13" s="3047"/>
      <c r="M13" s="3047"/>
      <c r="N13" s="3047"/>
      <c r="O13" s="3047"/>
      <c r="P13" s="3047"/>
      <c r="Q13" s="3047"/>
      <c r="R13" s="2104">
        <v>12</v>
      </c>
      <c r="S13" s="2115"/>
      <c r="T13" s="2104">
        <f t="shared" si="0"/>
        <v>0</v>
      </c>
      <c r="U13" s="2115"/>
      <c r="V13" s="2104">
        <f t="shared" si="1"/>
        <v>0</v>
      </c>
      <c r="W13" s="3394"/>
      <c r="X13" s="2161"/>
      <c r="Y13" s="2149">
        <f>(-0.163*(Y12^2)-0.59*Y12+7617)*(10^(-4))/Y11</f>
        <v>0.25390000000000001</v>
      </c>
      <c r="Z13" s="2149">
        <f t="shared" ref="Z13:AJ13" si="5">(-0.163*(Z12^2)-0.59*Z12+7617)*(10^(-4))/Z11</f>
        <v>0.25390000000000001</v>
      </c>
      <c r="AA13" s="2149">
        <f t="shared" si="5"/>
        <v>0.25390000000000001</v>
      </c>
      <c r="AB13" s="2149">
        <f t="shared" si="5"/>
        <v>0.25390000000000001</v>
      </c>
      <c r="AC13" s="2149">
        <f t="shared" si="5"/>
        <v>0.25390000000000001</v>
      </c>
      <c r="AD13" s="2149">
        <f t="shared" si="5"/>
        <v>0.25390000000000001</v>
      </c>
      <c r="AE13" s="2149">
        <f t="shared" si="5"/>
        <v>0.25390000000000001</v>
      </c>
      <c r="AF13" s="2149">
        <f t="shared" si="5"/>
        <v>0.25390000000000001</v>
      </c>
      <c r="AG13" s="2149">
        <f t="shared" si="5"/>
        <v>0.25390000000000001</v>
      </c>
      <c r="AH13" s="2149">
        <f t="shared" si="5"/>
        <v>0.25390000000000001</v>
      </c>
      <c r="AI13" s="2149">
        <f t="shared" si="5"/>
        <v>0.25390000000000001</v>
      </c>
      <c r="AJ13" s="2149">
        <f t="shared" si="5"/>
        <v>0.25390000000000001</v>
      </c>
    </row>
    <row r="14" spans="1:36" ht="15">
      <c r="A14" s="3401"/>
      <c r="B14" s="1611"/>
      <c r="C14" s="2165" t="s">
        <v>2568</v>
      </c>
      <c r="D14" s="2166" t="s">
        <v>2569</v>
      </c>
      <c r="E14" s="2166" t="s">
        <v>2569</v>
      </c>
      <c r="F14" s="2167" t="s">
        <v>2570</v>
      </c>
      <c r="G14" s="2168" t="s">
        <v>2571</v>
      </c>
      <c r="H14" s="2169"/>
      <c r="I14" s="2170"/>
      <c r="J14" s="2171"/>
      <c r="K14" s="3047"/>
      <c r="L14" s="3047"/>
      <c r="M14" s="3047"/>
      <c r="N14" s="3047"/>
      <c r="O14" s="3047"/>
      <c r="P14" s="3047"/>
      <c r="Q14" s="3047"/>
      <c r="R14" s="2104">
        <v>13</v>
      </c>
      <c r="S14" s="2115"/>
      <c r="T14" s="2104">
        <f t="shared" si="0"/>
        <v>0</v>
      </c>
      <c r="U14" s="2115"/>
      <c r="V14" s="2104">
        <f t="shared" si="1"/>
        <v>0</v>
      </c>
      <c r="W14" s="2105"/>
      <c r="X14" s="2105"/>
      <c r="Y14" s="2105"/>
      <c r="Z14" s="2105"/>
      <c r="AA14" s="2105"/>
      <c r="AB14" s="2105"/>
      <c r="AC14" s="2105"/>
      <c r="AD14" s="2106"/>
      <c r="AE14" s="2106"/>
      <c r="AF14" s="2106"/>
      <c r="AG14" s="2106"/>
      <c r="AH14" s="2106"/>
      <c r="AI14" s="2106"/>
      <c r="AJ14" s="2107"/>
    </row>
    <row r="15" spans="1:36" ht="15.75" thickBot="1">
      <c r="A15" s="3402"/>
      <c r="B15" s="1612" t="s">
        <v>2572</v>
      </c>
      <c r="C15" s="2172">
        <f>IF(C14="有",1.1,1)</f>
        <v>1.1000000000000001</v>
      </c>
      <c r="D15" s="2172">
        <f>IF(D14="有",1.1,1)</f>
        <v>1</v>
      </c>
      <c r="E15" s="2172">
        <f>IF(E14="有",1.1,1)</f>
        <v>1</v>
      </c>
      <c r="F15" s="2172">
        <f>IF(F14="500米范围内",1.2,IF(F14="500-1000米",1.1,1))</f>
        <v>1.2</v>
      </c>
      <c r="G15" s="2173">
        <v>1</v>
      </c>
      <c r="H15" s="2173">
        <v>1</v>
      </c>
      <c r="I15" s="2173">
        <v>1</v>
      </c>
      <c r="J15" s="2174">
        <v>1</v>
      </c>
      <c r="K15" s="3047"/>
      <c r="L15" s="3047"/>
      <c r="M15" s="3047"/>
      <c r="N15" s="3047"/>
      <c r="O15" s="3047"/>
      <c r="P15" s="3047"/>
      <c r="Q15" s="3047"/>
      <c r="R15" s="2104">
        <v>14</v>
      </c>
      <c r="S15" s="2115"/>
      <c r="T15" s="2104">
        <f t="shared" si="0"/>
        <v>0</v>
      </c>
      <c r="U15" s="2115"/>
      <c r="V15" s="2104">
        <f t="shared" si="1"/>
        <v>0</v>
      </c>
      <c r="W15" s="2105"/>
      <c r="X15" s="2105"/>
      <c r="Y15" s="2105"/>
      <c r="Z15" s="2105"/>
      <c r="AA15" s="2105"/>
      <c r="AB15" s="2105"/>
      <c r="AC15" s="2105"/>
      <c r="AD15" s="2106"/>
      <c r="AE15" s="2106"/>
      <c r="AF15" s="2106"/>
      <c r="AG15" s="2106"/>
      <c r="AH15" s="2106"/>
      <c r="AI15" s="2106"/>
      <c r="AJ15" s="2107"/>
    </row>
    <row r="16" spans="1:36" ht="24.6" customHeight="1">
      <c r="A16" s="3403">
        <f>IF(E2="办公",2,IF(E2="工业",2,IF(E2="住宅",3,IF(E2="商业",IF(C8="不临58条商业街",2,3)))))</f>
        <v>2</v>
      </c>
      <c r="B16" s="1631" t="s">
        <v>2578</v>
      </c>
      <c r="C16" s="1607">
        <f>ROUND(IF(F17="与级别开发程度一致",0,(G17-E17)/C17),0)</f>
        <v>-36</v>
      </c>
      <c r="D16" s="3416" t="s">
        <v>2582</v>
      </c>
      <c r="E16" s="3417"/>
      <c r="F16" s="3416" t="s">
        <v>2579</v>
      </c>
      <c r="G16" s="3417"/>
      <c r="H16" s="2175" t="s">
        <v>2903</v>
      </c>
      <c r="I16" s="2175" t="s">
        <v>2904</v>
      </c>
      <c r="J16" s="2176" t="s">
        <v>2905</v>
      </c>
      <c r="K16" s="2175" t="s">
        <v>2906</v>
      </c>
      <c r="L16" s="2175" t="s">
        <v>2907</v>
      </c>
      <c r="M16" s="2175" t="s">
        <v>2908</v>
      </c>
      <c r="N16" s="2175"/>
      <c r="O16" s="2177"/>
      <c r="P16" s="3047"/>
      <c r="Q16" s="3047"/>
      <c r="R16" s="2104">
        <v>15</v>
      </c>
      <c r="S16" s="2115"/>
      <c r="T16" s="2104">
        <f t="shared" si="0"/>
        <v>0</v>
      </c>
      <c r="U16" s="2115"/>
      <c r="V16" s="2104">
        <f t="shared" si="1"/>
        <v>0</v>
      </c>
      <c r="W16" s="2105"/>
      <c r="X16" s="2105"/>
      <c r="Y16" s="2105"/>
      <c r="Z16" s="2105"/>
      <c r="AA16" s="2105"/>
      <c r="AB16" s="2105"/>
      <c r="AC16" s="2105"/>
      <c r="AD16" s="2106"/>
      <c r="AE16" s="2106"/>
      <c r="AF16" s="2106"/>
      <c r="AG16" s="2106"/>
      <c r="AH16" s="2106"/>
      <c r="AI16" s="2106"/>
      <c r="AJ16" s="2107"/>
    </row>
    <row r="17" spans="1:35" ht="26.25" thickBot="1">
      <c r="A17" s="3404"/>
      <c r="B17" s="1632" t="s">
        <v>2581</v>
      </c>
      <c r="C17" s="2178">
        <f>SUMPRODUCT((修正!A2:A5=E2)*(修正!B1:M1=G2)*(修正!B2:M5))</f>
        <v>2.5</v>
      </c>
      <c r="D17" s="2172" t="str">
        <f>IF(OR(G2="八级",G2="九级",G2="十级",G2="十一级",G2="十二级"),"五通一平","七通一平")</f>
        <v>七通一平</v>
      </c>
      <c r="E17" s="2179">
        <f>SUMPRODUCT((修正!B1:M1=G2)*(修正!B15:M15))</f>
        <v>300</v>
      </c>
      <c r="F17" s="2180" t="s">
        <v>2909</v>
      </c>
      <c r="G17" s="1621">
        <f>SUM(H17:O17)</f>
        <v>210</v>
      </c>
      <c r="H17" s="2178">
        <f>SUMPRODUCT((七通一平=H16)*(修正!B1:M1=G2)*(修正!B6:M14))</f>
        <v>65</v>
      </c>
      <c r="I17" s="2178">
        <f>SUMPRODUCT((七通一平=I16)*(修正!B1:M1=G2)*(修正!B6:M14))</f>
        <v>55</v>
      </c>
      <c r="J17" s="2181">
        <f>SUMPRODUCT((七通一平=J16)*(修正!B1:M1=G2)*(修正!B6:M14))</f>
        <v>15</v>
      </c>
      <c r="K17" s="2178">
        <f>SUMPRODUCT((七通一平=K16)*(修正!B1:M1=G2)*(修正!B6:M14))</f>
        <v>25</v>
      </c>
      <c r="L17" s="2178">
        <f>SUMPRODUCT((七通一平=L16)*(修正!B1:M1=G2)*(修正!B6:M14))</f>
        <v>35</v>
      </c>
      <c r="M17" s="2178">
        <f>SUMPRODUCT((七通一平=M16)*(修正!B1:M1=G2)*(修正!B6:M14))</f>
        <v>15</v>
      </c>
      <c r="N17" s="2178">
        <f>SUMPRODUCT((七通一平=N16)*(修正!B1:M1=G2)*(修正!B6:M14))</f>
        <v>0</v>
      </c>
      <c r="O17" s="2182">
        <f>SUMPRODUCT((七通一平=O16)*(修正!B1:M1=G2)*(修正!B6:M14))</f>
        <v>0</v>
      </c>
      <c r="P17" s="3047"/>
      <c r="Q17" s="3047"/>
      <c r="R17" s="1623"/>
      <c r="S17" s="1623"/>
      <c r="T17" s="1623"/>
      <c r="U17" s="1623"/>
      <c r="V17" s="1623"/>
      <c r="W17" s="1623"/>
      <c r="X17" s="1623"/>
      <c r="Y17" s="1623"/>
      <c r="Z17" s="1623"/>
      <c r="AA17" s="1623"/>
      <c r="AB17" s="1623"/>
      <c r="AC17" s="1623"/>
      <c r="AD17" s="1623"/>
      <c r="AE17" s="1623"/>
      <c r="AF17" s="1623"/>
    </row>
    <row r="18" spans="1:35" s="2125" customFormat="1" ht="15.75" thickBot="1">
      <c r="A18" s="2183" t="s">
        <v>2584</v>
      </c>
      <c r="B18" s="1630" t="s">
        <v>2585</v>
      </c>
      <c r="C18" s="2184">
        <f>SUMIF(修正!C18:C39,E3,修正!E18:E39)</f>
        <v>1</v>
      </c>
      <c r="D18" s="2185"/>
      <c r="E18" s="2186"/>
      <c r="F18" s="2186"/>
      <c r="G18" s="2186"/>
      <c r="H18" s="2186"/>
      <c r="I18" s="2186"/>
      <c r="J18" s="2187"/>
      <c r="K18" s="3049"/>
      <c r="L18" s="3049"/>
      <c r="M18" s="3049"/>
      <c r="N18" s="3049"/>
      <c r="O18" s="3047"/>
      <c r="P18" s="3047"/>
      <c r="Q18" s="3047"/>
      <c r="R18" s="3047"/>
      <c r="S18" s="3047"/>
      <c r="T18" s="3047"/>
      <c r="U18" s="3047"/>
      <c r="V18" s="3047"/>
      <c r="W18" s="3047"/>
      <c r="X18" s="1623"/>
      <c r="Y18" s="1623"/>
      <c r="Z18" s="1623"/>
      <c r="AA18" s="1623"/>
      <c r="AB18" s="1623"/>
      <c r="AC18" s="1623"/>
      <c r="AD18" s="1623"/>
      <c r="AE18" s="1623"/>
      <c r="AF18" s="1623"/>
      <c r="AG18" s="1624"/>
      <c r="AH18" s="1624"/>
      <c r="AI18" s="1624"/>
    </row>
    <row r="19" spans="1:35" s="2125" customFormat="1" ht="29.25" thickBot="1">
      <c r="A19" s="2183" t="s">
        <v>2586</v>
      </c>
      <c r="B19" s="1613" t="s">
        <v>2587</v>
      </c>
      <c r="C19" s="2189">
        <f>ROUND(IF(H19="按公示增长率计算",SUMPRODUCT((地价!A3:A34=YEAR(G19)&amp;"-"&amp;ROUNDUP(MONTH(G19)/3,0))*(地价!X2:AB2=E2)*(地价!X3:AB34)),IF(H19="地价指数",M20/M19,(1+I19)^O19)),4)</f>
        <v>1.3491</v>
      </c>
      <c r="D19" s="2190" t="s">
        <v>2588</v>
      </c>
      <c r="E19" s="2191">
        <v>41640</v>
      </c>
      <c r="F19" s="2190" t="s">
        <v>2589</v>
      </c>
      <c r="G19" s="2192">
        <f>'数据-取费表'!B2</f>
        <v>44334</v>
      </c>
      <c r="H19" s="2193" t="s">
        <v>2725</v>
      </c>
      <c r="I19" s="2194" t="str">
        <f>IF(H19="季度增幅（自定义）",SUMIF(N21:N24,E2,O21:O24),"")</f>
        <v/>
      </c>
      <c r="J19" s="2195"/>
      <c r="K19" s="3049"/>
      <c r="L19" s="2076" t="s">
        <v>2590</v>
      </c>
      <c r="M19" s="2196">
        <f>ROUND(SUMIF(地价!B2:F2,E2,地价!B34:F34),0)</f>
        <v>258</v>
      </c>
      <c r="N19" s="2197" t="s">
        <v>2591</v>
      </c>
      <c r="O19" s="2198">
        <f>ROUNDDOWN(DATEDIF(E19,G19,"M")/3,0)</f>
        <v>29</v>
      </c>
      <c r="P19" s="3047"/>
      <c r="Q19" s="3049"/>
      <c r="R19" s="3047"/>
      <c r="S19" s="3047"/>
      <c r="T19" s="3047"/>
      <c r="U19" s="3047"/>
      <c r="V19" s="3047"/>
      <c r="W19" s="3047"/>
      <c r="X19" s="1623"/>
      <c r="Y19" s="1623"/>
      <c r="Z19" s="1623"/>
      <c r="AA19" s="1623"/>
      <c r="AB19" s="1623"/>
      <c r="AC19" s="1623"/>
      <c r="AD19" s="1623"/>
      <c r="AE19" s="2188"/>
      <c r="AF19" s="2199"/>
      <c r="AG19" s="2200"/>
      <c r="AH19" s="1624"/>
    </row>
    <row r="20" spans="1:35" s="2125" customFormat="1" ht="27.75" thickBot="1">
      <c r="A20" s="1718" t="s">
        <v>2592</v>
      </c>
      <c r="B20" s="1614" t="s">
        <v>2593</v>
      </c>
      <c r="C20" s="2201">
        <f>ROUND(POWER(1+G20,J20-I20)*(POWER(1+G20,I20)-1)/(POWER(1+G20,J20)-1),4)</f>
        <v>0.91100000000000003</v>
      </c>
      <c r="D20" s="2202" t="s">
        <v>2594</v>
      </c>
      <c r="E20" s="3152">
        <f>存贷款利率!E18/100</f>
        <v>4.3499999999999997E-2</v>
      </c>
      <c r="F20" s="2202" t="s">
        <v>2583</v>
      </c>
      <c r="G20" s="3153">
        <f>SUMIF(M26:P26,E2,M28:P28)</f>
        <v>5.1999999999999998E-2</v>
      </c>
      <c r="H20" s="2202" t="s">
        <v>2595</v>
      </c>
      <c r="I20" s="2203">
        <f>'数据-取费表'!B13</f>
        <v>36</v>
      </c>
      <c r="J20" s="2204">
        <f>IF(E2="住宅",70,IF(E2="商业",40,50))</f>
        <v>50</v>
      </c>
      <c r="K20" s="3049"/>
      <c r="L20" s="2205" t="s">
        <v>2596</v>
      </c>
      <c r="M20" s="2206">
        <f>ROUND(SUMPRODUCT((地价!A4:A34=YEAR(G19)&amp;"-"&amp;ROUNDUP(MONTH(G19)/3,0))*(地价!B2:F2=E2)*(地价!B4:F34)),0)</f>
        <v>348</v>
      </c>
      <c r="N20" s="2207" t="s">
        <v>2597</v>
      </c>
      <c r="O20" s="2208" t="s">
        <v>2598</v>
      </c>
      <c r="P20" s="2209" t="s">
        <v>2599</v>
      </c>
      <c r="Q20" s="3049"/>
      <c r="R20" s="3047"/>
      <c r="S20" s="3047"/>
      <c r="T20" s="3047"/>
      <c r="U20" s="3047"/>
      <c r="V20" s="3047"/>
      <c r="W20" s="3047"/>
      <c r="X20" s="1623"/>
      <c r="Y20" s="1623"/>
      <c r="Z20" s="1623"/>
      <c r="AA20" s="1623"/>
      <c r="AB20" s="1623"/>
      <c r="AC20" s="1623"/>
      <c r="AD20" s="1623"/>
      <c r="AE20" s="2188"/>
      <c r="AF20" s="2188"/>
    </row>
    <row r="21" spans="1:35" s="2125" customFormat="1" ht="14.25">
      <c r="A21" s="2210" t="s">
        <v>2600</v>
      </c>
      <c r="B21" s="1615" t="s">
        <v>2601</v>
      </c>
      <c r="C21" s="2211">
        <f>IF(B21="容积率修正",IF(G3&lt;=10,D22,J22),C23)</f>
        <v>0.94299999999999995</v>
      </c>
      <c r="D21" s="2212"/>
      <c r="E21" s="2212"/>
      <c r="F21" s="2212"/>
      <c r="G21" s="2212"/>
      <c r="H21" s="2212"/>
      <c r="I21" s="2212"/>
      <c r="J21" s="2077"/>
      <c r="K21" s="3049"/>
      <c r="L21" s="3049"/>
      <c r="M21" s="3049"/>
      <c r="N21" s="2213" t="s">
        <v>2602</v>
      </c>
      <c r="O21" s="2214"/>
      <c r="P21" s="2215">
        <f>SUMPRODUCT((地价!A3:A34=YEAR(G19)&amp;"-"&amp;ROUNDUP(MONTH(G19)/3,0))*(地价!AD2:AH2=N21)*(地价!AD3:AH34))</f>
        <v>1.09E-2</v>
      </c>
      <c r="Q21" s="3049"/>
      <c r="R21" s="3047"/>
      <c r="S21" s="3047"/>
      <c r="T21" s="3047"/>
      <c r="U21" s="3047"/>
      <c r="V21" s="3047"/>
      <c r="W21" s="3047"/>
      <c r="X21" s="1623"/>
      <c r="Y21" s="1623"/>
      <c r="Z21" s="1623"/>
      <c r="AA21" s="1623"/>
      <c r="AB21" s="1623"/>
      <c r="AC21" s="1623"/>
      <c r="AD21" s="1623"/>
      <c r="AE21" s="2188"/>
      <c r="AF21" s="2188"/>
    </row>
    <row r="22" spans="1:35" s="2125" customFormat="1" ht="14.25">
      <c r="A22" s="2073">
        <v>1</v>
      </c>
      <c r="B22" s="2072" t="s">
        <v>2603</v>
      </c>
      <c r="C22" s="2072" t="s">
        <v>2604</v>
      </c>
      <c r="D22" s="2072">
        <f>IF(E22=G22,F22,IF(G3&lt;=10,ROUND(F22+(H22-F22)*(G3-E22)/(G22-E22),4),"——"))</f>
        <v>0.94299999999999995</v>
      </c>
      <c r="E22" s="2116">
        <f>ROUNDDOWN(G3,1)</f>
        <v>3</v>
      </c>
      <c r="F22" s="2072">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0.94299999999999995</v>
      </c>
      <c r="G22" s="2116">
        <f>ROUNDUP(G3,1)</f>
        <v>3</v>
      </c>
      <c r="H22" s="2072">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0.94299999999999995</v>
      </c>
      <c r="I22" s="2072" t="s">
        <v>104</v>
      </c>
      <c r="J22" s="2216" t="str">
        <f>IF(G3&gt;10,D113,"——")</f>
        <v>——</v>
      </c>
      <c r="K22" s="3049"/>
      <c r="L22" s="3049"/>
      <c r="M22" s="3049"/>
      <c r="N22" s="2213" t="s">
        <v>2605</v>
      </c>
      <c r="O22" s="2214"/>
      <c r="P22" s="2215">
        <f>SUMPRODUCT((地价!A3:A34=YEAR(G19)&amp;"-"&amp;ROUNDUP(MONTH(G19)/3,0))*(地价!AD2:AH2=N22)*(地价!AD3:AH34))</f>
        <v>1.09E-2</v>
      </c>
      <c r="Q22" s="3049"/>
      <c r="R22" s="3047"/>
      <c r="S22" s="3047"/>
      <c r="T22" s="3047"/>
      <c r="U22" s="3047"/>
      <c r="V22" s="3047"/>
      <c r="W22" s="3047"/>
      <c r="X22" s="1623"/>
      <c r="Y22" s="1623"/>
      <c r="Z22" s="1623"/>
      <c r="AA22" s="1623"/>
      <c r="AB22" s="1623"/>
      <c r="AC22" s="1623"/>
      <c r="AD22" s="1623"/>
      <c r="AE22" s="2188"/>
      <c r="AF22" s="2188"/>
    </row>
    <row r="23" spans="1:35" ht="27">
      <c r="A23" s="2073">
        <v>2</v>
      </c>
      <c r="B23" s="2072" t="s">
        <v>2606</v>
      </c>
      <c r="C23" s="2217">
        <f>ROUND(IF(G3&gt;1,IF(I3&lt;7,SUMPRODUCT((B93:B98=I3)*(C92:N92=G2)*(C93:N98)),SUMIF(C92:N92,G2,C100:N100)),IF(I3&lt;7,SUMPRODUCT((B102:B107=I3)*(C92:N92=G2)*(C102:N107)),SUMIF(C92:N92,G2,C109:N109))),4)</f>
        <v>0</v>
      </c>
      <c r="D23" s="2169"/>
      <c r="E23" s="2169"/>
      <c r="F23" s="2218"/>
      <c r="G23" s="2219"/>
      <c r="H23" s="1620"/>
      <c r="I23" s="2072"/>
      <c r="J23" s="2216"/>
      <c r="K23" s="3047"/>
      <c r="L23" s="3047"/>
      <c r="M23" s="3047"/>
      <c r="N23" s="2213" t="s">
        <v>2607</v>
      </c>
      <c r="O23" s="2214"/>
      <c r="P23" s="2215">
        <f>SUMPRODUCT((地价!A3:A34=YEAR(G19)&amp;"-"&amp;ROUNDUP(MONTH(G19)/3,0))*(地价!AD2:AH2=N23)*(地价!AD3:AH34))</f>
        <v>1.9E-2</v>
      </c>
      <c r="Q23" s="3047"/>
      <c r="R23" s="3047"/>
      <c r="S23" s="3047"/>
      <c r="T23" s="3047"/>
      <c r="U23" s="3047"/>
      <c r="V23" s="3047"/>
      <c r="W23" s="3047"/>
      <c r="X23" s="1623"/>
      <c r="Y23" s="1623"/>
      <c r="Z23" s="1623"/>
      <c r="AA23" s="1623"/>
      <c r="AB23" s="1623"/>
      <c r="AC23" s="1623"/>
      <c r="AD23" s="1623"/>
      <c r="AE23" s="1623"/>
      <c r="AF23" s="1623"/>
    </row>
    <row r="24" spans="1:35" s="2125" customFormat="1" ht="15.75" thickBot="1">
      <c r="A24" s="2220" t="s">
        <v>2608</v>
      </c>
      <c r="B24" s="1617" t="s">
        <v>2609</v>
      </c>
      <c r="C24" s="2221">
        <f>SUMIF(A46:A88,E2,B46:B88)</f>
        <v>1.052</v>
      </c>
      <c r="D24" s="2222"/>
      <c r="E24" s="2223"/>
      <c r="F24" s="2223"/>
      <c r="G24" s="2223"/>
      <c r="H24" s="2223"/>
      <c r="I24" s="2223"/>
      <c r="J24" s="2224"/>
      <c r="K24" s="3049"/>
      <c r="L24" s="3049"/>
      <c r="M24" s="3049"/>
      <c r="N24" s="2225" t="s">
        <v>2610</v>
      </c>
      <c r="O24" s="2226"/>
      <c r="P24" s="2227">
        <f>SUMPRODUCT((地价!A3:A34=YEAR(G19)&amp;"-"&amp;ROUNDUP(MONTH(G19)/3,0))*(地价!AD2:AH2=N24)*(地价!AD3:AH34))</f>
        <v>1.2500000000000001E-2</v>
      </c>
      <c r="Q24" s="3049"/>
      <c r="R24" s="3047"/>
      <c r="S24" s="3047"/>
      <c r="T24" s="3047"/>
      <c r="U24" s="3047"/>
      <c r="V24" s="3047"/>
      <c r="W24" s="3047"/>
      <c r="X24" s="1623"/>
      <c r="Y24" s="1623"/>
      <c r="Z24" s="1623"/>
      <c r="AA24" s="1623"/>
      <c r="AB24" s="1623"/>
      <c r="AC24" s="1623"/>
      <c r="AD24" s="1623"/>
      <c r="AE24" s="2188"/>
      <c r="AF24" s="2188"/>
    </row>
    <row r="25" spans="1:35" ht="15" thickBot="1">
      <c r="A25" s="1718" t="s">
        <v>2611</v>
      </c>
      <c r="B25" s="1618" t="s">
        <v>2612</v>
      </c>
      <c r="C25" s="2228"/>
      <c r="D25" s="2134"/>
      <c r="E25" s="2134"/>
      <c r="F25" s="2229"/>
      <c r="G25" s="2134"/>
      <c r="H25" s="2134"/>
      <c r="I25" s="2134"/>
      <c r="J25" s="2135"/>
      <c r="K25" s="3047"/>
      <c r="L25" s="3047"/>
      <c r="M25" s="3047"/>
      <c r="N25" s="3050" t="s">
        <v>2613</v>
      </c>
      <c r="O25" s="3051"/>
      <c r="P25" s="3052">
        <f>SUMPRODUCT((地价!A3:A34=YEAR(G19)&amp;"-"&amp;ROUNDUP(MONTH(G19)/3,0))*(地价!AD2:AH2=N25)*(地价!AD3:AH34))</f>
        <v>1.7299999999999999E-2</v>
      </c>
      <c r="Q25" s="3047"/>
      <c r="R25" s="3047"/>
      <c r="S25" s="3047"/>
      <c r="T25" s="3047"/>
      <c r="U25" s="3047"/>
      <c r="V25" s="3047"/>
      <c r="W25" s="3047"/>
      <c r="X25" s="1623"/>
      <c r="Y25" s="1623"/>
      <c r="Z25" s="1623"/>
      <c r="AA25" s="1623"/>
      <c r="AB25" s="1623"/>
      <c r="AC25" s="1623"/>
      <c r="AD25" s="1623"/>
      <c r="AE25" s="1623"/>
      <c r="AF25" s="1623"/>
    </row>
    <row r="26" spans="1:35" ht="15">
      <c r="A26" s="1703"/>
      <c r="B26" s="2072" t="s">
        <v>2614</v>
      </c>
      <c r="C26" s="2887">
        <f>IF(B21="容积率修正",E29+SUM(E33:E39),SUM(V2:V16)+SUM(E33:E39))</f>
        <v>3992955</v>
      </c>
      <c r="D26" s="2230"/>
      <c r="E26" s="2169"/>
      <c r="F26" s="1478"/>
      <c r="G26" s="2169"/>
      <c r="H26" s="2169"/>
      <c r="I26" s="2169"/>
      <c r="J26" s="2231"/>
      <c r="K26" s="3047"/>
      <c r="L26" s="3053" t="s">
        <v>2573</v>
      </c>
      <c r="M26" s="2132" t="s">
        <v>2574</v>
      </c>
      <c r="N26" s="2132" t="s">
        <v>2575</v>
      </c>
      <c r="O26" s="2132" t="s">
        <v>2576</v>
      </c>
      <c r="P26" s="3054" t="s">
        <v>2577</v>
      </c>
      <c r="Q26" s="3047"/>
      <c r="R26" s="3047"/>
      <c r="S26" s="3047"/>
      <c r="T26" s="3047"/>
      <c r="U26" s="3047"/>
      <c r="V26" s="3047"/>
      <c r="W26" s="3047"/>
      <c r="X26" s="1623"/>
      <c r="Y26" s="1623"/>
      <c r="Z26" s="1623"/>
      <c r="AA26" s="1623"/>
      <c r="AB26" s="1623"/>
      <c r="AC26" s="1623"/>
      <c r="AD26" s="1623"/>
      <c r="AE26" s="1623"/>
      <c r="AF26" s="1623"/>
    </row>
    <row r="27" spans="1:35" ht="15.75" thickBot="1">
      <c r="A27" s="1703"/>
      <c r="B27" s="1619" t="s">
        <v>2615</v>
      </c>
      <c r="C27" s="2232">
        <f>E30+SUM(I33:I39)</f>
        <v>0</v>
      </c>
      <c r="D27" s="2181"/>
      <c r="E27" s="2233"/>
      <c r="F27" s="2234"/>
      <c r="G27" s="2233"/>
      <c r="H27" s="2233"/>
      <c r="I27" s="2233"/>
      <c r="J27" s="2235"/>
      <c r="K27" s="3047"/>
      <c r="L27" s="2236" t="s">
        <v>2580</v>
      </c>
      <c r="M27" s="2145">
        <v>0.25</v>
      </c>
      <c r="N27" s="2145">
        <v>0.2</v>
      </c>
      <c r="O27" s="2145">
        <v>0.15</v>
      </c>
      <c r="P27" s="2237">
        <v>0.1</v>
      </c>
      <c r="Q27" s="3047"/>
      <c r="R27" s="3047"/>
      <c r="S27" s="3047"/>
      <c r="T27" s="3047"/>
      <c r="U27" s="3047"/>
      <c r="V27" s="3047"/>
      <c r="W27" s="3047"/>
      <c r="X27" s="1623"/>
      <c r="Y27" s="1623"/>
      <c r="Z27" s="1623"/>
      <c r="AA27" s="1623"/>
      <c r="AB27" s="1623"/>
      <c r="AC27" s="1623"/>
      <c r="AD27" s="1623"/>
      <c r="AE27" s="1623"/>
      <c r="AF27" s="1623"/>
    </row>
    <row r="28" spans="1:35" ht="15.75" thickBot="1">
      <c r="A28" s="1718"/>
      <c r="B28" s="2238" t="s">
        <v>2616</v>
      </c>
      <c r="C28" s="2239" t="s">
        <v>2617</v>
      </c>
      <c r="D28" s="2239" t="s">
        <v>2618</v>
      </c>
      <c r="E28" s="1618" t="s">
        <v>2619</v>
      </c>
      <c r="F28" s="2240"/>
      <c r="G28" s="2156"/>
      <c r="H28" s="2156"/>
      <c r="I28" s="2156"/>
      <c r="J28" s="2157"/>
      <c r="K28" s="3047"/>
      <c r="L28" s="2241" t="s">
        <v>2583</v>
      </c>
      <c r="M28" s="2242">
        <f>ROUND($E$20*(1+M27),3)</f>
        <v>5.3999999999999999E-2</v>
      </c>
      <c r="N28" s="2242">
        <f>ROUND($E$20*(1+N27),3)</f>
        <v>5.1999999999999998E-2</v>
      </c>
      <c r="O28" s="2242">
        <f>ROUND($E$20*(1+O27),3)</f>
        <v>0.05</v>
      </c>
      <c r="P28" s="2160">
        <f>ROUND($E$20*(1+P27),3)</f>
        <v>4.8000000000000001E-2</v>
      </c>
      <c r="Q28" s="3047"/>
      <c r="R28" s="3047"/>
      <c r="S28" s="3047"/>
      <c r="T28" s="3047"/>
      <c r="U28" s="3047"/>
      <c r="V28" s="3047"/>
      <c r="W28" s="3047"/>
      <c r="X28" s="1623"/>
      <c r="Y28" s="1623"/>
      <c r="Z28" s="1623"/>
      <c r="AA28" s="1623"/>
      <c r="AB28" s="1623"/>
      <c r="AC28" s="1623"/>
      <c r="AD28" s="1623"/>
      <c r="AE28" s="1623"/>
      <c r="AF28" s="1623"/>
    </row>
    <row r="29" spans="1:35">
      <c r="A29" s="2243"/>
      <c r="B29" s="1620" t="s">
        <v>2620</v>
      </c>
      <c r="C29" s="54">
        <f>ROUND(C5*C18*C19*C20*C21*C24,0)</f>
        <v>25609</v>
      </c>
      <c r="D29" s="2244">
        <f>典型户型修正!B27</f>
        <v>155.91999999999999</v>
      </c>
      <c r="E29" s="2031">
        <f>ROUND(C29*D29,0)</f>
        <v>3992955</v>
      </c>
      <c r="F29" s="2245" t="s">
        <v>2621</v>
      </c>
      <c r="G29" s="2246"/>
      <c r="H29" s="2246"/>
      <c r="I29" s="2246"/>
      <c r="J29" s="2247"/>
      <c r="K29" s="3047"/>
      <c r="L29" s="3047"/>
      <c r="M29" s="3047"/>
      <c r="N29" s="3047"/>
      <c r="O29" s="3047"/>
      <c r="P29" s="3047"/>
      <c r="Q29" s="3047"/>
      <c r="R29" s="3047"/>
      <c r="S29" s="3047"/>
      <c r="T29" s="3047"/>
      <c r="U29" s="3047"/>
      <c r="V29" s="3047"/>
      <c r="W29" s="3047"/>
      <c r="X29" s="1623"/>
      <c r="Y29" s="1623"/>
      <c r="Z29" s="1623"/>
      <c r="AA29" s="1623"/>
      <c r="AB29" s="1623"/>
      <c r="AC29" s="1623"/>
      <c r="AD29" s="1623"/>
      <c r="AE29" s="1623"/>
      <c r="AF29" s="1623"/>
    </row>
    <row r="30" spans="1:35" ht="25.5" thickBot="1">
      <c r="A30" s="2248"/>
      <c r="B30" s="1621" t="s">
        <v>2622</v>
      </c>
      <c r="C30" s="2172">
        <f>ROUND(IF(E2="工业",C29*M39,C29*M38),0)</f>
        <v>6402</v>
      </c>
      <c r="D30" s="2249"/>
      <c r="E30" s="2031">
        <f>ROUND(C30*D30,0)</f>
        <v>0</v>
      </c>
      <c r="F30" s="2250" t="s">
        <v>2623</v>
      </c>
      <c r="G30" s="2251"/>
      <c r="H30" s="2251"/>
      <c r="I30" s="2251"/>
      <c r="J30" s="2252"/>
      <c r="K30" s="3047"/>
      <c r="L30" s="3047"/>
      <c r="M30" s="3047"/>
      <c r="N30" s="3047"/>
      <c r="O30" s="3047"/>
      <c r="P30" s="3047"/>
      <c r="Q30" s="3047"/>
      <c r="R30" s="3047"/>
      <c r="S30" s="3047"/>
      <c r="T30" s="3047"/>
      <c r="U30" s="3047"/>
      <c r="V30" s="3047"/>
      <c r="W30" s="3047"/>
      <c r="X30" s="1623"/>
      <c r="Y30" s="1623"/>
      <c r="Z30" s="1623"/>
      <c r="AA30" s="1623"/>
      <c r="AB30" s="1623"/>
      <c r="AC30" s="1623"/>
      <c r="AD30" s="1623"/>
      <c r="AE30" s="1623"/>
      <c r="AF30" s="1623"/>
    </row>
    <row r="31" spans="1:35">
      <c r="A31" s="2253"/>
      <c r="B31" s="1622" t="s">
        <v>2624</v>
      </c>
      <c r="C31" s="2254" t="s">
        <v>2625</v>
      </c>
      <c r="D31" s="2156"/>
      <c r="E31" s="2254"/>
      <c r="F31" s="2254"/>
      <c r="G31" s="2155" t="s">
        <v>2626</v>
      </c>
      <c r="H31" s="2156"/>
      <c r="I31" s="2255"/>
      <c r="J31" s="2157"/>
      <c r="K31" s="3047"/>
      <c r="L31" s="3047"/>
      <c r="M31" s="3047"/>
      <c r="N31" s="3047"/>
      <c r="O31" s="3047"/>
      <c r="P31" s="3047"/>
      <c r="Q31" s="3047"/>
      <c r="R31" s="3047"/>
      <c r="S31" s="3047"/>
      <c r="T31" s="3047"/>
      <c r="U31" s="3047"/>
      <c r="V31" s="3047"/>
      <c r="W31" s="3047"/>
      <c r="X31" s="1623"/>
      <c r="Y31" s="1623"/>
      <c r="Z31" s="1623"/>
      <c r="AA31" s="1623"/>
      <c r="AB31" s="1623"/>
      <c r="AC31" s="1623"/>
      <c r="AD31" s="1623"/>
      <c r="AE31" s="1623"/>
      <c r="AF31" s="1623"/>
    </row>
    <row r="32" spans="1:35" ht="24">
      <c r="A32" s="2243"/>
      <c r="B32" s="2256"/>
      <c r="C32" s="1811" t="s">
        <v>2617</v>
      </c>
      <c r="D32" s="1808" t="s">
        <v>2618</v>
      </c>
      <c r="E32" s="1808" t="s">
        <v>2619</v>
      </c>
      <c r="F32" s="50" t="s">
        <v>2627</v>
      </c>
      <c r="G32" s="2217" t="s">
        <v>2617</v>
      </c>
      <c r="H32" s="2217" t="s">
        <v>2618</v>
      </c>
      <c r="I32" s="2217" t="s">
        <v>2619</v>
      </c>
      <c r="J32" s="2069"/>
      <c r="K32" s="3047"/>
      <c r="L32" s="3047"/>
      <c r="M32" s="3047"/>
      <c r="N32" s="3047"/>
      <c r="O32" s="3047"/>
      <c r="P32" s="3047"/>
      <c r="Q32" s="3047"/>
      <c r="R32" s="3047"/>
      <c r="S32" s="3047"/>
      <c r="T32" s="3047"/>
      <c r="U32" s="3047"/>
      <c r="V32" s="3047"/>
      <c r="W32" s="3047"/>
      <c r="X32" s="1623"/>
      <c r="Y32" s="1623"/>
      <c r="Z32" s="1623"/>
      <c r="AA32" s="1623"/>
      <c r="AB32" s="1623"/>
      <c r="AC32" s="1623"/>
      <c r="AD32" s="1623"/>
      <c r="AE32" s="1623"/>
      <c r="AF32" s="1623"/>
    </row>
    <row r="33" spans="1:33">
      <c r="A33" s="3413" t="s">
        <v>2628</v>
      </c>
      <c r="B33" s="2257" t="s">
        <v>2629</v>
      </c>
      <c r="C33" s="54">
        <f>ROUND(D5*C19*C20*C24*F33,0)</f>
        <v>19010</v>
      </c>
      <c r="D33" s="2244"/>
      <c r="E33" s="50">
        <f t="shared" ref="E33:E39" si="6">ROUND(C33*D33,0)</f>
        <v>0</v>
      </c>
      <c r="F33" s="50">
        <f>SUMIF(修正!A45:A56,G2,修正!B45:B56)</f>
        <v>0.7</v>
      </c>
      <c r="G33" s="50">
        <f t="shared" ref="G33" si="7">ROUND(IF(E2="工业",C33*$M$39,C33*$M$38),0)</f>
        <v>4753</v>
      </c>
      <c r="H33" s="50">
        <f>D33</f>
        <v>0</v>
      </c>
      <c r="I33" s="50">
        <f t="shared" ref="I33:I39" si="8">ROUND(G33*H33,0)</f>
        <v>0</v>
      </c>
      <c r="J33" s="2231"/>
      <c r="K33" s="3047"/>
      <c r="L33" s="3047"/>
      <c r="M33" s="3047"/>
      <c r="N33" s="3047"/>
      <c r="O33" s="3047"/>
      <c r="P33" s="3047"/>
      <c r="Q33" s="3047"/>
      <c r="R33" s="3047"/>
      <c r="S33" s="3047"/>
      <c r="T33" s="3047"/>
      <c r="U33" s="3047"/>
      <c r="V33" s="3047"/>
      <c r="W33" s="3047"/>
      <c r="X33" s="1623"/>
      <c r="Y33" s="1623"/>
      <c r="Z33" s="1623"/>
      <c r="AA33" s="1623"/>
      <c r="AB33" s="1623"/>
      <c r="AC33" s="1623"/>
      <c r="AD33" s="1623"/>
      <c r="AE33" s="1623"/>
      <c r="AF33" s="1623"/>
    </row>
    <row r="34" spans="1:33">
      <c r="A34" s="3414"/>
      <c r="B34" s="2162" t="s">
        <v>2630</v>
      </c>
      <c r="C34" s="54">
        <f>ROUND(D5*C19*C20*C24*F34,0)</f>
        <v>10863</v>
      </c>
      <c r="D34" s="2244"/>
      <c r="E34" s="50">
        <f t="shared" si="6"/>
        <v>0</v>
      </c>
      <c r="F34" s="50">
        <f>SUMIF(修正!A45:A56,G2,修正!C45:C56)</f>
        <v>0.4</v>
      </c>
      <c r="G34" s="50">
        <f>ROUND(IF(E2="工业",C34*$M$39,C34*$M$38),0)</f>
        <v>2716</v>
      </c>
      <c r="H34" s="50">
        <f t="shared" ref="H34:H39" si="9">D34</f>
        <v>0</v>
      </c>
      <c r="I34" s="50">
        <f t="shared" si="8"/>
        <v>0</v>
      </c>
      <c r="J34" s="2231"/>
      <c r="K34" s="3047"/>
      <c r="L34" s="3047"/>
      <c r="M34" s="3047"/>
      <c r="N34" s="3047"/>
      <c r="O34" s="3047"/>
      <c r="P34" s="3047"/>
      <c r="Q34" s="3047"/>
      <c r="R34" s="3047"/>
      <c r="S34" s="3047"/>
      <c r="T34" s="3047"/>
      <c r="U34" s="3047"/>
      <c r="V34" s="3047"/>
      <c r="W34" s="3047"/>
      <c r="X34" s="1623"/>
      <c r="Y34" s="1623"/>
      <c r="Z34" s="1623"/>
      <c r="AA34" s="1623"/>
      <c r="AB34" s="1623"/>
      <c r="AC34" s="1623"/>
      <c r="AD34" s="1623"/>
      <c r="AE34" s="1623"/>
      <c r="AF34" s="1623"/>
    </row>
    <row r="35" spans="1:33">
      <c r="A35" s="3414"/>
      <c r="B35" s="2162" t="s">
        <v>2631</v>
      </c>
      <c r="C35" s="54">
        <f>ROUND(D5*C19*C20*C24*F35,0)</f>
        <v>7604</v>
      </c>
      <c r="D35" s="2244"/>
      <c r="E35" s="50">
        <f t="shared" si="6"/>
        <v>0</v>
      </c>
      <c r="F35" s="50">
        <f>SUMIF(修正!A45:A56,G2,修正!D45:D56)</f>
        <v>0.28000000000000003</v>
      </c>
      <c r="G35" s="50">
        <f>ROUND(IF(E2="工业",C35*$M$39,C35*$M$38),0)</f>
        <v>1901</v>
      </c>
      <c r="H35" s="50">
        <f t="shared" si="9"/>
        <v>0</v>
      </c>
      <c r="I35" s="50">
        <f t="shared" si="8"/>
        <v>0</v>
      </c>
      <c r="J35" s="2231"/>
      <c r="K35" s="3047"/>
      <c r="L35" s="3047"/>
      <c r="M35" s="3047"/>
      <c r="N35" s="3047"/>
      <c r="O35" s="3047"/>
      <c r="P35" s="3047"/>
      <c r="Q35" s="3047"/>
      <c r="R35" s="3047"/>
      <c r="S35" s="3047"/>
      <c r="T35" s="3047"/>
      <c r="U35" s="3047"/>
      <c r="V35" s="3047"/>
      <c r="W35" s="3047"/>
      <c r="X35" s="1623"/>
      <c r="Y35" s="1623"/>
      <c r="Z35" s="1623"/>
      <c r="AA35" s="1623"/>
      <c r="AB35" s="1623"/>
      <c r="AC35" s="1623"/>
      <c r="AD35" s="1623"/>
      <c r="AE35" s="1623"/>
      <c r="AF35" s="1623"/>
    </row>
    <row r="36" spans="1:33" ht="13.5" thickBot="1">
      <c r="A36" s="3415"/>
      <c r="B36" s="2162" t="s">
        <v>2632</v>
      </c>
      <c r="C36" s="54">
        <f>ROUND(D5*C19*C20*C24*F36,0)</f>
        <v>6789</v>
      </c>
      <c r="D36" s="2244"/>
      <c r="E36" s="50">
        <f t="shared" si="6"/>
        <v>0</v>
      </c>
      <c r="F36" s="50">
        <f>SUMIF(修正!A45:A56,G2,修正!E45:E56)</f>
        <v>0.25</v>
      </c>
      <c r="G36" s="50">
        <f>ROUND(IF(E2="工业",C36*$M$39,C36*$M$38),0)</f>
        <v>1697</v>
      </c>
      <c r="H36" s="50">
        <f t="shared" si="9"/>
        <v>0</v>
      </c>
      <c r="I36" s="50">
        <f t="shared" si="8"/>
        <v>0</v>
      </c>
      <c r="J36" s="2231"/>
      <c r="K36" s="3047"/>
      <c r="L36" s="3047"/>
      <c r="M36" s="3047"/>
      <c r="N36" s="3047"/>
      <c r="O36" s="3047"/>
      <c r="P36" s="3047"/>
      <c r="Q36" s="3047"/>
      <c r="R36" s="3047"/>
      <c r="S36" s="3047"/>
      <c r="T36" s="3047"/>
      <c r="U36" s="3047"/>
      <c r="V36" s="3047"/>
      <c r="W36" s="3047"/>
      <c r="X36" s="1623"/>
      <c r="Y36" s="1623"/>
      <c r="Z36" s="1623"/>
      <c r="AA36" s="1623"/>
      <c r="AB36" s="1623"/>
      <c r="AC36" s="1623"/>
      <c r="AD36" s="1623"/>
      <c r="AE36" s="1623"/>
      <c r="AF36" s="1623"/>
    </row>
    <row r="37" spans="1:33">
      <c r="A37" s="2258"/>
      <c r="B37" s="2162" t="s">
        <v>2633</v>
      </c>
      <c r="C37" s="50">
        <f>ROUND(D5*C19*C20*C24*F37,0)</f>
        <v>6789</v>
      </c>
      <c r="D37" s="2244"/>
      <c r="E37" s="50">
        <f t="shared" si="6"/>
        <v>0</v>
      </c>
      <c r="F37" s="54">
        <f>SUMIF(修正!A45:A56,G2,修正!F45:F56)</f>
        <v>0.25</v>
      </c>
      <c r="G37" s="50">
        <f>ROUND(IF(E2="工业",C37*$M$39,C37*$M$38),0)</f>
        <v>1697</v>
      </c>
      <c r="H37" s="50">
        <f t="shared" si="9"/>
        <v>0</v>
      </c>
      <c r="I37" s="50">
        <f t="shared" si="8"/>
        <v>0</v>
      </c>
      <c r="J37" s="2231"/>
      <c r="K37" s="3047"/>
      <c r="L37" s="2259" t="s">
        <v>2634</v>
      </c>
      <c r="M37" s="2135"/>
      <c r="N37" s="3047"/>
      <c r="O37" s="3047"/>
      <c r="P37" s="3047"/>
      <c r="Q37" s="3047"/>
      <c r="R37" s="3047"/>
      <c r="S37" s="3047"/>
      <c r="T37" s="3047"/>
      <c r="U37" s="3047"/>
      <c r="V37" s="3047"/>
      <c r="W37" s="3047"/>
      <c r="X37" s="1623"/>
      <c r="Y37" s="1623"/>
      <c r="Z37" s="1623"/>
      <c r="AA37" s="1623"/>
      <c r="AB37" s="1623"/>
      <c r="AC37" s="1623"/>
      <c r="AD37" s="1623"/>
      <c r="AE37" s="1623"/>
      <c r="AF37" s="1623"/>
    </row>
    <row r="38" spans="1:33">
      <c r="A38" s="2258"/>
      <c r="B38" s="2162" t="s">
        <v>2635</v>
      </c>
      <c r="C38" s="50">
        <f>ROUND(D5*C19*C41*C24*F38,0)</f>
        <v>0</v>
      </c>
      <c r="D38" s="2244"/>
      <c r="E38" s="50">
        <f t="shared" si="6"/>
        <v>0</v>
      </c>
      <c r="F38" s="54">
        <f>SUMIF(修正!A45:A56,G2,修正!G45:G56)</f>
        <v>0.25</v>
      </c>
      <c r="G38" s="50">
        <f>ROUND(IF(E2="工业",C38*$M$39,C38*$M$38),0)</f>
        <v>0</v>
      </c>
      <c r="H38" s="50">
        <f t="shared" si="9"/>
        <v>0</v>
      </c>
      <c r="I38" s="50">
        <f t="shared" si="8"/>
        <v>0</v>
      </c>
      <c r="J38" s="2231"/>
      <c r="K38" s="3047"/>
      <c r="L38" s="2260" t="s">
        <v>2636</v>
      </c>
      <c r="M38" s="2261">
        <v>0.25</v>
      </c>
      <c r="N38" s="3047"/>
      <c r="O38" s="3047"/>
      <c r="P38" s="3047"/>
      <c r="Q38" s="3047"/>
      <c r="R38" s="3047"/>
      <c r="S38" s="3047"/>
      <c r="T38" s="3047"/>
      <c r="U38" s="3047"/>
      <c r="V38" s="3047"/>
      <c r="W38" s="3047"/>
      <c r="X38" s="1623"/>
      <c r="Y38" s="1623"/>
      <c r="Z38" s="1623"/>
      <c r="AA38" s="1623"/>
      <c r="AB38" s="1623"/>
      <c r="AC38" s="1623"/>
      <c r="AD38" s="1623"/>
      <c r="AE38" s="1623"/>
      <c r="AF38" s="1623"/>
    </row>
    <row r="39" spans="1:33" ht="13.5" thickBot="1">
      <c r="A39" s="2248"/>
      <c r="B39" s="2262" t="s">
        <v>2637</v>
      </c>
      <c r="C39" s="2172">
        <f>ROUND(D5*C19*C41*C24*F39,0)</f>
        <v>0</v>
      </c>
      <c r="D39" s="2249"/>
      <c r="E39" s="2172">
        <f t="shared" si="6"/>
        <v>0</v>
      </c>
      <c r="F39" s="56">
        <f>SUMIF(修正!A45:A56,G2,修正!H45:H56)</f>
        <v>0.2</v>
      </c>
      <c r="G39" s="2172">
        <f>ROUND(IF(E2="工业",C39*$M$39,C39*$M$38),0)</f>
        <v>0</v>
      </c>
      <c r="H39" s="2172">
        <f t="shared" si="9"/>
        <v>0</v>
      </c>
      <c r="I39" s="2172">
        <f t="shared" si="8"/>
        <v>0</v>
      </c>
      <c r="J39" s="2235"/>
      <c r="K39" s="3047"/>
      <c r="L39" s="2263" t="s">
        <v>2577</v>
      </c>
      <c r="M39" s="2264">
        <v>0.15</v>
      </c>
      <c r="N39" s="3047"/>
      <c r="O39" s="3047"/>
      <c r="P39" s="3047"/>
      <c r="Q39" s="3047"/>
      <c r="R39" s="3047"/>
      <c r="S39" s="3047"/>
      <c r="T39" s="3047"/>
      <c r="U39" s="3047"/>
      <c r="V39" s="3047"/>
      <c r="W39" s="3047"/>
      <c r="X39" s="1623"/>
      <c r="Y39" s="1623"/>
      <c r="Z39" s="1623"/>
      <c r="AA39" s="1623"/>
      <c r="AB39" s="1623"/>
      <c r="AC39" s="1623"/>
      <c r="AD39" s="1623"/>
      <c r="AE39" s="1623"/>
      <c r="AF39" s="1623"/>
    </row>
    <row r="40" spans="1:33" s="2265" customFormat="1">
      <c r="A40" s="1623"/>
      <c r="B40" s="1623"/>
      <c r="C40" s="1623"/>
      <c r="D40" s="1623"/>
      <c r="E40" s="1623"/>
      <c r="F40" s="1623"/>
      <c r="G40" s="1623"/>
      <c r="H40" s="1623"/>
      <c r="I40" s="1623"/>
      <c r="J40" s="1623"/>
      <c r="K40" s="3047"/>
      <c r="L40" s="3047"/>
      <c r="M40" s="3047"/>
      <c r="N40" s="3047"/>
      <c r="O40" s="3047"/>
      <c r="P40" s="3047"/>
      <c r="Q40" s="3047"/>
      <c r="R40" s="3047"/>
      <c r="S40" s="3047"/>
      <c r="T40" s="3047"/>
      <c r="U40" s="3047"/>
      <c r="V40" s="3047"/>
      <c r="W40" s="3047"/>
      <c r="X40" s="1623"/>
      <c r="Y40" s="1623"/>
      <c r="Z40" s="1623"/>
      <c r="AA40" s="1623"/>
      <c r="AB40" s="1623"/>
      <c r="AC40" s="1623"/>
      <c r="AD40" s="1623"/>
      <c r="AE40" s="1623"/>
      <c r="AF40" s="1623"/>
    </row>
    <row r="41" spans="1:33" s="2265" customFormat="1">
      <c r="A41" s="1623"/>
      <c r="B41" s="2266" t="s">
        <v>2717</v>
      </c>
      <c r="C41" s="50">
        <f>ROUND(POWER(1+E41,H41-G41)*(POWER(1+E41,G41)-1)/(POWER(1+E41,H41)-1),4)</f>
        <v>0</v>
      </c>
      <c r="D41" s="50" t="s">
        <v>2715</v>
      </c>
      <c r="E41" s="2267">
        <f>G20</f>
        <v>5.1999999999999998E-2</v>
      </c>
      <c r="F41" s="50" t="s">
        <v>2716</v>
      </c>
      <c r="G41" s="2268"/>
      <c r="H41" s="50">
        <v>50</v>
      </c>
      <c r="I41" s="1623"/>
      <c r="J41" s="1623"/>
      <c r="K41" s="3047"/>
      <c r="L41" s="3047"/>
      <c r="M41" s="3047"/>
      <c r="N41" s="3047"/>
      <c r="O41" s="3047"/>
      <c r="P41" s="3047"/>
      <c r="Q41" s="3047"/>
      <c r="R41" s="3047"/>
      <c r="S41" s="3047"/>
      <c r="T41" s="3047"/>
      <c r="U41" s="3047"/>
      <c r="V41" s="3047"/>
      <c r="W41" s="3047"/>
      <c r="X41" s="1623"/>
      <c r="Y41" s="1623"/>
      <c r="Z41" s="1623"/>
      <c r="AA41" s="1623"/>
      <c r="AB41" s="1623"/>
      <c r="AC41" s="1623"/>
      <c r="AD41" s="1623"/>
      <c r="AE41" s="1623"/>
      <c r="AF41" s="1623"/>
    </row>
    <row r="42" spans="1:33" s="2265" customFormat="1">
      <c r="A42" s="3047"/>
      <c r="B42" s="3047"/>
      <c r="C42" s="3047"/>
      <c r="D42" s="3047"/>
      <c r="E42" s="3047"/>
      <c r="F42" s="3047"/>
      <c r="G42" s="3047"/>
      <c r="H42" s="3047"/>
      <c r="I42" s="3047"/>
      <c r="J42" s="3047"/>
      <c r="K42" s="3047"/>
      <c r="L42" s="3047"/>
      <c r="M42" s="3047"/>
      <c r="N42" s="3047"/>
      <c r="O42" s="3047"/>
      <c r="P42" s="3047"/>
      <c r="Q42" s="3047"/>
      <c r="R42" s="3047"/>
      <c r="S42" s="3047"/>
      <c r="T42" s="3047"/>
      <c r="U42" s="3047"/>
      <c r="V42" s="3047"/>
      <c r="W42" s="3047"/>
      <c r="X42" s="1623"/>
      <c r="Y42" s="1623"/>
      <c r="Z42" s="1623"/>
      <c r="AA42" s="1623"/>
      <c r="AB42" s="1623"/>
      <c r="AC42" s="1623"/>
      <c r="AD42" s="1623"/>
      <c r="AE42" s="1623"/>
      <c r="AF42" s="1623"/>
    </row>
    <row r="43" spans="1:33" s="2265" customFormat="1">
      <c r="A43" s="3047"/>
      <c r="B43" s="3047"/>
      <c r="C43" s="3047"/>
      <c r="D43" s="3047"/>
      <c r="E43" s="3047"/>
      <c r="F43" s="3047"/>
      <c r="G43" s="3047"/>
      <c r="H43" s="3047"/>
      <c r="I43" s="3047"/>
      <c r="J43" s="3047"/>
      <c r="K43" s="3047"/>
      <c r="L43" s="3047"/>
      <c r="M43" s="3047"/>
      <c r="N43" s="3047"/>
      <c r="O43" s="3047"/>
      <c r="P43" s="3047"/>
      <c r="Q43" s="3047"/>
      <c r="R43" s="3047"/>
      <c r="S43" s="3047"/>
      <c r="T43" s="3047"/>
      <c r="U43" s="3047"/>
      <c r="V43" s="3047"/>
      <c r="W43" s="3047"/>
      <c r="X43" s="1623"/>
      <c r="Y43" s="1623"/>
      <c r="Z43" s="1623"/>
      <c r="AA43" s="1623"/>
      <c r="AB43" s="1623"/>
      <c r="AC43" s="1623"/>
      <c r="AD43" s="1623"/>
      <c r="AE43" s="1623"/>
      <c r="AF43" s="1623"/>
    </row>
    <row r="44" spans="1:33" s="2265" customFormat="1">
      <c r="A44" s="3047"/>
      <c r="B44" s="3047"/>
      <c r="C44" s="3047"/>
      <c r="D44" s="3047"/>
      <c r="E44" s="3047"/>
      <c r="F44" s="3047"/>
      <c r="G44" s="3047"/>
      <c r="H44" s="3047"/>
      <c r="I44" s="3047"/>
      <c r="J44" s="3047"/>
      <c r="K44" s="3047"/>
      <c r="L44" s="3047"/>
      <c r="M44" s="3047"/>
      <c r="N44" s="3047"/>
      <c r="O44" s="3047"/>
      <c r="P44" s="3047"/>
      <c r="Q44" s="3047"/>
      <c r="R44" s="3047"/>
      <c r="S44" s="3047"/>
      <c r="T44" s="3047"/>
      <c r="U44" s="3047"/>
      <c r="V44" s="3047"/>
      <c r="W44" s="3047"/>
      <c r="X44" s="1623"/>
      <c r="Y44" s="1623"/>
      <c r="Z44" s="1623"/>
      <c r="AA44" s="1623"/>
      <c r="AB44" s="1623"/>
      <c r="AC44" s="1623"/>
      <c r="AD44" s="1623"/>
      <c r="AE44" s="1623"/>
      <c r="AF44" s="1623"/>
    </row>
    <row r="45" spans="1:33" s="2265" customFormat="1" ht="15.75" thickBot="1">
      <c r="A45" s="2269" t="s">
        <v>2638</v>
      </c>
      <c r="B45" s="2270"/>
      <c r="C45" s="608"/>
      <c r="D45" s="608"/>
      <c r="E45" s="608"/>
      <c r="F45" s="608"/>
      <c r="G45" s="608"/>
      <c r="H45" s="608"/>
      <c r="I45" s="608"/>
      <c r="J45" s="608"/>
      <c r="K45" s="608"/>
      <c r="L45" s="608"/>
      <c r="M45" s="608"/>
      <c r="N45" s="2100"/>
      <c r="O45" s="1623"/>
      <c r="P45" s="1623"/>
      <c r="Q45" s="3047"/>
      <c r="R45" s="3047"/>
      <c r="S45" s="3047"/>
      <c r="T45" s="3047"/>
      <c r="U45" s="3047"/>
      <c r="V45" s="3047"/>
      <c r="W45" s="3047"/>
      <c r="X45" s="1623"/>
      <c r="Y45" s="1623"/>
      <c r="Z45" s="1623"/>
      <c r="AA45" s="1623"/>
      <c r="AB45" s="1623"/>
      <c r="AC45" s="1623"/>
      <c r="AD45" s="1623"/>
      <c r="AE45" s="1623"/>
      <c r="AF45" s="1623"/>
    </row>
    <row r="46" spans="1:33" s="2265" customFormat="1" ht="15">
      <c r="A46" s="2271" t="s">
        <v>2639</v>
      </c>
      <c r="B46" s="2272">
        <f>1+E48</f>
        <v>1</v>
      </c>
      <c r="C46" s="2273"/>
      <c r="D46" s="2274"/>
      <c r="E46" s="2275"/>
      <c r="F46" s="2276"/>
      <c r="G46" s="608"/>
      <c r="H46" s="608"/>
      <c r="I46" s="608"/>
      <c r="J46" s="608"/>
      <c r="K46" s="608"/>
      <c r="L46" s="608"/>
      <c r="M46" s="2100"/>
      <c r="N46" s="2277"/>
      <c r="O46" s="1623"/>
      <c r="P46" s="1623"/>
      <c r="Q46" s="3047"/>
      <c r="R46" s="3047"/>
      <c r="S46" s="3047"/>
      <c r="T46" s="3047"/>
      <c r="U46" s="3047"/>
      <c r="V46" s="3047"/>
      <c r="W46" s="3047"/>
      <c r="X46" s="1623"/>
      <c r="Y46" s="1623"/>
      <c r="Z46" s="1623"/>
      <c r="AA46" s="1623"/>
      <c r="AB46" s="1623"/>
      <c r="AC46" s="1623"/>
      <c r="AD46" s="1623"/>
      <c r="AE46" s="1623"/>
    </row>
    <row r="47" spans="1:33" s="2265" customFormat="1" ht="24.75">
      <c r="A47" s="2278" t="s">
        <v>2640</v>
      </c>
      <c r="B47" s="2279" t="s">
        <v>2641</v>
      </c>
      <c r="C47" s="2279" t="s">
        <v>2642</v>
      </c>
      <c r="D47" s="2279" t="s">
        <v>2643</v>
      </c>
      <c r="E47" s="2280" t="s">
        <v>2644</v>
      </c>
      <c r="F47" s="2230" t="s">
        <v>2645</v>
      </c>
      <c r="G47" s="2279" t="s">
        <v>2646</v>
      </c>
      <c r="H47" s="2281" t="s">
        <v>2647</v>
      </c>
      <c r="I47" s="2279" t="s">
        <v>2648</v>
      </c>
      <c r="J47" s="1906" t="s">
        <v>2649</v>
      </c>
      <c r="K47" s="1906" t="s">
        <v>2650</v>
      </c>
      <c r="L47" s="1906" t="s">
        <v>2651</v>
      </c>
      <c r="M47" s="1906" t="s">
        <v>2652</v>
      </c>
      <c r="N47" s="1906" t="s">
        <v>2653</v>
      </c>
      <c r="O47" s="1623"/>
      <c r="P47" s="1623"/>
      <c r="Q47" s="3047"/>
      <c r="R47" s="3047"/>
      <c r="S47" s="3047"/>
      <c r="T47" s="3047"/>
      <c r="U47" s="3047"/>
      <c r="V47" s="3047"/>
      <c r="W47" s="3047"/>
      <c r="X47" s="1623"/>
      <c r="Y47" s="1623"/>
      <c r="Z47" s="1623"/>
      <c r="AA47" s="1623"/>
      <c r="AB47" s="1623"/>
      <c r="AC47" s="1623"/>
      <c r="AD47" s="1623"/>
      <c r="AE47" s="1623"/>
      <c r="AF47" s="1623"/>
      <c r="AG47" s="1623"/>
    </row>
    <row r="48" spans="1:33" s="2265" customFormat="1" ht="38.25">
      <c r="A48" s="2278" t="s">
        <v>2654</v>
      </c>
      <c r="B48" s="2282" t="str">
        <f>估价对象房地状况!C16</f>
        <v>估价对象位于XX商圈，周边商业氛围成熟，人流量大，商业繁华度好</v>
      </c>
      <c r="C48" s="2166"/>
      <c r="D48" s="2283">
        <f t="shared" ref="D48:D56" si="10">SUMIF($J$47:$N$47,C48,J48:N48)</f>
        <v>0</v>
      </c>
      <c r="E48" s="2284">
        <f>ROUND(SUM(D48:D56),4)</f>
        <v>0</v>
      </c>
      <c r="F48" s="2285" t="str">
        <f>IF(E2="商业",SUMIF(L1:L12,G2,N1:N12),"——")</f>
        <v>——</v>
      </c>
      <c r="G48" s="2286"/>
      <c r="H48" s="2287" t="str">
        <f t="shared" ref="H48:H56" si="11">IFERROR(ROUNDDOWN($F$48*I48/2,4),"——")</f>
        <v>——</v>
      </c>
      <c r="I48" s="2288">
        <v>0.33</v>
      </c>
      <c r="J48" s="2289">
        <f t="shared" ref="J48:J56" si="12">K48+$G48</f>
        <v>0</v>
      </c>
      <c r="K48" s="2289">
        <f t="shared" ref="K48:K56" si="13">$L48+$G48</f>
        <v>0</v>
      </c>
      <c r="L48" s="2289">
        <v>0</v>
      </c>
      <c r="M48" s="2289">
        <f t="shared" ref="M48:N56" si="14">L48-$G48</f>
        <v>0</v>
      </c>
      <c r="N48" s="2289">
        <f t="shared" si="14"/>
        <v>0</v>
      </c>
      <c r="O48" s="1623"/>
      <c r="P48" s="1623"/>
      <c r="Q48" s="3047"/>
      <c r="R48" s="3047"/>
      <c r="S48" s="3047"/>
      <c r="T48" s="3047"/>
      <c r="U48" s="3047"/>
      <c r="V48" s="3047"/>
      <c r="W48" s="3047"/>
      <c r="X48" s="1623"/>
      <c r="Y48" s="1623"/>
      <c r="Z48" s="1623"/>
      <c r="AA48" s="1623"/>
      <c r="AB48" s="1623"/>
      <c r="AC48" s="1623"/>
      <c r="AD48" s="1623"/>
      <c r="AE48" s="1623"/>
      <c r="AF48" s="1623"/>
      <c r="AG48" s="1623"/>
    </row>
    <row r="49" spans="1:33" s="2265" customFormat="1" ht="51">
      <c r="A49" s="2278" t="s">
        <v>2655</v>
      </c>
      <c r="B49" s="2290" t="str">
        <f>估价对象房地状况!C18</f>
        <v>估价对象周边道路状况、公共交通通达情况、停车便捷程度，综合评价交通便捷度较好</v>
      </c>
      <c r="C49" s="2166"/>
      <c r="D49" s="2283">
        <f t="shared" si="10"/>
        <v>0</v>
      </c>
      <c r="E49" s="2291"/>
      <c r="F49" s="2285"/>
      <c r="G49" s="2286"/>
      <c r="H49" s="2287" t="str">
        <f t="shared" si="11"/>
        <v>——</v>
      </c>
      <c r="I49" s="2288">
        <v>0.25</v>
      </c>
      <c r="J49" s="2289">
        <f t="shared" si="12"/>
        <v>0</v>
      </c>
      <c r="K49" s="2289">
        <f t="shared" si="13"/>
        <v>0</v>
      </c>
      <c r="L49" s="2289">
        <v>0</v>
      </c>
      <c r="M49" s="2289">
        <f t="shared" si="14"/>
        <v>0</v>
      </c>
      <c r="N49" s="2289">
        <f t="shared" si="14"/>
        <v>0</v>
      </c>
      <c r="O49" s="1623"/>
      <c r="P49" s="1623"/>
      <c r="Q49" s="3047"/>
      <c r="R49" s="3047"/>
      <c r="S49" s="3047"/>
      <c r="T49" s="3047"/>
      <c r="U49" s="3047"/>
      <c r="V49" s="3047"/>
      <c r="W49" s="3047"/>
      <c r="X49" s="1623"/>
      <c r="Y49" s="1623"/>
      <c r="Z49" s="1623"/>
      <c r="AA49" s="1623"/>
      <c r="AB49" s="1623"/>
      <c r="AC49" s="1623"/>
      <c r="AD49" s="1623"/>
      <c r="AE49" s="1623"/>
      <c r="AF49" s="1623"/>
      <c r="AG49" s="1623"/>
    </row>
    <row r="50" spans="1:33" s="2265" customFormat="1" ht="24">
      <c r="A50" s="2278" t="s">
        <v>2656</v>
      </c>
      <c r="B50" s="2290">
        <f>估价对象房地状况!C19</f>
        <v>0</v>
      </c>
      <c r="C50" s="2166"/>
      <c r="D50" s="2283">
        <f t="shared" si="10"/>
        <v>0</v>
      </c>
      <c r="E50" s="2291"/>
      <c r="F50" s="2285"/>
      <c r="G50" s="2286"/>
      <c r="H50" s="2287" t="str">
        <f t="shared" si="11"/>
        <v>——</v>
      </c>
      <c r="I50" s="2288">
        <v>0.05</v>
      </c>
      <c r="J50" s="2289">
        <f t="shared" si="12"/>
        <v>0</v>
      </c>
      <c r="K50" s="2289">
        <f t="shared" si="13"/>
        <v>0</v>
      </c>
      <c r="L50" s="2289">
        <v>0</v>
      </c>
      <c r="M50" s="2289">
        <f t="shared" si="14"/>
        <v>0</v>
      </c>
      <c r="N50" s="2289">
        <f t="shared" si="14"/>
        <v>0</v>
      </c>
      <c r="O50" s="1623"/>
      <c r="P50" s="1623"/>
      <c r="Q50" s="3047"/>
      <c r="R50" s="3047"/>
      <c r="S50" s="3047"/>
      <c r="T50" s="3047"/>
      <c r="U50" s="3047"/>
      <c r="V50" s="3047"/>
      <c r="W50" s="3047"/>
      <c r="X50" s="1623"/>
      <c r="Y50" s="1623"/>
      <c r="Z50" s="1623"/>
      <c r="AA50" s="1623"/>
      <c r="AB50" s="1623"/>
      <c r="AC50" s="1623"/>
      <c r="AD50" s="1623"/>
      <c r="AE50" s="1623"/>
      <c r="AF50" s="1623"/>
      <c r="AG50" s="1623"/>
    </row>
    <row r="51" spans="1:33" s="2265" customFormat="1" ht="36.75">
      <c r="A51" s="2278" t="s">
        <v>2657</v>
      </c>
      <c r="B51" s="2292" t="s">
        <v>2658</v>
      </c>
      <c r="C51" s="2166"/>
      <c r="D51" s="2283">
        <f t="shared" si="10"/>
        <v>0</v>
      </c>
      <c r="E51" s="2291"/>
      <c r="F51" s="2285"/>
      <c r="G51" s="2286"/>
      <c r="H51" s="2287" t="str">
        <f t="shared" si="11"/>
        <v>——</v>
      </c>
      <c r="I51" s="2288">
        <v>0.05</v>
      </c>
      <c r="J51" s="2289">
        <f t="shared" si="12"/>
        <v>0</v>
      </c>
      <c r="K51" s="2289">
        <f t="shared" si="13"/>
        <v>0</v>
      </c>
      <c r="L51" s="2289">
        <v>0</v>
      </c>
      <c r="M51" s="2289">
        <f t="shared" si="14"/>
        <v>0</v>
      </c>
      <c r="N51" s="2289">
        <f t="shared" si="14"/>
        <v>0</v>
      </c>
      <c r="O51" s="1623"/>
      <c r="P51" s="1623"/>
      <c r="Q51" s="3047"/>
      <c r="R51" s="3047"/>
      <c r="S51" s="3047"/>
      <c r="T51" s="3047"/>
      <c r="U51" s="3047"/>
      <c r="V51" s="3047"/>
      <c r="W51" s="3047"/>
      <c r="X51" s="1623"/>
      <c r="Y51" s="1623"/>
      <c r="Z51" s="1623"/>
      <c r="AA51" s="1623"/>
      <c r="AB51" s="1623"/>
      <c r="AC51" s="1623"/>
      <c r="AD51" s="1623"/>
      <c r="AE51" s="1623"/>
      <c r="AF51" s="1623"/>
      <c r="AG51" s="1623"/>
    </row>
    <row r="52" spans="1:33" s="2265" customFormat="1" ht="24">
      <c r="A52" s="2278" t="s">
        <v>2659</v>
      </c>
      <c r="B52" s="2290">
        <f>估价对象房地状况!C24</f>
        <v>0</v>
      </c>
      <c r="C52" s="2166"/>
      <c r="D52" s="2283">
        <f t="shared" si="10"/>
        <v>0</v>
      </c>
      <c r="E52" s="2291"/>
      <c r="F52" s="2285"/>
      <c r="G52" s="2286"/>
      <c r="H52" s="2287" t="str">
        <f t="shared" si="11"/>
        <v>——</v>
      </c>
      <c r="I52" s="2288">
        <v>0.08</v>
      </c>
      <c r="J52" s="2289">
        <f t="shared" si="12"/>
        <v>0</v>
      </c>
      <c r="K52" s="2289">
        <f t="shared" si="13"/>
        <v>0</v>
      </c>
      <c r="L52" s="2289">
        <v>0</v>
      </c>
      <c r="M52" s="2289">
        <f t="shared" si="14"/>
        <v>0</v>
      </c>
      <c r="N52" s="2289">
        <f t="shared" si="14"/>
        <v>0</v>
      </c>
      <c r="O52" s="1623"/>
      <c r="P52" s="1623"/>
      <c r="Q52" s="3047"/>
      <c r="R52" s="3047"/>
      <c r="S52" s="3047"/>
      <c r="T52" s="3047"/>
      <c r="U52" s="3047"/>
      <c r="V52" s="3047"/>
      <c r="W52" s="3047"/>
      <c r="X52" s="1623"/>
      <c r="Y52" s="1623"/>
      <c r="Z52" s="1623"/>
      <c r="AA52" s="1623"/>
      <c r="AB52" s="1623"/>
      <c r="AC52" s="1623"/>
      <c r="AD52" s="1623"/>
      <c r="AE52" s="1623"/>
      <c r="AF52" s="1623"/>
      <c r="AG52" s="1623"/>
    </row>
    <row r="53" spans="1:33" s="2265" customFormat="1" ht="24">
      <c r="A53" s="2278" t="s">
        <v>2660</v>
      </c>
      <c r="B53" s="2293" t="s">
        <v>2661</v>
      </c>
      <c r="C53" s="2166"/>
      <c r="D53" s="2283">
        <f t="shared" si="10"/>
        <v>0</v>
      </c>
      <c r="E53" s="2291"/>
      <c r="F53" s="2285"/>
      <c r="G53" s="2286"/>
      <c r="H53" s="2287" t="str">
        <f t="shared" si="11"/>
        <v>——</v>
      </c>
      <c r="I53" s="2288">
        <v>0.03</v>
      </c>
      <c r="J53" s="2289">
        <f t="shared" si="12"/>
        <v>0</v>
      </c>
      <c r="K53" s="2289">
        <f t="shared" si="13"/>
        <v>0</v>
      </c>
      <c r="L53" s="2289">
        <v>0</v>
      </c>
      <c r="M53" s="2289">
        <f t="shared" si="14"/>
        <v>0</v>
      </c>
      <c r="N53" s="2289">
        <f t="shared" si="14"/>
        <v>0</v>
      </c>
      <c r="O53" s="1623"/>
      <c r="P53" s="1623"/>
      <c r="Q53" s="3047"/>
      <c r="R53" s="3047"/>
      <c r="S53" s="3047"/>
      <c r="T53" s="3047"/>
      <c r="U53" s="3047"/>
      <c r="V53" s="3047"/>
      <c r="W53" s="3047"/>
      <c r="X53" s="1623"/>
      <c r="Y53" s="1623"/>
      <c r="Z53" s="1623"/>
      <c r="AA53" s="1623"/>
      <c r="AB53" s="1623"/>
      <c r="AC53" s="1623"/>
      <c r="AD53" s="1623"/>
      <c r="AE53" s="1623"/>
      <c r="AF53" s="1623"/>
      <c r="AG53" s="1623"/>
    </row>
    <row r="54" spans="1:33" s="2265" customFormat="1" ht="25.5">
      <c r="A54" s="2294" t="s">
        <v>2662</v>
      </c>
      <c r="B54" s="2295" t="str">
        <f>估价对象房地状况!C21</f>
        <v>估价对象所在区域公共配套设施齐备情况</v>
      </c>
      <c r="C54" s="2166"/>
      <c r="D54" s="2283">
        <f t="shared" si="10"/>
        <v>0</v>
      </c>
      <c r="E54" s="2291"/>
      <c r="F54" s="2285"/>
      <c r="G54" s="2286"/>
      <c r="H54" s="2287" t="str">
        <f t="shared" si="11"/>
        <v>——</v>
      </c>
      <c r="I54" s="2288">
        <v>0.05</v>
      </c>
      <c r="J54" s="2289">
        <f t="shared" si="12"/>
        <v>0</v>
      </c>
      <c r="K54" s="2289">
        <f t="shared" si="13"/>
        <v>0</v>
      </c>
      <c r="L54" s="2289">
        <v>0</v>
      </c>
      <c r="M54" s="2289">
        <f t="shared" si="14"/>
        <v>0</v>
      </c>
      <c r="N54" s="2289">
        <f t="shared" si="14"/>
        <v>0</v>
      </c>
      <c r="O54" s="1623"/>
      <c r="P54" s="1623"/>
      <c r="Q54" s="3047"/>
      <c r="R54" s="3047"/>
      <c r="S54" s="3047"/>
      <c r="T54" s="3047"/>
      <c r="U54" s="3047"/>
      <c r="V54" s="3047"/>
      <c r="W54" s="3047"/>
      <c r="X54" s="1623"/>
      <c r="Y54" s="1623"/>
      <c r="Z54" s="1623"/>
      <c r="AA54" s="1623"/>
      <c r="AB54" s="1623"/>
      <c r="AC54" s="1623"/>
      <c r="AD54" s="1623"/>
      <c r="AE54" s="1623"/>
      <c r="AF54" s="1623"/>
      <c r="AG54" s="1623"/>
    </row>
    <row r="55" spans="1:33" s="2265" customFormat="1" ht="25.5">
      <c r="A55" s="2294" t="s">
        <v>2663</v>
      </c>
      <c r="B55" s="2290" t="str">
        <f>估价对象房地状况!C22</f>
        <v>估价对象所在区域基础设施水平</v>
      </c>
      <c r="C55" s="2166"/>
      <c r="D55" s="2283">
        <f t="shared" si="10"/>
        <v>0</v>
      </c>
      <c r="E55" s="2291"/>
      <c r="F55" s="2285"/>
      <c r="G55" s="2286"/>
      <c r="H55" s="2287" t="str">
        <f t="shared" si="11"/>
        <v>——</v>
      </c>
      <c r="I55" s="2288">
        <v>0.1</v>
      </c>
      <c r="J55" s="2289">
        <f t="shared" si="12"/>
        <v>0</v>
      </c>
      <c r="K55" s="2289">
        <f t="shared" si="13"/>
        <v>0</v>
      </c>
      <c r="L55" s="2289">
        <v>0</v>
      </c>
      <c r="M55" s="2289">
        <f t="shared" si="14"/>
        <v>0</v>
      </c>
      <c r="N55" s="2289">
        <f t="shared" si="14"/>
        <v>0</v>
      </c>
      <c r="O55" s="1623"/>
      <c r="P55" s="1623"/>
      <c r="Q55" s="3047"/>
      <c r="R55" s="3047"/>
      <c r="S55" s="3047"/>
      <c r="T55" s="3047"/>
      <c r="U55" s="3047"/>
      <c r="V55" s="3047"/>
      <c r="W55" s="3047"/>
      <c r="X55" s="1623"/>
      <c r="Y55" s="1623"/>
      <c r="Z55" s="1623"/>
      <c r="AA55" s="1623"/>
      <c r="AB55" s="1623"/>
      <c r="AC55" s="1623"/>
      <c r="AD55" s="1623"/>
      <c r="AE55" s="1623"/>
      <c r="AF55" s="1623"/>
      <c r="AG55" s="1623"/>
    </row>
    <row r="56" spans="1:33" s="2265" customFormat="1" ht="39" thickBot="1">
      <c r="A56" s="2296" t="s">
        <v>2664</v>
      </c>
      <c r="B56" s="2297" t="str">
        <f>估价对象房地状况!C20</f>
        <v>区域自然环境：；人文环境；综合评价环境状况一般</v>
      </c>
      <c r="C56" s="2166"/>
      <c r="D56" s="2283">
        <f t="shared" si="10"/>
        <v>0</v>
      </c>
      <c r="E56" s="2298"/>
      <c r="F56" s="2285"/>
      <c r="G56" s="2286"/>
      <c r="H56" s="2287" t="str">
        <f t="shared" si="11"/>
        <v>——</v>
      </c>
      <c r="I56" s="2299">
        <v>0.06</v>
      </c>
      <c r="J56" s="2289">
        <f t="shared" si="12"/>
        <v>0</v>
      </c>
      <c r="K56" s="2289">
        <f t="shared" si="13"/>
        <v>0</v>
      </c>
      <c r="L56" s="2289">
        <v>0</v>
      </c>
      <c r="M56" s="2289">
        <f t="shared" si="14"/>
        <v>0</v>
      </c>
      <c r="N56" s="2289">
        <f t="shared" si="14"/>
        <v>0</v>
      </c>
      <c r="O56" s="1623"/>
      <c r="P56" s="1623"/>
      <c r="Q56" s="3047"/>
      <c r="R56" s="3047"/>
      <c r="S56" s="3047"/>
      <c r="T56" s="3047"/>
      <c r="U56" s="3047"/>
      <c r="V56" s="3047"/>
      <c r="W56" s="3047"/>
      <c r="X56" s="1623"/>
      <c r="Y56" s="1623"/>
      <c r="Z56" s="1623"/>
      <c r="AA56" s="1623"/>
      <c r="AB56" s="1623"/>
      <c r="AC56" s="1623"/>
      <c r="AD56" s="1623"/>
      <c r="AE56" s="1623"/>
      <c r="AF56" s="1623"/>
      <c r="AG56" s="1623"/>
    </row>
    <row r="57" spans="1:33" s="2265" customFormat="1" ht="15">
      <c r="A57" s="2271" t="s">
        <v>2665</v>
      </c>
      <c r="B57" s="2300">
        <f>1+E59</f>
        <v>1.052</v>
      </c>
      <c r="C57" s="2274"/>
      <c r="D57" s="2274"/>
      <c r="E57" s="2275"/>
      <c r="F57" s="2276"/>
      <c r="G57" s="608"/>
      <c r="H57" s="608"/>
      <c r="I57" s="608"/>
      <c r="J57" s="608"/>
      <c r="K57" s="608"/>
      <c r="L57" s="608"/>
      <c r="M57" s="608"/>
      <c r="N57" s="608"/>
      <c r="O57" s="1623"/>
      <c r="P57" s="1623"/>
      <c r="Q57" s="3047"/>
      <c r="R57" s="3047"/>
      <c r="S57" s="3047"/>
      <c r="T57" s="3047"/>
      <c r="U57" s="3047"/>
      <c r="V57" s="3047"/>
      <c r="W57" s="3047"/>
      <c r="X57" s="1623"/>
      <c r="Y57" s="1623"/>
      <c r="Z57" s="1623"/>
      <c r="AA57" s="1623"/>
      <c r="AB57" s="1623"/>
      <c r="AC57" s="1623"/>
      <c r="AD57" s="1623"/>
      <c r="AE57" s="1623"/>
      <c r="AF57" s="1623"/>
      <c r="AG57" s="1623"/>
    </row>
    <row r="58" spans="1:33" s="2265" customFormat="1" ht="24.75">
      <c r="A58" s="2278" t="s">
        <v>2640</v>
      </c>
      <c r="B58" s="2290"/>
      <c r="C58" s="2279" t="s">
        <v>2642</v>
      </c>
      <c r="D58" s="2279" t="s">
        <v>2643</v>
      </c>
      <c r="E58" s="2280" t="s">
        <v>2644</v>
      </c>
      <c r="F58" s="2230" t="s">
        <v>2645</v>
      </c>
      <c r="G58" s="2279" t="s">
        <v>2666</v>
      </c>
      <c r="H58" s="2281" t="s">
        <v>2667</v>
      </c>
      <c r="I58" s="2279" t="s">
        <v>2668</v>
      </c>
      <c r="J58" s="1906" t="s">
        <v>2308</v>
      </c>
      <c r="K58" s="1906" t="s">
        <v>2309</v>
      </c>
      <c r="L58" s="1906" t="s">
        <v>2310</v>
      </c>
      <c r="M58" s="1906" t="s">
        <v>2311</v>
      </c>
      <c r="N58" s="1906" t="s">
        <v>2312</v>
      </c>
      <c r="O58" s="1623"/>
      <c r="P58" s="1623"/>
      <c r="Q58" s="3047"/>
      <c r="R58" s="3047"/>
      <c r="S58" s="3047"/>
      <c r="T58" s="3047"/>
      <c r="U58" s="3047"/>
      <c r="V58" s="3047"/>
      <c r="W58" s="3047"/>
      <c r="X58" s="1623"/>
      <c r="Y58" s="1623"/>
      <c r="Z58" s="1623"/>
      <c r="AA58" s="1623"/>
      <c r="AB58" s="1623"/>
      <c r="AC58" s="1623"/>
      <c r="AD58" s="1623"/>
      <c r="AE58" s="1623"/>
      <c r="AF58" s="1623"/>
      <c r="AG58" s="1623"/>
    </row>
    <row r="59" spans="1:33" s="2265" customFormat="1" ht="38.25">
      <c r="A59" s="2278" t="s">
        <v>2669</v>
      </c>
      <c r="B59" s="2282" t="str">
        <f>估价对象房地状况!C17</f>
        <v>估价对象位于XX商圈，周边办公楼项目较多，入驻率高，办公集聚程度较好</v>
      </c>
      <c r="C59" s="3159" t="s">
        <v>2910</v>
      </c>
      <c r="D59" s="2283">
        <f t="shared" ref="D59:D67" si="15">SUMIF($J$58:$N$58,C59,J59:N59)</f>
        <v>1.17E-2</v>
      </c>
      <c r="E59" s="2284">
        <f>ROUND(SUM(D59:D67),4)</f>
        <v>5.1999999999999998E-2</v>
      </c>
      <c r="F59" s="2285">
        <f>IF(E2="办公",SUMIF(L1:L12,G2,N1:N12),"——")</f>
        <v>9.8000000000000004E-2</v>
      </c>
      <c r="G59" s="2286">
        <f>H59</f>
        <v>1.17E-2</v>
      </c>
      <c r="H59" s="2287">
        <f t="shared" ref="H59:H67" si="16">IFERROR(ROUNDDOWN($F$59*I59/2,4),"——")</f>
        <v>1.17E-2</v>
      </c>
      <c r="I59" s="2288">
        <v>0.24</v>
      </c>
      <c r="J59" s="2289">
        <f t="shared" ref="J59:J67" si="17">K59+$G59</f>
        <v>2.3400000000000001E-2</v>
      </c>
      <c r="K59" s="2289">
        <f t="shared" ref="K59:K67" si="18">$L59+$G59</f>
        <v>1.17E-2</v>
      </c>
      <c r="L59" s="2289">
        <v>0</v>
      </c>
      <c r="M59" s="2289">
        <f t="shared" ref="M59:N67" si="19">L59-$G59</f>
        <v>-1.17E-2</v>
      </c>
      <c r="N59" s="2289">
        <f t="shared" si="19"/>
        <v>-2.3400000000000001E-2</v>
      </c>
      <c r="O59" s="1623"/>
      <c r="P59" s="1623"/>
      <c r="Q59" s="3047"/>
      <c r="R59" s="3047"/>
      <c r="S59" s="3047"/>
      <c r="T59" s="3047"/>
      <c r="U59" s="3047"/>
      <c r="V59" s="3047"/>
      <c r="W59" s="3047"/>
      <c r="X59" s="1623"/>
      <c r="Y59" s="1623"/>
      <c r="Z59" s="1623"/>
      <c r="AA59" s="1623"/>
      <c r="AB59" s="1623"/>
      <c r="AC59" s="1623"/>
      <c r="AD59" s="1623"/>
      <c r="AE59" s="1623"/>
      <c r="AF59" s="1623"/>
      <c r="AG59" s="1623"/>
    </row>
    <row r="60" spans="1:33" s="2265" customFormat="1" ht="51">
      <c r="A60" s="2278" t="s">
        <v>2655</v>
      </c>
      <c r="B60" s="2290" t="str">
        <f>估价对象房地状况!C18</f>
        <v>估价对象周边道路状况、公共交通通达情况、停车便捷程度，综合评价交通便捷度较好</v>
      </c>
      <c r="C60" s="3159" t="s">
        <v>2910</v>
      </c>
      <c r="D60" s="2283">
        <f t="shared" si="15"/>
        <v>1.47E-2</v>
      </c>
      <c r="E60" s="2291"/>
      <c r="F60" s="2285"/>
      <c r="G60" s="2286">
        <f t="shared" ref="G60:G67" si="20">H60</f>
        <v>1.47E-2</v>
      </c>
      <c r="H60" s="2287">
        <f t="shared" si="16"/>
        <v>1.47E-2</v>
      </c>
      <c r="I60" s="2288">
        <v>0.3</v>
      </c>
      <c r="J60" s="2289">
        <f t="shared" si="17"/>
        <v>2.9399999999999999E-2</v>
      </c>
      <c r="K60" s="2289">
        <f t="shared" si="18"/>
        <v>1.47E-2</v>
      </c>
      <c r="L60" s="2289">
        <v>0</v>
      </c>
      <c r="M60" s="2289">
        <f t="shared" si="19"/>
        <v>-1.47E-2</v>
      </c>
      <c r="N60" s="2289">
        <f t="shared" si="19"/>
        <v>-2.9399999999999999E-2</v>
      </c>
      <c r="O60" s="1623"/>
      <c r="P60" s="1623"/>
      <c r="Q60" s="3047"/>
      <c r="R60" s="3047"/>
      <c r="S60" s="3047"/>
      <c r="T60" s="3047"/>
      <c r="U60" s="3047"/>
      <c r="V60" s="3047"/>
      <c r="W60" s="3047"/>
      <c r="X60" s="1623"/>
      <c r="Y60" s="1623"/>
      <c r="Z60" s="1623"/>
      <c r="AA60" s="1623"/>
      <c r="AB60" s="1623"/>
      <c r="AC60" s="1623"/>
      <c r="AD60" s="1623"/>
      <c r="AE60" s="1623"/>
      <c r="AF60" s="1623"/>
      <c r="AG60" s="1623"/>
    </row>
    <row r="61" spans="1:33" s="2265" customFormat="1" ht="24">
      <c r="A61" s="2278" t="s">
        <v>2656</v>
      </c>
      <c r="B61" s="2290">
        <f>估价对象房地状况!C19</f>
        <v>0</v>
      </c>
      <c r="C61" s="3159" t="s">
        <v>2911</v>
      </c>
      <c r="D61" s="2283">
        <f t="shared" si="15"/>
        <v>3.8999999999999998E-3</v>
      </c>
      <c r="E61" s="2291"/>
      <c r="F61" s="2285"/>
      <c r="G61" s="2286">
        <f t="shared" si="20"/>
        <v>3.8999999999999998E-3</v>
      </c>
      <c r="H61" s="2287">
        <f t="shared" si="16"/>
        <v>3.8999999999999998E-3</v>
      </c>
      <c r="I61" s="2288">
        <v>0.08</v>
      </c>
      <c r="J61" s="2289">
        <f t="shared" si="17"/>
        <v>7.7999999999999996E-3</v>
      </c>
      <c r="K61" s="2289">
        <f t="shared" si="18"/>
        <v>3.8999999999999998E-3</v>
      </c>
      <c r="L61" s="2289">
        <v>0</v>
      </c>
      <c r="M61" s="2289">
        <f t="shared" si="19"/>
        <v>-3.8999999999999998E-3</v>
      </c>
      <c r="N61" s="2289">
        <f t="shared" si="19"/>
        <v>-7.7999999999999996E-3</v>
      </c>
      <c r="O61" s="1623"/>
      <c r="P61" s="1623"/>
      <c r="Q61" s="3047"/>
      <c r="R61" s="3047"/>
      <c r="S61" s="3047"/>
      <c r="T61" s="3047"/>
      <c r="U61" s="3047"/>
      <c r="V61" s="3047"/>
      <c r="W61" s="3047"/>
      <c r="X61" s="1623"/>
      <c r="Y61" s="1623"/>
      <c r="Z61" s="1623"/>
      <c r="AA61" s="1623"/>
      <c r="AB61" s="1623"/>
      <c r="AC61" s="1623"/>
      <c r="AD61" s="1623"/>
      <c r="AE61" s="1623"/>
      <c r="AF61" s="1623"/>
      <c r="AG61" s="1623"/>
    </row>
    <row r="62" spans="1:33" s="2265" customFormat="1" ht="36.75">
      <c r="A62" s="2278" t="s">
        <v>2657</v>
      </c>
      <c r="B62" s="2292" t="s">
        <v>2658</v>
      </c>
      <c r="C62" s="3159" t="s">
        <v>2910</v>
      </c>
      <c r="D62" s="2283">
        <f t="shared" si="15"/>
        <v>1.9E-3</v>
      </c>
      <c r="E62" s="2291"/>
      <c r="F62" s="2285"/>
      <c r="G62" s="2286">
        <f t="shared" si="20"/>
        <v>1.9E-3</v>
      </c>
      <c r="H62" s="2287">
        <f t="shared" si="16"/>
        <v>1.9E-3</v>
      </c>
      <c r="I62" s="2288">
        <v>0.04</v>
      </c>
      <c r="J62" s="2289">
        <f t="shared" si="17"/>
        <v>3.8E-3</v>
      </c>
      <c r="K62" s="2289">
        <f t="shared" si="18"/>
        <v>1.9E-3</v>
      </c>
      <c r="L62" s="2289">
        <v>0</v>
      </c>
      <c r="M62" s="2289">
        <f t="shared" si="19"/>
        <v>-1.9E-3</v>
      </c>
      <c r="N62" s="2289">
        <f t="shared" si="19"/>
        <v>-3.8E-3</v>
      </c>
      <c r="O62" s="1623"/>
      <c r="P62" s="1623"/>
      <c r="Q62" s="3047"/>
      <c r="R62" s="3047"/>
      <c r="S62" s="3047"/>
      <c r="T62" s="3047"/>
      <c r="U62" s="3047"/>
      <c r="V62" s="3047"/>
      <c r="W62" s="3047"/>
      <c r="X62" s="1623"/>
      <c r="Y62" s="1623"/>
      <c r="Z62" s="1623"/>
      <c r="AA62" s="1623"/>
      <c r="AB62" s="1623"/>
      <c r="AC62" s="1623"/>
      <c r="AD62" s="1623"/>
      <c r="AE62" s="1623"/>
      <c r="AF62" s="1623"/>
      <c r="AG62" s="1623"/>
    </row>
    <row r="63" spans="1:33" s="2265" customFormat="1" ht="24">
      <c r="A63" s="2278" t="s">
        <v>2659</v>
      </c>
      <c r="B63" s="2290">
        <f>估价对象房地状况!C24</f>
        <v>0</v>
      </c>
      <c r="C63" s="3159" t="s">
        <v>2912</v>
      </c>
      <c r="D63" s="2283">
        <f t="shared" si="15"/>
        <v>0</v>
      </c>
      <c r="E63" s="2291"/>
      <c r="F63" s="2285"/>
      <c r="G63" s="2286">
        <f t="shared" si="20"/>
        <v>2.3999999999999998E-3</v>
      </c>
      <c r="H63" s="2287">
        <f t="shared" si="16"/>
        <v>2.3999999999999998E-3</v>
      </c>
      <c r="I63" s="2288">
        <v>0.05</v>
      </c>
      <c r="J63" s="2289">
        <f t="shared" si="17"/>
        <v>4.7999999999999996E-3</v>
      </c>
      <c r="K63" s="2289">
        <f t="shared" si="18"/>
        <v>2.3999999999999998E-3</v>
      </c>
      <c r="L63" s="2289">
        <v>0</v>
      </c>
      <c r="M63" s="2289">
        <f t="shared" si="19"/>
        <v>-2.3999999999999998E-3</v>
      </c>
      <c r="N63" s="2289">
        <f t="shared" si="19"/>
        <v>-4.7999999999999996E-3</v>
      </c>
      <c r="O63" s="1623"/>
      <c r="P63" s="1623"/>
      <c r="Q63" s="3047"/>
      <c r="R63" s="3047"/>
      <c r="S63" s="3047"/>
      <c r="T63" s="3047"/>
      <c r="U63" s="3047"/>
      <c r="V63" s="3047"/>
      <c r="W63" s="3047"/>
      <c r="X63" s="1623"/>
      <c r="Y63" s="1623"/>
      <c r="Z63" s="1623"/>
      <c r="AA63" s="1623"/>
      <c r="AB63" s="1623"/>
      <c r="AC63" s="1623"/>
      <c r="AD63" s="1623"/>
      <c r="AE63" s="1623"/>
      <c r="AF63" s="1623"/>
      <c r="AG63" s="1623"/>
    </row>
    <row r="64" spans="1:33" s="2265" customFormat="1" ht="24">
      <c r="A64" s="2278" t="s">
        <v>2660</v>
      </c>
      <c r="B64" s="2293" t="s">
        <v>2661</v>
      </c>
      <c r="C64" s="3159" t="s">
        <v>2910</v>
      </c>
      <c r="D64" s="2283">
        <f t="shared" si="15"/>
        <v>2.3999999999999998E-3</v>
      </c>
      <c r="E64" s="2291"/>
      <c r="F64" s="2285"/>
      <c r="G64" s="2286">
        <f t="shared" si="20"/>
        <v>2.3999999999999998E-3</v>
      </c>
      <c r="H64" s="2287">
        <f t="shared" si="16"/>
        <v>2.3999999999999998E-3</v>
      </c>
      <c r="I64" s="2288">
        <v>0.05</v>
      </c>
      <c r="J64" s="2289">
        <f t="shared" si="17"/>
        <v>4.7999999999999996E-3</v>
      </c>
      <c r="K64" s="2289">
        <f t="shared" si="18"/>
        <v>2.3999999999999998E-3</v>
      </c>
      <c r="L64" s="2289">
        <v>0</v>
      </c>
      <c r="M64" s="2289">
        <f t="shared" si="19"/>
        <v>-2.3999999999999998E-3</v>
      </c>
      <c r="N64" s="2289">
        <f t="shared" si="19"/>
        <v>-4.7999999999999996E-3</v>
      </c>
      <c r="O64" s="1623"/>
      <c r="P64" s="1623"/>
      <c r="Q64" s="3047"/>
      <c r="R64" s="3047"/>
      <c r="S64" s="3047"/>
      <c r="T64" s="3047"/>
      <c r="U64" s="3047"/>
      <c r="V64" s="3047"/>
      <c r="W64" s="3047"/>
      <c r="X64" s="1623"/>
      <c r="Y64" s="1623"/>
      <c r="Z64" s="1623"/>
      <c r="AA64" s="1623"/>
      <c r="AB64" s="1623"/>
      <c r="AC64" s="1623"/>
      <c r="AD64" s="1623"/>
      <c r="AE64" s="1623"/>
      <c r="AF64" s="1623"/>
      <c r="AG64" s="1623"/>
    </row>
    <row r="65" spans="1:33" s="2265" customFormat="1" ht="25.5">
      <c r="A65" s="2278" t="s">
        <v>2662</v>
      </c>
      <c r="B65" s="2295" t="str">
        <f>估价对象房地状况!C21</f>
        <v>估价对象所在区域公共配套设施齐备情况</v>
      </c>
      <c r="C65" s="3159" t="s">
        <v>2910</v>
      </c>
      <c r="D65" s="2283">
        <f t="shared" si="15"/>
        <v>2.8999999999999998E-3</v>
      </c>
      <c r="E65" s="2291"/>
      <c r="F65" s="2285"/>
      <c r="G65" s="2286">
        <f t="shared" si="20"/>
        <v>2.8999999999999998E-3</v>
      </c>
      <c r="H65" s="2287">
        <f t="shared" si="16"/>
        <v>2.8999999999999998E-3</v>
      </c>
      <c r="I65" s="2288">
        <v>0.06</v>
      </c>
      <c r="J65" s="2289">
        <f t="shared" si="17"/>
        <v>5.7999999999999996E-3</v>
      </c>
      <c r="K65" s="2289">
        <f t="shared" si="18"/>
        <v>2.8999999999999998E-3</v>
      </c>
      <c r="L65" s="2289">
        <v>0</v>
      </c>
      <c r="M65" s="2289">
        <f t="shared" si="19"/>
        <v>-2.8999999999999998E-3</v>
      </c>
      <c r="N65" s="2289">
        <f t="shared" si="19"/>
        <v>-5.7999999999999996E-3</v>
      </c>
      <c r="O65" s="1623"/>
      <c r="P65" s="1623"/>
      <c r="Q65" s="3047"/>
      <c r="R65" s="3047"/>
      <c r="S65" s="3047"/>
      <c r="T65" s="3047"/>
      <c r="U65" s="3047"/>
      <c r="V65" s="3047"/>
      <c r="W65" s="3047"/>
      <c r="X65" s="1623"/>
      <c r="Y65" s="1623"/>
      <c r="Z65" s="1623"/>
      <c r="AA65" s="1623"/>
      <c r="AB65" s="1623"/>
      <c r="AC65" s="1623"/>
      <c r="AD65" s="1623"/>
      <c r="AE65" s="1623"/>
      <c r="AF65" s="1623"/>
      <c r="AG65" s="1623"/>
    </row>
    <row r="66" spans="1:33" s="2265" customFormat="1" ht="25.5">
      <c r="A66" s="2278" t="s">
        <v>2663</v>
      </c>
      <c r="B66" s="2295" t="str">
        <f>估价对象房地状况!C22</f>
        <v>估价对象所在区域基础设施水平</v>
      </c>
      <c r="C66" s="2166" t="s">
        <v>29</v>
      </c>
      <c r="D66" s="2283">
        <f t="shared" si="15"/>
        <v>1.1599999999999999E-2</v>
      </c>
      <c r="E66" s="2291"/>
      <c r="F66" s="2285"/>
      <c r="G66" s="2286">
        <f t="shared" si="20"/>
        <v>5.7999999999999996E-3</v>
      </c>
      <c r="H66" s="2287">
        <f t="shared" si="16"/>
        <v>5.7999999999999996E-3</v>
      </c>
      <c r="I66" s="2288">
        <v>0.12</v>
      </c>
      <c r="J66" s="2289">
        <f t="shared" si="17"/>
        <v>1.1599999999999999E-2</v>
      </c>
      <c r="K66" s="2289">
        <f t="shared" si="18"/>
        <v>5.7999999999999996E-3</v>
      </c>
      <c r="L66" s="2289">
        <v>0</v>
      </c>
      <c r="M66" s="2289">
        <f t="shared" si="19"/>
        <v>-5.7999999999999996E-3</v>
      </c>
      <c r="N66" s="2289">
        <f t="shared" si="19"/>
        <v>-1.1599999999999999E-2</v>
      </c>
      <c r="O66" s="1623"/>
      <c r="P66" s="1623"/>
      <c r="Q66" s="3047"/>
      <c r="R66" s="3047"/>
      <c r="S66" s="3047"/>
      <c r="T66" s="3047"/>
      <c r="U66" s="3047"/>
      <c r="V66" s="3047"/>
      <c r="W66" s="3047"/>
      <c r="X66" s="1623"/>
      <c r="Y66" s="1623"/>
      <c r="Z66" s="1623"/>
      <c r="AA66" s="1623"/>
      <c r="AB66" s="1623"/>
      <c r="AC66" s="1623"/>
      <c r="AD66" s="1623"/>
      <c r="AE66" s="1623"/>
      <c r="AF66" s="1623"/>
      <c r="AG66" s="1623"/>
    </row>
    <row r="67" spans="1:33" s="2265" customFormat="1" ht="39" thickBot="1">
      <c r="A67" s="2296" t="s">
        <v>2664</v>
      </c>
      <c r="B67" s="2301" t="str">
        <f>估价对象房地状况!C20</f>
        <v>区域自然环境：；人文环境；综合评价环境状况一般</v>
      </c>
      <c r="C67" s="3159" t="s">
        <v>2910</v>
      </c>
      <c r="D67" s="2283">
        <f t="shared" si="15"/>
        <v>2.8999999999999998E-3</v>
      </c>
      <c r="E67" s="2298"/>
      <c r="F67" s="2285"/>
      <c r="G67" s="2286">
        <f t="shared" si="20"/>
        <v>2.8999999999999998E-3</v>
      </c>
      <c r="H67" s="2287">
        <f t="shared" si="16"/>
        <v>2.8999999999999998E-3</v>
      </c>
      <c r="I67" s="2299">
        <v>0.06</v>
      </c>
      <c r="J67" s="2289">
        <f t="shared" si="17"/>
        <v>5.7999999999999996E-3</v>
      </c>
      <c r="K67" s="2289">
        <f t="shared" si="18"/>
        <v>2.8999999999999998E-3</v>
      </c>
      <c r="L67" s="2289">
        <v>0</v>
      </c>
      <c r="M67" s="2289">
        <f t="shared" si="19"/>
        <v>-2.8999999999999998E-3</v>
      </c>
      <c r="N67" s="2289">
        <f t="shared" si="19"/>
        <v>-5.7999999999999996E-3</v>
      </c>
      <c r="O67" s="1623"/>
      <c r="P67" s="1623"/>
      <c r="Q67" s="3047"/>
      <c r="R67" s="3047"/>
      <c r="S67" s="3047"/>
      <c r="T67" s="3047"/>
      <c r="U67" s="3047"/>
      <c r="V67" s="3047"/>
      <c r="W67" s="3047"/>
      <c r="X67" s="1623"/>
      <c r="Y67" s="1623"/>
      <c r="Z67" s="1623"/>
      <c r="AA67" s="1623"/>
      <c r="AB67" s="1623"/>
      <c r="AC67" s="1623"/>
      <c r="AD67" s="1623"/>
      <c r="AE67" s="1623"/>
      <c r="AF67" s="1623"/>
      <c r="AG67" s="1623"/>
    </row>
    <row r="68" spans="1:33" s="2265" customFormat="1" ht="15">
      <c r="A68" s="2271" t="s">
        <v>2670</v>
      </c>
      <c r="B68" s="2300">
        <f>1+E70</f>
        <v>1</v>
      </c>
      <c r="C68" s="2274"/>
      <c r="D68" s="2274"/>
      <c r="E68" s="2275"/>
      <c r="F68" s="2276"/>
      <c r="G68" s="608"/>
      <c r="H68" s="608"/>
      <c r="I68" s="608"/>
      <c r="J68" s="608"/>
      <c r="K68" s="608"/>
      <c r="L68" s="608"/>
      <c r="M68" s="608"/>
      <c r="N68" s="608"/>
      <c r="O68" s="1623"/>
      <c r="P68" s="1623"/>
      <c r="Q68" s="3047"/>
      <c r="R68" s="3047"/>
      <c r="S68" s="3047"/>
      <c r="T68" s="3047"/>
      <c r="U68" s="3047"/>
      <c r="V68" s="3047"/>
      <c r="W68" s="3047"/>
      <c r="X68" s="1623"/>
      <c r="Y68" s="1623"/>
      <c r="Z68" s="1623"/>
      <c r="AA68" s="1623"/>
      <c r="AB68" s="1623"/>
      <c r="AC68" s="1623"/>
      <c r="AD68" s="1623"/>
      <c r="AE68" s="1623"/>
      <c r="AF68" s="1623"/>
      <c r="AG68" s="1623"/>
    </row>
    <row r="69" spans="1:33" s="2265" customFormat="1" ht="24.75">
      <c r="A69" s="2278" t="s">
        <v>2640</v>
      </c>
      <c r="B69" s="2290"/>
      <c r="C69" s="2279" t="s">
        <v>2642</v>
      </c>
      <c r="D69" s="2279" t="s">
        <v>2643</v>
      </c>
      <c r="E69" s="2280" t="s">
        <v>2644</v>
      </c>
      <c r="F69" s="2230" t="s">
        <v>2645</v>
      </c>
      <c r="G69" s="2279" t="s">
        <v>2666</v>
      </c>
      <c r="H69" s="2281" t="s">
        <v>2667</v>
      </c>
      <c r="I69" s="2279" t="s">
        <v>2668</v>
      </c>
      <c r="J69" s="1906" t="s">
        <v>2308</v>
      </c>
      <c r="K69" s="1906" t="s">
        <v>2309</v>
      </c>
      <c r="L69" s="1906" t="s">
        <v>2310</v>
      </c>
      <c r="M69" s="1906" t="s">
        <v>2311</v>
      </c>
      <c r="N69" s="1906" t="s">
        <v>2312</v>
      </c>
      <c r="O69" s="1623"/>
      <c r="P69" s="1623"/>
      <c r="Q69" s="3047"/>
      <c r="R69" s="3047"/>
      <c r="S69" s="3047"/>
      <c r="T69" s="3047"/>
      <c r="U69" s="3047"/>
      <c r="V69" s="3047"/>
      <c r="W69" s="3047"/>
      <c r="X69" s="1623"/>
      <c r="Y69" s="1623"/>
      <c r="Z69" s="1623"/>
      <c r="AA69" s="1623"/>
      <c r="AB69" s="1623"/>
      <c r="AC69" s="1623"/>
      <c r="AD69" s="1623"/>
      <c r="AE69" s="1623"/>
      <c r="AF69" s="1623"/>
      <c r="AG69" s="1623"/>
    </row>
    <row r="70" spans="1:33" s="2265" customFormat="1" ht="51">
      <c r="A70" s="2278" t="s">
        <v>2671</v>
      </c>
      <c r="B70" s="2282" t="str">
        <f>估价对象房地状况!C15</f>
        <v>估价对象周边居住用地比例、居住小区规模和社区发展完善程度，综合评价居住社区成熟度一般</v>
      </c>
      <c r="C70" s="2166"/>
      <c r="D70" s="2283">
        <f t="shared" ref="D70:D78" si="21">SUMIF($J$69:$N$69,C70,J70:N70)</f>
        <v>0</v>
      </c>
      <c r="E70" s="2284">
        <f>ROUND(SUM(D70:D78),4)</f>
        <v>0</v>
      </c>
      <c r="F70" s="2285" t="str">
        <f>IF(E2="住宅",SUMIF(L1:L12,G2,N1:N12),"——")</f>
        <v>——</v>
      </c>
      <c r="G70" s="2286"/>
      <c r="H70" s="2287" t="str">
        <f t="shared" ref="H70:H78" si="22">IFERROR(ROUNDDOWN($F$70*I70/2,4),"——")</f>
        <v>——</v>
      </c>
      <c r="I70" s="2288">
        <v>0.14000000000000001</v>
      </c>
      <c r="J70" s="2289">
        <f t="shared" ref="J70:J78" si="23">K70+$G70</f>
        <v>0</v>
      </c>
      <c r="K70" s="2289">
        <f t="shared" ref="K70:K78" si="24">$L70+$G70</f>
        <v>0</v>
      </c>
      <c r="L70" s="2289">
        <v>0</v>
      </c>
      <c r="M70" s="2289">
        <f t="shared" ref="M70:N78" si="25">L70-$G70</f>
        <v>0</v>
      </c>
      <c r="N70" s="2289">
        <f t="shared" si="25"/>
        <v>0</v>
      </c>
      <c r="O70" s="1623"/>
      <c r="P70" s="1623"/>
      <c r="Q70" s="3047"/>
      <c r="R70" s="3047"/>
      <c r="S70" s="3047"/>
      <c r="T70" s="3047"/>
      <c r="U70" s="3047"/>
      <c r="V70" s="3047"/>
      <c r="W70" s="3047"/>
      <c r="X70" s="1623"/>
      <c r="Y70" s="1623"/>
      <c r="Z70" s="1623"/>
      <c r="AA70" s="1623"/>
      <c r="AB70" s="1623"/>
      <c r="AC70" s="1623"/>
      <c r="AD70" s="1623"/>
      <c r="AE70" s="1623"/>
      <c r="AF70" s="1623"/>
      <c r="AG70" s="1623"/>
    </row>
    <row r="71" spans="1:33" s="2265" customFormat="1" ht="51">
      <c r="A71" s="2278" t="s">
        <v>2655</v>
      </c>
      <c r="B71" s="2290" t="str">
        <f>估价对象房地状况!C18</f>
        <v>估价对象周边道路状况、公共交通通达情况、停车便捷程度，综合评价交通便捷度较好</v>
      </c>
      <c r="C71" s="2166"/>
      <c r="D71" s="2283">
        <f t="shared" si="21"/>
        <v>0</v>
      </c>
      <c r="E71" s="2291"/>
      <c r="F71" s="2285"/>
      <c r="G71" s="2286"/>
      <c r="H71" s="2287" t="str">
        <f t="shared" si="22"/>
        <v>——</v>
      </c>
      <c r="I71" s="2288">
        <v>0.3</v>
      </c>
      <c r="J71" s="2289">
        <f t="shared" si="23"/>
        <v>0</v>
      </c>
      <c r="K71" s="2289">
        <f t="shared" si="24"/>
        <v>0</v>
      </c>
      <c r="L71" s="2289">
        <v>0</v>
      </c>
      <c r="M71" s="2289">
        <f t="shared" si="25"/>
        <v>0</v>
      </c>
      <c r="N71" s="2289">
        <f t="shared" si="25"/>
        <v>0</v>
      </c>
      <c r="O71" s="1623"/>
      <c r="P71" s="1623"/>
      <c r="Q71" s="3047"/>
      <c r="R71" s="3047"/>
      <c r="S71" s="3047"/>
      <c r="T71" s="3047"/>
      <c r="U71" s="3047"/>
      <c r="V71" s="3047"/>
      <c r="W71" s="3047"/>
      <c r="X71" s="1623"/>
      <c r="Y71" s="1623"/>
      <c r="Z71" s="1623"/>
      <c r="AA71" s="1623"/>
      <c r="AB71" s="1623"/>
      <c r="AC71" s="1623"/>
      <c r="AD71" s="1623"/>
      <c r="AE71" s="1623"/>
      <c r="AF71" s="1623"/>
      <c r="AG71" s="1623"/>
    </row>
    <row r="72" spans="1:33" s="2265" customFormat="1" ht="24">
      <c r="A72" s="2278" t="s">
        <v>2656</v>
      </c>
      <c r="B72" s="2290">
        <f>估价对象房地状况!C19</f>
        <v>0</v>
      </c>
      <c r="C72" s="2166"/>
      <c r="D72" s="2283">
        <f t="shared" si="21"/>
        <v>0</v>
      </c>
      <c r="E72" s="2291"/>
      <c r="F72" s="2285"/>
      <c r="G72" s="2286"/>
      <c r="H72" s="2287" t="str">
        <f t="shared" si="22"/>
        <v>——</v>
      </c>
      <c r="I72" s="2288">
        <v>0.08</v>
      </c>
      <c r="J72" s="2289">
        <f t="shared" si="23"/>
        <v>0</v>
      </c>
      <c r="K72" s="2289">
        <f t="shared" si="24"/>
        <v>0</v>
      </c>
      <c r="L72" s="2289">
        <v>0</v>
      </c>
      <c r="M72" s="2289">
        <f t="shared" si="25"/>
        <v>0</v>
      </c>
      <c r="N72" s="2289">
        <f t="shared" si="25"/>
        <v>0</v>
      </c>
      <c r="O72" s="1623"/>
      <c r="P72" s="1623"/>
      <c r="Q72" s="3047"/>
      <c r="R72" s="3047"/>
      <c r="S72" s="3047"/>
      <c r="T72" s="3047"/>
      <c r="U72" s="3047"/>
      <c r="V72" s="3047"/>
      <c r="W72" s="3047"/>
      <c r="X72" s="1623"/>
      <c r="Y72" s="1623"/>
      <c r="Z72" s="1623"/>
      <c r="AA72" s="1623"/>
      <c r="AB72" s="1623"/>
      <c r="AC72" s="1623"/>
      <c r="AD72" s="1623"/>
      <c r="AE72" s="1623"/>
      <c r="AF72" s="1623"/>
      <c r="AG72" s="1623"/>
    </row>
    <row r="73" spans="1:33" s="2265" customFormat="1" ht="14.25">
      <c r="A73" s="2278" t="s">
        <v>2672</v>
      </c>
      <c r="B73" s="2290">
        <f>估价对象房地状况!C24</f>
        <v>0</v>
      </c>
      <c r="C73" s="2166"/>
      <c r="D73" s="2283">
        <f t="shared" si="21"/>
        <v>0</v>
      </c>
      <c r="E73" s="2291"/>
      <c r="F73" s="2285"/>
      <c r="G73" s="2286"/>
      <c r="H73" s="2287" t="str">
        <f t="shared" si="22"/>
        <v>——</v>
      </c>
      <c r="I73" s="2288">
        <v>0.04</v>
      </c>
      <c r="J73" s="2289">
        <f t="shared" si="23"/>
        <v>0</v>
      </c>
      <c r="K73" s="2289">
        <f t="shared" si="24"/>
        <v>0</v>
      </c>
      <c r="L73" s="2289">
        <v>0</v>
      </c>
      <c r="M73" s="2289">
        <f t="shared" si="25"/>
        <v>0</v>
      </c>
      <c r="N73" s="2289">
        <f t="shared" si="25"/>
        <v>0</v>
      </c>
      <c r="O73" s="1623"/>
      <c r="P73" s="1623"/>
      <c r="Q73" s="3047"/>
      <c r="R73" s="3047"/>
      <c r="S73" s="3047"/>
      <c r="T73" s="3047"/>
      <c r="U73" s="3047"/>
      <c r="V73" s="3047"/>
      <c r="W73" s="3047"/>
      <c r="X73" s="1623"/>
      <c r="Y73" s="1623"/>
      <c r="Z73" s="1623"/>
      <c r="AA73" s="1623"/>
      <c r="AB73" s="1623"/>
      <c r="AC73" s="1623"/>
      <c r="AD73" s="1623"/>
      <c r="AE73" s="1623"/>
      <c r="AF73" s="1623"/>
      <c r="AG73" s="1623"/>
    </row>
    <row r="74" spans="1:33" s="2265" customFormat="1" ht="25.5">
      <c r="A74" s="2278" t="s">
        <v>2662</v>
      </c>
      <c r="B74" s="2295" t="str">
        <f>估价对象房地状况!C21</f>
        <v>估价对象所在区域公共配套设施齐备情况</v>
      </c>
      <c r="C74" s="2166"/>
      <c r="D74" s="2283">
        <f t="shared" si="21"/>
        <v>0</v>
      </c>
      <c r="E74" s="2291"/>
      <c r="F74" s="2285"/>
      <c r="G74" s="2286"/>
      <c r="H74" s="2287" t="str">
        <f t="shared" si="22"/>
        <v>——</v>
      </c>
      <c r="I74" s="2288">
        <v>0.08</v>
      </c>
      <c r="J74" s="2289">
        <f t="shared" si="23"/>
        <v>0</v>
      </c>
      <c r="K74" s="2289">
        <f t="shared" si="24"/>
        <v>0</v>
      </c>
      <c r="L74" s="2289">
        <v>0</v>
      </c>
      <c r="M74" s="2289">
        <f t="shared" si="25"/>
        <v>0</v>
      </c>
      <c r="N74" s="2289">
        <f t="shared" si="25"/>
        <v>0</v>
      </c>
      <c r="O74" s="1623"/>
      <c r="P74" s="1623"/>
      <c r="Q74" s="3047"/>
      <c r="R74" s="3047"/>
      <c r="S74" s="3047"/>
      <c r="T74" s="3047"/>
      <c r="U74" s="3047"/>
      <c r="V74" s="3047"/>
      <c r="W74" s="3047"/>
      <c r="X74" s="1623"/>
      <c r="Y74" s="1623"/>
      <c r="Z74" s="1623"/>
      <c r="AA74" s="1623"/>
      <c r="AB74" s="1623"/>
      <c r="AC74" s="1623"/>
      <c r="AD74" s="1623"/>
      <c r="AE74" s="1623"/>
      <c r="AF74" s="1623"/>
      <c r="AG74" s="1623"/>
    </row>
    <row r="75" spans="1:33" s="2265" customFormat="1" ht="25.5">
      <c r="A75" s="2278" t="s">
        <v>2663</v>
      </c>
      <c r="B75" s="2295" t="str">
        <f>估价对象房地状况!C22</f>
        <v>估价对象所在区域基础设施水平</v>
      </c>
      <c r="C75" s="2166"/>
      <c r="D75" s="2283">
        <f t="shared" si="21"/>
        <v>0</v>
      </c>
      <c r="E75" s="2291"/>
      <c r="F75" s="2285"/>
      <c r="G75" s="2286"/>
      <c r="H75" s="2287" t="str">
        <f t="shared" si="22"/>
        <v>——</v>
      </c>
      <c r="I75" s="2288">
        <v>0.12</v>
      </c>
      <c r="J75" s="2289">
        <f t="shared" si="23"/>
        <v>0</v>
      </c>
      <c r="K75" s="2289">
        <f t="shared" si="24"/>
        <v>0</v>
      </c>
      <c r="L75" s="2289">
        <v>0</v>
      </c>
      <c r="M75" s="2289">
        <f t="shared" si="25"/>
        <v>0</v>
      </c>
      <c r="N75" s="2289">
        <f t="shared" si="25"/>
        <v>0</v>
      </c>
      <c r="O75" s="1623"/>
      <c r="P75" s="1623"/>
      <c r="Q75" s="3047"/>
      <c r="R75" s="3047"/>
      <c r="S75" s="3047"/>
      <c r="T75" s="3047"/>
      <c r="U75" s="3047"/>
      <c r="V75" s="3047"/>
      <c r="W75" s="3047"/>
      <c r="X75" s="1623"/>
      <c r="Y75" s="1623"/>
      <c r="Z75" s="1623"/>
      <c r="AA75" s="1623"/>
      <c r="AB75" s="1623"/>
      <c r="AC75" s="1623"/>
      <c r="AD75" s="1623"/>
      <c r="AE75" s="1623"/>
      <c r="AF75" s="1623"/>
      <c r="AG75" s="1623"/>
    </row>
    <row r="76" spans="1:33" ht="24">
      <c r="A76" s="2278" t="s">
        <v>2660</v>
      </c>
      <c r="B76" s="2293" t="s">
        <v>2661</v>
      </c>
      <c r="C76" s="2166"/>
      <c r="D76" s="2283">
        <f t="shared" si="21"/>
        <v>0</v>
      </c>
      <c r="E76" s="2291"/>
      <c r="F76" s="2285"/>
      <c r="G76" s="2286"/>
      <c r="H76" s="2287" t="str">
        <f t="shared" si="22"/>
        <v>——</v>
      </c>
      <c r="I76" s="2288">
        <v>0.05</v>
      </c>
      <c r="J76" s="2289">
        <f t="shared" si="23"/>
        <v>0</v>
      </c>
      <c r="K76" s="2289">
        <f t="shared" si="24"/>
        <v>0</v>
      </c>
      <c r="L76" s="2289">
        <v>0</v>
      </c>
      <c r="M76" s="2289">
        <f t="shared" si="25"/>
        <v>0</v>
      </c>
      <c r="N76" s="2289">
        <f t="shared" si="25"/>
        <v>0</v>
      </c>
      <c r="Q76" s="3055"/>
      <c r="R76" s="3055"/>
      <c r="S76" s="3055"/>
      <c r="T76" s="3055"/>
      <c r="U76" s="3055"/>
      <c r="V76" s="3055"/>
      <c r="W76" s="3055"/>
      <c r="AA76" s="1624"/>
      <c r="AG76" s="2265"/>
    </row>
    <row r="77" spans="1:33" ht="38.25">
      <c r="A77" s="2278" t="s">
        <v>2664</v>
      </c>
      <c r="B77" s="2282" t="str">
        <f>估价对象房地状况!C20</f>
        <v>区域自然环境：；人文环境；综合评价环境状况一般</v>
      </c>
      <c r="C77" s="2166"/>
      <c r="D77" s="2283">
        <f t="shared" si="21"/>
        <v>0</v>
      </c>
      <c r="E77" s="2291"/>
      <c r="F77" s="2285"/>
      <c r="G77" s="2286"/>
      <c r="H77" s="2287" t="str">
        <f t="shared" si="22"/>
        <v>——</v>
      </c>
      <c r="I77" s="2288">
        <v>0.15</v>
      </c>
      <c r="J77" s="2289">
        <f t="shared" si="23"/>
        <v>0</v>
      </c>
      <c r="K77" s="2289">
        <f t="shared" si="24"/>
        <v>0</v>
      </c>
      <c r="L77" s="2289">
        <v>0</v>
      </c>
      <c r="M77" s="2289">
        <f t="shared" si="25"/>
        <v>0</v>
      </c>
      <c r="N77" s="2289">
        <f t="shared" si="25"/>
        <v>0</v>
      </c>
      <c r="Q77" s="3055"/>
      <c r="R77" s="3055"/>
      <c r="S77" s="3055"/>
      <c r="T77" s="3055"/>
      <c r="U77" s="3055"/>
      <c r="V77" s="3055"/>
      <c r="W77" s="3055"/>
      <c r="AA77" s="1624"/>
      <c r="AG77" s="2265"/>
    </row>
    <row r="78" spans="1:33" ht="24.75" thickBot="1">
      <c r="A78" s="2296" t="s">
        <v>2673</v>
      </c>
      <c r="B78" s="2302"/>
      <c r="C78" s="2166"/>
      <c r="D78" s="2283">
        <f t="shared" si="21"/>
        <v>0</v>
      </c>
      <c r="E78" s="2298"/>
      <c r="F78" s="2285"/>
      <c r="G78" s="2286"/>
      <c r="H78" s="2287" t="str">
        <f t="shared" si="22"/>
        <v>——</v>
      </c>
      <c r="I78" s="2299">
        <v>0.04</v>
      </c>
      <c r="J78" s="2289">
        <f t="shared" si="23"/>
        <v>0</v>
      </c>
      <c r="K78" s="2289">
        <f t="shared" si="24"/>
        <v>0</v>
      </c>
      <c r="L78" s="2289">
        <v>0</v>
      </c>
      <c r="M78" s="2289">
        <f t="shared" si="25"/>
        <v>0</v>
      </c>
      <c r="N78" s="2289">
        <f t="shared" si="25"/>
        <v>0</v>
      </c>
      <c r="Q78" s="3055"/>
      <c r="R78" s="3055"/>
      <c r="S78" s="3055"/>
      <c r="T78" s="3055"/>
      <c r="U78" s="3055"/>
      <c r="V78" s="3055"/>
      <c r="W78" s="3055"/>
      <c r="AA78" s="1624"/>
      <c r="AG78" s="2265"/>
    </row>
    <row r="79" spans="1:33" ht="15">
      <c r="A79" s="2271" t="s">
        <v>2674</v>
      </c>
      <c r="B79" s="2300">
        <f>1+E81</f>
        <v>1</v>
      </c>
      <c r="C79" s="2274"/>
      <c r="D79" s="2274"/>
      <c r="E79" s="2275"/>
      <c r="F79" s="2276"/>
      <c r="G79" s="608"/>
      <c r="H79" s="608"/>
      <c r="I79" s="608"/>
      <c r="J79" s="608"/>
      <c r="K79" s="608"/>
      <c r="L79" s="608"/>
      <c r="M79" s="608"/>
      <c r="N79" s="608"/>
      <c r="Q79" s="3055"/>
      <c r="R79" s="3055"/>
      <c r="S79" s="3055"/>
      <c r="T79" s="3055"/>
      <c r="U79" s="3055"/>
      <c r="V79" s="3055"/>
      <c r="W79" s="3055"/>
      <c r="AA79" s="1624"/>
      <c r="AG79" s="2265"/>
    </row>
    <row r="80" spans="1:33" ht="24.75">
      <c r="A80" s="2278" t="s">
        <v>2640</v>
      </c>
      <c r="B80" s="2290"/>
      <c r="C80" s="2279" t="s">
        <v>2642</v>
      </c>
      <c r="D80" s="2279" t="s">
        <v>2643</v>
      </c>
      <c r="E80" s="2280" t="s">
        <v>2644</v>
      </c>
      <c r="F80" s="2230" t="s">
        <v>2645</v>
      </c>
      <c r="G80" s="2279" t="s">
        <v>2666</v>
      </c>
      <c r="H80" s="2281" t="s">
        <v>2667</v>
      </c>
      <c r="I80" s="2279" t="s">
        <v>2668</v>
      </c>
      <c r="J80" s="1906" t="s">
        <v>2308</v>
      </c>
      <c r="K80" s="1906" t="s">
        <v>2309</v>
      </c>
      <c r="L80" s="1906" t="s">
        <v>2310</v>
      </c>
      <c r="M80" s="1906" t="s">
        <v>2311</v>
      </c>
      <c r="N80" s="1906" t="s">
        <v>2312</v>
      </c>
      <c r="Q80" s="3055"/>
      <c r="R80" s="3055"/>
      <c r="S80" s="3055"/>
      <c r="T80" s="3055"/>
      <c r="U80" s="3055"/>
      <c r="V80" s="3055"/>
      <c r="W80" s="3055"/>
      <c r="AA80" s="1624"/>
      <c r="AG80" s="2265"/>
    </row>
    <row r="81" spans="1:33" ht="38.25">
      <c r="A81" s="2278" t="s">
        <v>2675</v>
      </c>
      <c r="B81" s="2290" t="str">
        <f>估价对象房地状况!G15</f>
        <v>估价对象位于XX开发区，园区建设成熟度XX，产业集聚程度XX</v>
      </c>
      <c r="C81" s="2166"/>
      <c r="D81" s="2283">
        <f t="shared" ref="D81:D88" si="26">SUMIF($J$80:$N$80,C81,J81:N81)</f>
        <v>0</v>
      </c>
      <c r="E81" s="2284">
        <f>ROUND(SUM(D81:D88),4)</f>
        <v>0</v>
      </c>
      <c r="F81" s="2285" t="str">
        <f>IF(E2="工业",SUMIF(L1:L12,G2,N1:N12),"——")</f>
        <v>——</v>
      </c>
      <c r="G81" s="2286"/>
      <c r="H81" s="2287" t="str">
        <f t="shared" ref="H81:H88" si="27">IFERROR(ROUNDDOWN($F$81*I81/2,4),"——")</f>
        <v>——</v>
      </c>
      <c r="I81" s="2288">
        <v>0.26</v>
      </c>
      <c r="J81" s="2289">
        <f t="shared" ref="J81:J88" si="28">K81+$G81</f>
        <v>0</v>
      </c>
      <c r="K81" s="2289">
        <f t="shared" ref="K81:K88" si="29">$L81+$G81</f>
        <v>0</v>
      </c>
      <c r="L81" s="2289">
        <v>0</v>
      </c>
      <c r="M81" s="2289">
        <f t="shared" ref="M81:N88" si="30">L81-$G81</f>
        <v>0</v>
      </c>
      <c r="N81" s="2289">
        <f t="shared" si="30"/>
        <v>0</v>
      </c>
      <c r="Q81" s="3055"/>
      <c r="R81" s="3055"/>
      <c r="S81" s="3055"/>
      <c r="T81" s="3055"/>
      <c r="U81" s="3055"/>
      <c r="V81" s="3055"/>
      <c r="W81" s="3055"/>
      <c r="AA81" s="1624"/>
      <c r="AG81" s="2265"/>
    </row>
    <row r="82" spans="1:33" ht="51">
      <c r="A82" s="2278" t="s">
        <v>2655</v>
      </c>
      <c r="B82" s="2290" t="str">
        <f>估价对象房地状况!G16</f>
        <v>估价对象周边道路状况、公共交通通达情况、停车便捷程度，综合评价交通便捷度较好</v>
      </c>
      <c r="C82" s="2166"/>
      <c r="D82" s="2283">
        <f t="shared" si="26"/>
        <v>0</v>
      </c>
      <c r="E82" s="2291"/>
      <c r="F82" s="2285"/>
      <c r="G82" s="2286"/>
      <c r="H82" s="2287" t="str">
        <f t="shared" si="27"/>
        <v>——</v>
      </c>
      <c r="I82" s="2288">
        <v>0.33</v>
      </c>
      <c r="J82" s="2289">
        <f t="shared" si="28"/>
        <v>0</v>
      </c>
      <c r="K82" s="2289">
        <f t="shared" si="29"/>
        <v>0</v>
      </c>
      <c r="L82" s="2289">
        <v>0</v>
      </c>
      <c r="M82" s="2289">
        <f t="shared" si="30"/>
        <v>0</v>
      </c>
      <c r="N82" s="2289">
        <f t="shared" si="30"/>
        <v>0</v>
      </c>
      <c r="Q82" s="3055"/>
      <c r="R82" s="3055"/>
      <c r="S82" s="3055"/>
      <c r="T82" s="3055"/>
      <c r="U82" s="3055"/>
      <c r="V82" s="3055"/>
      <c r="W82" s="3055"/>
      <c r="AA82" s="1624"/>
      <c r="AG82" s="2265"/>
    </row>
    <row r="83" spans="1:33" ht="24">
      <c r="A83" s="2278" t="s">
        <v>2656</v>
      </c>
      <c r="B83" s="2290">
        <f>估价对象房地状况!G17</f>
        <v>0</v>
      </c>
      <c r="C83" s="2166"/>
      <c r="D83" s="2283">
        <f t="shared" si="26"/>
        <v>0</v>
      </c>
      <c r="E83" s="2291"/>
      <c r="F83" s="2285"/>
      <c r="G83" s="2286"/>
      <c r="H83" s="2287" t="str">
        <f t="shared" si="27"/>
        <v>——</v>
      </c>
      <c r="I83" s="2288">
        <v>0.05</v>
      </c>
      <c r="J83" s="2289">
        <f t="shared" si="28"/>
        <v>0</v>
      </c>
      <c r="K83" s="2289">
        <f t="shared" si="29"/>
        <v>0</v>
      </c>
      <c r="L83" s="2289">
        <v>0</v>
      </c>
      <c r="M83" s="2289">
        <f t="shared" si="30"/>
        <v>0</v>
      </c>
      <c r="N83" s="2289">
        <f t="shared" si="30"/>
        <v>0</v>
      </c>
      <c r="Q83" s="3055"/>
      <c r="R83" s="3055"/>
      <c r="S83" s="3055"/>
      <c r="T83" s="3055"/>
      <c r="U83" s="3055"/>
      <c r="V83" s="3055"/>
      <c r="W83" s="3055"/>
      <c r="AA83" s="1624"/>
      <c r="AG83" s="2265"/>
    </row>
    <row r="84" spans="1:33" ht="14.25">
      <c r="A84" s="2278" t="s">
        <v>2672</v>
      </c>
      <c r="B84" s="2290">
        <f>估价对象房地状况!G22</f>
        <v>0</v>
      </c>
      <c r="C84" s="2166"/>
      <c r="D84" s="2283">
        <f t="shared" si="26"/>
        <v>0</v>
      </c>
      <c r="E84" s="2291"/>
      <c r="F84" s="2285"/>
      <c r="G84" s="2286"/>
      <c r="H84" s="2287" t="str">
        <f t="shared" si="27"/>
        <v>——</v>
      </c>
      <c r="I84" s="2288">
        <v>0.04</v>
      </c>
      <c r="J84" s="2289">
        <f t="shared" si="28"/>
        <v>0</v>
      </c>
      <c r="K84" s="2289">
        <f t="shared" si="29"/>
        <v>0</v>
      </c>
      <c r="L84" s="2289">
        <v>0</v>
      </c>
      <c r="M84" s="2289">
        <f t="shared" si="30"/>
        <v>0</v>
      </c>
      <c r="N84" s="2289">
        <f t="shared" si="30"/>
        <v>0</v>
      </c>
      <c r="Q84" s="3055"/>
      <c r="R84" s="3055"/>
      <c r="S84" s="3055"/>
      <c r="T84" s="3055"/>
      <c r="U84" s="3055"/>
      <c r="V84" s="3055"/>
      <c r="W84" s="3055"/>
      <c r="AA84" s="1624"/>
      <c r="AG84" s="2265"/>
    </row>
    <row r="85" spans="1:33" ht="25.5">
      <c r="A85" s="2278" t="s">
        <v>2662</v>
      </c>
      <c r="B85" s="2295" t="str">
        <f>估价对象房地状况!G19</f>
        <v>估价对象所在区域公共配套设施齐备情况</v>
      </c>
      <c r="C85" s="2166"/>
      <c r="D85" s="2283">
        <f t="shared" si="26"/>
        <v>0</v>
      </c>
      <c r="E85" s="2291"/>
      <c r="F85" s="2285"/>
      <c r="G85" s="2286"/>
      <c r="H85" s="2287" t="str">
        <f t="shared" si="27"/>
        <v>——</v>
      </c>
      <c r="I85" s="2288">
        <v>0.06</v>
      </c>
      <c r="J85" s="2289">
        <f t="shared" si="28"/>
        <v>0</v>
      </c>
      <c r="K85" s="2289">
        <f t="shared" si="29"/>
        <v>0</v>
      </c>
      <c r="L85" s="2289">
        <v>0</v>
      </c>
      <c r="M85" s="2289">
        <f t="shared" si="30"/>
        <v>0</v>
      </c>
      <c r="N85" s="2289">
        <f t="shared" si="30"/>
        <v>0</v>
      </c>
      <c r="Q85" s="3055"/>
      <c r="R85" s="3055"/>
      <c r="S85" s="3055"/>
      <c r="T85" s="3055"/>
      <c r="U85" s="3055"/>
      <c r="V85" s="3055"/>
      <c r="W85" s="3055"/>
      <c r="AA85" s="1624"/>
      <c r="AG85" s="2265"/>
    </row>
    <row r="86" spans="1:33" ht="25.5">
      <c r="A86" s="2278" t="s">
        <v>2663</v>
      </c>
      <c r="B86" s="2295" t="str">
        <f>估价对象房地状况!G20</f>
        <v>估价对象所在区域基础设施水平</v>
      </c>
      <c r="C86" s="2166"/>
      <c r="D86" s="2283">
        <f t="shared" si="26"/>
        <v>0</v>
      </c>
      <c r="E86" s="2291"/>
      <c r="F86" s="2285"/>
      <c r="G86" s="2286"/>
      <c r="H86" s="2287" t="str">
        <f t="shared" si="27"/>
        <v>——</v>
      </c>
      <c r="I86" s="2288">
        <v>0.15</v>
      </c>
      <c r="J86" s="2289">
        <f t="shared" si="28"/>
        <v>0</v>
      </c>
      <c r="K86" s="2289">
        <f t="shared" si="29"/>
        <v>0</v>
      </c>
      <c r="L86" s="2289">
        <v>0</v>
      </c>
      <c r="M86" s="2289">
        <f t="shared" si="30"/>
        <v>0</v>
      </c>
      <c r="N86" s="2289">
        <f t="shared" si="30"/>
        <v>0</v>
      </c>
      <c r="Q86" s="3055"/>
      <c r="R86" s="3055"/>
      <c r="S86" s="3055"/>
      <c r="T86" s="3055"/>
      <c r="U86" s="3055"/>
      <c r="V86" s="3055"/>
      <c r="W86" s="3055"/>
      <c r="AA86" s="1624"/>
      <c r="AG86" s="2265"/>
    </row>
    <row r="87" spans="1:33" ht="24">
      <c r="A87" s="2278" t="s">
        <v>2660</v>
      </c>
      <c r="B87" s="2293" t="s">
        <v>2661</v>
      </c>
      <c r="C87" s="2166"/>
      <c r="D87" s="2283">
        <f t="shared" si="26"/>
        <v>0</v>
      </c>
      <c r="E87" s="2291"/>
      <c r="F87" s="2285"/>
      <c r="G87" s="2286"/>
      <c r="H87" s="2287" t="str">
        <f t="shared" si="27"/>
        <v>——</v>
      </c>
      <c r="I87" s="2288">
        <v>0.05</v>
      </c>
      <c r="J87" s="2289">
        <f t="shared" si="28"/>
        <v>0</v>
      </c>
      <c r="K87" s="2289">
        <f t="shared" si="29"/>
        <v>0</v>
      </c>
      <c r="L87" s="2289">
        <v>0</v>
      </c>
      <c r="M87" s="2289">
        <f t="shared" si="30"/>
        <v>0</v>
      </c>
      <c r="N87" s="2289">
        <f t="shared" si="30"/>
        <v>0</v>
      </c>
      <c r="Q87" s="3055"/>
      <c r="R87" s="3055"/>
      <c r="S87" s="3055"/>
      <c r="T87" s="3055"/>
      <c r="U87" s="3055"/>
      <c r="V87" s="3055"/>
      <c r="W87" s="3055"/>
      <c r="AA87" s="1624"/>
      <c r="AG87" s="2265"/>
    </row>
    <row r="88" spans="1:33" ht="39" thickBot="1">
      <c r="A88" s="2296" t="s">
        <v>2676</v>
      </c>
      <c r="B88" s="2303" t="str">
        <f>估价对象房地状况!G18</f>
        <v>该园区内是否有污染型企业，绿化情况，卫生条件，整体环境状况判断</v>
      </c>
      <c r="C88" s="2304"/>
      <c r="D88" s="2305">
        <f t="shared" si="26"/>
        <v>0</v>
      </c>
      <c r="E88" s="2298"/>
      <c r="F88" s="2285"/>
      <c r="G88" s="2286"/>
      <c r="H88" s="2287" t="str">
        <f t="shared" si="27"/>
        <v>——</v>
      </c>
      <c r="I88" s="2299">
        <v>0.06</v>
      </c>
      <c r="J88" s="2289">
        <f t="shared" si="28"/>
        <v>0</v>
      </c>
      <c r="K88" s="2289">
        <f t="shared" si="29"/>
        <v>0</v>
      </c>
      <c r="L88" s="2289">
        <v>0</v>
      </c>
      <c r="M88" s="2289">
        <f t="shared" si="30"/>
        <v>0</v>
      </c>
      <c r="N88" s="2289">
        <f t="shared" si="30"/>
        <v>0</v>
      </c>
      <c r="Q88" s="3055"/>
      <c r="R88" s="3055"/>
      <c r="S88" s="3055"/>
      <c r="T88" s="3055"/>
      <c r="U88" s="3055"/>
      <c r="V88" s="3055"/>
      <c r="W88" s="3055"/>
      <c r="AA88" s="1624"/>
      <c r="AG88" s="2265"/>
    </row>
    <row r="89" spans="1:33">
      <c r="Q89" s="3055"/>
      <c r="R89" s="3055"/>
      <c r="S89" s="3055"/>
      <c r="T89" s="3055"/>
      <c r="U89" s="3055"/>
      <c r="V89" s="3055"/>
      <c r="W89" s="3055"/>
    </row>
    <row r="90" spans="1:33">
      <c r="A90" s="3405" t="s">
        <v>2677</v>
      </c>
      <c r="B90" s="3405"/>
      <c r="C90" s="3405"/>
      <c r="D90" s="3405"/>
      <c r="E90" s="3405"/>
      <c r="F90" s="3405"/>
      <c r="G90" s="3405"/>
      <c r="H90" s="3405"/>
      <c r="I90" s="3405"/>
      <c r="J90" s="3405"/>
      <c r="K90" s="2306"/>
      <c r="L90" s="2306"/>
      <c r="M90" s="2306"/>
      <c r="N90" s="2306"/>
      <c r="Q90" s="3055"/>
      <c r="R90" s="3055"/>
      <c r="S90" s="3055"/>
      <c r="T90" s="3055"/>
      <c r="U90" s="3055"/>
      <c r="V90" s="3055"/>
      <c r="W90" s="3055"/>
    </row>
    <row r="91" spans="1:33">
      <c r="A91" s="3407" t="s">
        <v>2678</v>
      </c>
      <c r="B91" s="3407" t="s">
        <v>2679</v>
      </c>
      <c r="C91" s="2245" t="s">
        <v>2680</v>
      </c>
      <c r="D91" s="2246"/>
      <c r="E91" s="2246"/>
      <c r="F91" s="2246"/>
      <c r="G91" s="2246"/>
      <c r="H91" s="2246"/>
      <c r="I91" s="2246"/>
      <c r="J91" s="2308"/>
      <c r="K91" s="2068"/>
      <c r="L91" s="2068"/>
      <c r="M91" s="2068"/>
      <c r="N91" s="2068"/>
      <c r="Q91" s="3055"/>
      <c r="R91" s="3055"/>
      <c r="S91" s="3055"/>
      <c r="T91" s="3055"/>
      <c r="U91" s="3055"/>
      <c r="V91" s="3055"/>
      <c r="W91" s="3055"/>
    </row>
    <row r="92" spans="1:33">
      <c r="A92" s="3407"/>
      <c r="B92" s="3407"/>
      <c r="C92" s="2031" t="s">
        <v>2533</v>
      </c>
      <c r="D92" s="2031" t="s">
        <v>2534</v>
      </c>
      <c r="E92" s="2031" t="s">
        <v>2535</v>
      </c>
      <c r="F92" s="2031" t="s">
        <v>2536</v>
      </c>
      <c r="G92" s="2031" t="s">
        <v>2537</v>
      </c>
      <c r="H92" s="2031" t="s">
        <v>2538</v>
      </c>
      <c r="I92" s="2031" t="s">
        <v>2539</v>
      </c>
      <c r="J92" s="2031" t="s">
        <v>2540</v>
      </c>
      <c r="K92" s="2031" t="s">
        <v>2541</v>
      </c>
      <c r="L92" s="2031" t="s">
        <v>2542</v>
      </c>
      <c r="M92" s="2031" t="s">
        <v>2543</v>
      </c>
      <c r="N92" s="2031" t="s">
        <v>2544</v>
      </c>
      <c r="Q92" s="3055"/>
      <c r="R92" s="3055"/>
      <c r="S92" s="3055"/>
      <c r="T92" s="3055"/>
      <c r="U92" s="3055"/>
      <c r="V92" s="3055"/>
      <c r="W92" s="3055"/>
    </row>
    <row r="93" spans="1:33">
      <c r="A93" s="3408" t="s">
        <v>2681</v>
      </c>
      <c r="B93" s="2309">
        <v>1</v>
      </c>
      <c r="C93" s="2310">
        <v>1.9361999999999999</v>
      </c>
      <c r="D93" s="2310">
        <v>1.9361999999999999</v>
      </c>
      <c r="E93" s="2310">
        <v>1.8629</v>
      </c>
      <c r="F93" s="2310">
        <v>1.8629</v>
      </c>
      <c r="G93" s="2310">
        <v>1.8629</v>
      </c>
      <c r="H93" s="2310">
        <v>1.8629</v>
      </c>
      <c r="I93" s="2310">
        <v>1.8629</v>
      </c>
      <c r="J93" s="2310">
        <v>1.9419999999999999</v>
      </c>
      <c r="K93" s="2310">
        <v>1.9419999999999999</v>
      </c>
      <c r="L93" s="2310">
        <v>1.9419999999999999</v>
      </c>
      <c r="M93" s="2310">
        <v>1.9419999999999999</v>
      </c>
      <c r="N93" s="2310">
        <v>1.9419999999999999</v>
      </c>
      <c r="Q93" s="3055"/>
      <c r="R93" s="3055"/>
      <c r="S93" s="3055"/>
      <c r="T93" s="3055"/>
      <c r="U93" s="3055"/>
      <c r="V93" s="3055"/>
      <c r="W93" s="3055"/>
    </row>
    <row r="94" spans="1:33">
      <c r="A94" s="3409"/>
      <c r="B94" s="2309">
        <v>2</v>
      </c>
      <c r="C94" s="2310">
        <v>1.4198</v>
      </c>
      <c r="D94" s="2310">
        <v>1.4198</v>
      </c>
      <c r="E94" s="2310">
        <v>1.3371999999999999</v>
      </c>
      <c r="F94" s="2310">
        <v>1.3371999999999999</v>
      </c>
      <c r="G94" s="2310">
        <v>1.3371999999999999</v>
      </c>
      <c r="H94" s="2310">
        <v>1.3371999999999999</v>
      </c>
      <c r="I94" s="2310">
        <v>1.3371999999999999</v>
      </c>
      <c r="J94" s="2310">
        <v>1.2799</v>
      </c>
      <c r="K94" s="2310">
        <v>1.2799</v>
      </c>
      <c r="L94" s="2310">
        <v>1.2799</v>
      </c>
      <c r="M94" s="2310">
        <v>1.2799</v>
      </c>
      <c r="N94" s="2310">
        <v>1.2799</v>
      </c>
      <c r="Q94" s="3055"/>
      <c r="R94" s="3055"/>
      <c r="S94" s="3055"/>
      <c r="T94" s="3055"/>
      <c r="U94" s="3055"/>
      <c r="V94" s="3055"/>
      <c r="W94" s="3055"/>
    </row>
    <row r="95" spans="1:33">
      <c r="A95" s="3409"/>
      <c r="B95" s="2309">
        <v>3</v>
      </c>
      <c r="C95" s="2310">
        <v>1.1594</v>
      </c>
      <c r="D95" s="2310">
        <v>1.1594</v>
      </c>
      <c r="E95" s="2310">
        <v>1.0788</v>
      </c>
      <c r="F95" s="2310">
        <v>1.0788</v>
      </c>
      <c r="G95" s="2310">
        <v>1.0788</v>
      </c>
      <c r="H95" s="2310">
        <v>1.0788</v>
      </c>
      <c r="I95" s="2310">
        <v>1.0788</v>
      </c>
      <c r="J95" s="2310">
        <v>1.0072000000000001</v>
      </c>
      <c r="K95" s="2310">
        <v>1.0072000000000001</v>
      </c>
      <c r="L95" s="2310">
        <v>1.0072000000000001</v>
      </c>
      <c r="M95" s="2310">
        <v>1.0072000000000001</v>
      </c>
      <c r="N95" s="2310">
        <v>1.0072000000000001</v>
      </c>
      <c r="Q95" s="3055"/>
      <c r="R95" s="3055"/>
      <c r="S95" s="3055"/>
      <c r="T95" s="3055"/>
      <c r="U95" s="3055"/>
      <c r="V95" s="3055"/>
      <c r="W95" s="3055"/>
    </row>
    <row r="96" spans="1:33">
      <c r="A96" s="3409"/>
      <c r="B96" s="2309">
        <v>4</v>
      </c>
      <c r="C96" s="2310">
        <v>0.96220000000000006</v>
      </c>
      <c r="D96" s="2310">
        <v>0.96220000000000006</v>
      </c>
      <c r="E96" s="2310">
        <v>0.86560000000000004</v>
      </c>
      <c r="F96" s="2310">
        <v>0.86560000000000004</v>
      </c>
      <c r="G96" s="2310">
        <v>0.86560000000000004</v>
      </c>
      <c r="H96" s="2310">
        <v>0.86560000000000004</v>
      </c>
      <c r="I96" s="2310">
        <v>0.86560000000000004</v>
      </c>
      <c r="J96" s="2310">
        <v>0.75249999999999995</v>
      </c>
      <c r="K96" s="2310">
        <v>0.75249999999999995</v>
      </c>
      <c r="L96" s="2310">
        <v>0.75249999999999995</v>
      </c>
      <c r="M96" s="2310">
        <v>0.75249999999999995</v>
      </c>
      <c r="N96" s="2310">
        <v>0.75249999999999995</v>
      </c>
      <c r="Q96" s="3055"/>
      <c r="R96" s="3055"/>
      <c r="S96" s="3055"/>
      <c r="T96" s="3055"/>
      <c r="U96" s="3055"/>
      <c r="V96" s="3055"/>
      <c r="W96" s="3055"/>
    </row>
    <row r="97" spans="1:23">
      <c r="A97" s="3409"/>
      <c r="B97" s="2309">
        <v>5</v>
      </c>
      <c r="C97" s="2310">
        <v>0.8417</v>
      </c>
      <c r="D97" s="2310">
        <v>0.8417</v>
      </c>
      <c r="E97" s="2310">
        <v>0.73709999999999998</v>
      </c>
      <c r="F97" s="2310">
        <v>0.73709999999999998</v>
      </c>
      <c r="G97" s="2310">
        <v>0.73709999999999998</v>
      </c>
      <c r="H97" s="2310">
        <v>0.73709999999999998</v>
      </c>
      <c r="I97" s="2310">
        <v>0.73709999999999998</v>
      </c>
      <c r="J97" s="2310">
        <v>0.56589999999999996</v>
      </c>
      <c r="K97" s="2310">
        <v>0.56589999999999996</v>
      </c>
      <c r="L97" s="2310">
        <v>0.56589999999999996</v>
      </c>
      <c r="M97" s="2310">
        <v>0.56589999999999996</v>
      </c>
      <c r="N97" s="2310">
        <v>0.56589999999999996</v>
      </c>
      <c r="Q97" s="3055"/>
      <c r="R97" s="3055"/>
      <c r="S97" s="3055"/>
      <c r="T97" s="3055"/>
      <c r="U97" s="3055"/>
      <c r="V97" s="3055"/>
      <c r="W97" s="3055"/>
    </row>
    <row r="98" spans="1:23">
      <c r="A98" s="3409"/>
      <c r="B98" s="2309">
        <v>6</v>
      </c>
      <c r="C98" s="2310">
        <v>0.76080000000000003</v>
      </c>
      <c r="D98" s="2310">
        <v>0.76080000000000003</v>
      </c>
      <c r="E98" s="2310">
        <v>0.6482</v>
      </c>
      <c r="F98" s="2310">
        <v>0.6482</v>
      </c>
      <c r="G98" s="2310">
        <v>0.6482</v>
      </c>
      <c r="H98" s="2310">
        <v>0.6482</v>
      </c>
      <c r="I98" s="2310">
        <v>0.6482</v>
      </c>
      <c r="J98" s="2310">
        <v>0.45250000000000001</v>
      </c>
      <c r="K98" s="2310">
        <v>0.45250000000000001</v>
      </c>
      <c r="L98" s="2310">
        <v>0.45250000000000001</v>
      </c>
      <c r="M98" s="2310">
        <v>0.45250000000000001</v>
      </c>
      <c r="N98" s="2310">
        <v>0.45250000000000001</v>
      </c>
      <c r="Q98" s="3055"/>
      <c r="R98" s="3055"/>
      <c r="S98" s="3055"/>
      <c r="T98" s="3055"/>
      <c r="U98" s="3055"/>
      <c r="V98" s="3055"/>
      <c r="W98" s="3055"/>
    </row>
    <row r="99" spans="1:23">
      <c r="A99" s="3409"/>
      <c r="B99" s="2309" t="s">
        <v>2549</v>
      </c>
      <c r="C99" s="2311">
        <f>$I$3</f>
        <v>0</v>
      </c>
      <c r="D99" s="2311">
        <f t="shared" ref="D99:M99" si="31">$I$3</f>
        <v>0</v>
      </c>
      <c r="E99" s="2311">
        <f t="shared" si="31"/>
        <v>0</v>
      </c>
      <c r="F99" s="2311">
        <f t="shared" si="31"/>
        <v>0</v>
      </c>
      <c r="G99" s="2311">
        <f t="shared" si="31"/>
        <v>0</v>
      </c>
      <c r="H99" s="2311">
        <f t="shared" si="31"/>
        <v>0</v>
      </c>
      <c r="I99" s="2311">
        <f t="shared" si="31"/>
        <v>0</v>
      </c>
      <c r="J99" s="2311">
        <f t="shared" si="31"/>
        <v>0</v>
      </c>
      <c r="K99" s="2311">
        <f t="shared" si="31"/>
        <v>0</v>
      </c>
      <c r="L99" s="2311">
        <f t="shared" si="31"/>
        <v>0</v>
      </c>
      <c r="M99" s="2311">
        <f t="shared" si="31"/>
        <v>0</v>
      </c>
      <c r="N99" s="2311">
        <f>$I$3</f>
        <v>0</v>
      </c>
      <c r="Q99" s="3055"/>
      <c r="R99" s="3055"/>
      <c r="S99" s="3055"/>
      <c r="T99" s="3055"/>
      <c r="U99" s="3055"/>
      <c r="V99" s="3055"/>
      <c r="W99" s="3055"/>
    </row>
    <row r="100" spans="1:23">
      <c r="A100" s="3410"/>
      <c r="B100" s="2309">
        <v>7</v>
      </c>
      <c r="C100" s="2312">
        <f>(-0.163*(C99^2)-0.59*C99+7617)*(10^(-4))</f>
        <v>0.76170000000000004</v>
      </c>
      <c r="D100" s="2312">
        <f>(-0.163*(D99^2)-0.59*D99+7617)*(10^(-4))</f>
        <v>0.76170000000000004</v>
      </c>
      <c r="E100" s="2312">
        <f>(-0.161*(E99^2)-7.509*E99+6533)*(10^(-4))</f>
        <v>0.65329999999999999</v>
      </c>
      <c r="F100" s="2312">
        <f>(-0.161*(F99^2)-7.509*F99+6533)*(10^(-4))</f>
        <v>0.65329999999999999</v>
      </c>
      <c r="G100" s="2312">
        <f>(-0.161*(G99^2)-7.509*G99+6533)*(10^(-4))</f>
        <v>0.65329999999999999</v>
      </c>
      <c r="H100" s="2312">
        <f>(-0.161*(H99^2)-7.509*H99+6533)*(10^(-4))</f>
        <v>0.65329999999999999</v>
      </c>
      <c r="I100" s="2312">
        <f>(-0.161*(I99^2)-7.509*I99+6533)*(10^(-4))</f>
        <v>0.65329999999999999</v>
      </c>
      <c r="J100" s="2312">
        <f>(-0.214*(J99^2)-21.991*J99+4665)*(10^(-4))</f>
        <v>0.46650000000000003</v>
      </c>
      <c r="K100" s="2312">
        <f>(-0.214*(K99^2)-21.991*K99+4665)*(10^(-4))</f>
        <v>0.46650000000000003</v>
      </c>
      <c r="L100" s="2312">
        <f>(-0.214*(L99^2)-21.991*L99+4665)*(10^(-4))</f>
        <v>0.46650000000000003</v>
      </c>
      <c r="M100" s="2312">
        <f>(-0.214*(M99^2)-21.991*M99+4665)*(10^(-4))</f>
        <v>0.46650000000000003</v>
      </c>
      <c r="N100" s="2312">
        <f>(-0.214*(N99^2)-21.991*N99+4665)*(10^(-4))</f>
        <v>0.46650000000000003</v>
      </c>
      <c r="Q100" s="3055"/>
      <c r="R100" s="3055"/>
      <c r="S100" s="3055"/>
      <c r="T100" s="3055"/>
      <c r="U100" s="3055"/>
      <c r="V100" s="3055"/>
      <c r="W100" s="3055"/>
    </row>
    <row r="101" spans="1:23">
      <c r="A101" s="3408" t="s">
        <v>2682</v>
      </c>
      <c r="B101" s="2313" t="s">
        <v>2683</v>
      </c>
      <c r="C101" s="2314">
        <f>$G$3</f>
        <v>3</v>
      </c>
      <c r="D101" s="2314">
        <f t="shared" ref="D101:N101" si="32">$G$3</f>
        <v>3</v>
      </c>
      <c r="E101" s="2314">
        <f t="shared" si="32"/>
        <v>3</v>
      </c>
      <c r="F101" s="2314">
        <f t="shared" si="32"/>
        <v>3</v>
      </c>
      <c r="G101" s="2314">
        <f t="shared" si="32"/>
        <v>3</v>
      </c>
      <c r="H101" s="2314">
        <f t="shared" si="32"/>
        <v>3</v>
      </c>
      <c r="I101" s="2314">
        <f t="shared" si="32"/>
        <v>3</v>
      </c>
      <c r="J101" s="2314">
        <f t="shared" si="32"/>
        <v>3</v>
      </c>
      <c r="K101" s="2314">
        <f t="shared" si="32"/>
        <v>3</v>
      </c>
      <c r="L101" s="2314">
        <f t="shared" si="32"/>
        <v>3</v>
      </c>
      <c r="M101" s="2314">
        <f t="shared" si="32"/>
        <v>3</v>
      </c>
      <c r="N101" s="2314">
        <f t="shared" si="32"/>
        <v>3</v>
      </c>
      <c r="Q101" s="3055"/>
      <c r="R101" s="3055"/>
      <c r="S101" s="3055"/>
      <c r="T101" s="3055"/>
      <c r="U101" s="3055"/>
      <c r="V101" s="3055"/>
      <c r="W101" s="3055"/>
    </row>
    <row r="102" spans="1:23">
      <c r="A102" s="3409"/>
      <c r="B102" s="2309">
        <v>1</v>
      </c>
      <c r="C102" s="2310">
        <f>1.9362/C101</f>
        <v>0.64539999999999997</v>
      </c>
      <c r="D102" s="2310">
        <f>1.9362/D101</f>
        <v>0.64539999999999997</v>
      </c>
      <c r="E102" s="2310">
        <f>1.8629/E101</f>
        <v>0.62096666666666667</v>
      </c>
      <c r="F102" s="2310">
        <f>1.8629/F101</f>
        <v>0.62096666666666667</v>
      </c>
      <c r="G102" s="2310">
        <f>1.8629/G101</f>
        <v>0.62096666666666667</v>
      </c>
      <c r="H102" s="2310">
        <f>1.8629/H101</f>
        <v>0.62096666666666667</v>
      </c>
      <c r="I102" s="2310">
        <f>1.8629/I101</f>
        <v>0.62096666666666667</v>
      </c>
      <c r="J102" s="2310">
        <f>1.942/J101</f>
        <v>0.64733333333333332</v>
      </c>
      <c r="K102" s="2310">
        <f>1.942/K101</f>
        <v>0.64733333333333332</v>
      </c>
      <c r="L102" s="2310">
        <f>1.942/L101</f>
        <v>0.64733333333333332</v>
      </c>
      <c r="M102" s="2310">
        <f>1.942/M101</f>
        <v>0.64733333333333332</v>
      </c>
      <c r="N102" s="2310">
        <f>1.942/N101</f>
        <v>0.64733333333333332</v>
      </c>
      <c r="Q102" s="3055"/>
      <c r="R102" s="3055"/>
      <c r="S102" s="3055"/>
      <c r="T102" s="3055"/>
      <c r="U102" s="3055"/>
      <c r="V102" s="3055"/>
      <c r="W102" s="3055"/>
    </row>
    <row r="103" spans="1:23">
      <c r="A103" s="3409"/>
      <c r="B103" s="2309">
        <v>2</v>
      </c>
      <c r="C103" s="2310">
        <f>1.4198/C101</f>
        <v>0.47326666666666667</v>
      </c>
      <c r="D103" s="2310">
        <f>1.4198/D101</f>
        <v>0.47326666666666667</v>
      </c>
      <c r="E103" s="2310">
        <f>1.3372/E101</f>
        <v>0.44573333333333331</v>
      </c>
      <c r="F103" s="2310">
        <f>1.3372/F101</f>
        <v>0.44573333333333331</v>
      </c>
      <c r="G103" s="2310">
        <f>1.3372/G101</f>
        <v>0.44573333333333331</v>
      </c>
      <c r="H103" s="2310">
        <f>1.3372/H101</f>
        <v>0.44573333333333331</v>
      </c>
      <c r="I103" s="2310">
        <f>1.3372/I101</f>
        <v>0.44573333333333331</v>
      </c>
      <c r="J103" s="2310">
        <f>1.2799/J101</f>
        <v>0.42663333333333336</v>
      </c>
      <c r="K103" s="2310">
        <f>1.2799/K101</f>
        <v>0.42663333333333336</v>
      </c>
      <c r="L103" s="2310">
        <f>1.2799/L101</f>
        <v>0.42663333333333336</v>
      </c>
      <c r="M103" s="2310">
        <f>1.2799/M101</f>
        <v>0.42663333333333336</v>
      </c>
      <c r="N103" s="2310">
        <f>1.2799/N101</f>
        <v>0.42663333333333336</v>
      </c>
      <c r="Q103" s="3055"/>
      <c r="R103" s="3055"/>
      <c r="S103" s="3055"/>
      <c r="T103" s="3055"/>
      <c r="U103" s="3055"/>
      <c r="V103" s="3055"/>
      <c r="W103" s="3055"/>
    </row>
    <row r="104" spans="1:23">
      <c r="A104" s="3409"/>
      <c r="B104" s="2309">
        <v>3</v>
      </c>
      <c r="C104" s="2310">
        <f>1.1594/C101</f>
        <v>0.38646666666666668</v>
      </c>
      <c r="D104" s="2310">
        <f>1.1594/D101</f>
        <v>0.38646666666666668</v>
      </c>
      <c r="E104" s="2310">
        <f>1.0788/E101</f>
        <v>0.35959999999999998</v>
      </c>
      <c r="F104" s="2310">
        <f>1.0788/F101</f>
        <v>0.35959999999999998</v>
      </c>
      <c r="G104" s="2310">
        <f>1.0788/G101</f>
        <v>0.35959999999999998</v>
      </c>
      <c r="H104" s="2310">
        <f>1.0788/H101</f>
        <v>0.35959999999999998</v>
      </c>
      <c r="I104" s="2310">
        <f>1.0788/I101</f>
        <v>0.35959999999999998</v>
      </c>
      <c r="J104" s="2310">
        <f>1.0072/J101</f>
        <v>0.33573333333333338</v>
      </c>
      <c r="K104" s="2310">
        <f>1.0072/K101</f>
        <v>0.33573333333333338</v>
      </c>
      <c r="L104" s="2310">
        <f>1.0072/L101</f>
        <v>0.33573333333333338</v>
      </c>
      <c r="M104" s="2310">
        <f>1.0072/M101</f>
        <v>0.33573333333333338</v>
      </c>
      <c r="N104" s="2310">
        <f>1.0072/N101</f>
        <v>0.33573333333333338</v>
      </c>
      <c r="Q104" s="3055"/>
      <c r="R104" s="3055"/>
      <c r="S104" s="3055"/>
      <c r="T104" s="3055"/>
      <c r="U104" s="3055"/>
      <c r="V104" s="3055"/>
      <c r="W104" s="3055"/>
    </row>
    <row r="105" spans="1:23">
      <c r="A105" s="3409"/>
      <c r="B105" s="2309">
        <v>4</v>
      </c>
      <c r="C105" s="2310">
        <f>0.9622/C101</f>
        <v>0.32073333333333337</v>
      </c>
      <c r="D105" s="2310">
        <f>0.9622/D101</f>
        <v>0.32073333333333337</v>
      </c>
      <c r="E105" s="2310">
        <f>0.8656/E101</f>
        <v>0.28853333333333336</v>
      </c>
      <c r="F105" s="2310">
        <f>0.8656/F101</f>
        <v>0.28853333333333336</v>
      </c>
      <c r="G105" s="2310">
        <f>0.8656/G101</f>
        <v>0.28853333333333336</v>
      </c>
      <c r="H105" s="2310">
        <f>0.8656/H101</f>
        <v>0.28853333333333336</v>
      </c>
      <c r="I105" s="2310">
        <f>0.8656/I101</f>
        <v>0.28853333333333336</v>
      </c>
      <c r="J105" s="2310">
        <f>0.7525/J101</f>
        <v>0.2508333333333333</v>
      </c>
      <c r="K105" s="2310">
        <f>0.7525/K101</f>
        <v>0.2508333333333333</v>
      </c>
      <c r="L105" s="2310">
        <f>0.7525/L101</f>
        <v>0.2508333333333333</v>
      </c>
      <c r="M105" s="2310">
        <f>0.7525/M101</f>
        <v>0.2508333333333333</v>
      </c>
      <c r="N105" s="2310">
        <f>0.7525/N101</f>
        <v>0.2508333333333333</v>
      </c>
      <c r="Q105" s="3055"/>
      <c r="R105" s="3055"/>
      <c r="S105" s="3055"/>
      <c r="T105" s="3055"/>
      <c r="U105" s="3055"/>
      <c r="V105" s="3055"/>
      <c r="W105" s="3055"/>
    </row>
    <row r="106" spans="1:23">
      <c r="A106" s="3409"/>
      <c r="B106" s="2309">
        <v>5</v>
      </c>
      <c r="C106" s="2310">
        <f>0.8417/C101</f>
        <v>0.28056666666666669</v>
      </c>
      <c r="D106" s="2310">
        <f>0.8417/D101</f>
        <v>0.28056666666666669</v>
      </c>
      <c r="E106" s="2310">
        <f>0.7371/E101</f>
        <v>0.2457</v>
      </c>
      <c r="F106" s="2310">
        <f>0.7371/F101</f>
        <v>0.2457</v>
      </c>
      <c r="G106" s="2310">
        <f>0.7371/G101</f>
        <v>0.2457</v>
      </c>
      <c r="H106" s="2310">
        <f>0.7371/H101</f>
        <v>0.2457</v>
      </c>
      <c r="I106" s="2310">
        <f>0.7371/I101</f>
        <v>0.2457</v>
      </c>
      <c r="J106" s="2310">
        <f>0.5659/J101</f>
        <v>0.18863333333333332</v>
      </c>
      <c r="K106" s="2310">
        <f>0.5659/K101</f>
        <v>0.18863333333333332</v>
      </c>
      <c r="L106" s="2310">
        <f>0.5659/L101</f>
        <v>0.18863333333333332</v>
      </c>
      <c r="M106" s="2310">
        <f>0.5659/M101</f>
        <v>0.18863333333333332</v>
      </c>
      <c r="N106" s="2310">
        <f>0.5659/N101</f>
        <v>0.18863333333333332</v>
      </c>
      <c r="Q106" s="3055"/>
      <c r="R106" s="3055"/>
      <c r="S106" s="3055"/>
      <c r="T106" s="3055"/>
      <c r="U106" s="3055"/>
      <c r="V106" s="3055"/>
      <c r="W106" s="3055"/>
    </row>
    <row r="107" spans="1:23">
      <c r="A107" s="3409"/>
      <c r="B107" s="2309">
        <v>6</v>
      </c>
      <c r="C107" s="2310">
        <f>0.7608/C101</f>
        <v>0.25359999999999999</v>
      </c>
      <c r="D107" s="2310">
        <f>0.7608/D101</f>
        <v>0.25359999999999999</v>
      </c>
      <c r="E107" s="2310">
        <f>0.6482/E101</f>
        <v>0.21606666666666666</v>
      </c>
      <c r="F107" s="2310">
        <f>0.6482/F101</f>
        <v>0.21606666666666666</v>
      </c>
      <c r="G107" s="2310">
        <f>0.6482/G101</f>
        <v>0.21606666666666666</v>
      </c>
      <c r="H107" s="2310">
        <f>0.6482/H101</f>
        <v>0.21606666666666666</v>
      </c>
      <c r="I107" s="2310">
        <f>0.6482/I101</f>
        <v>0.21606666666666666</v>
      </c>
      <c r="J107" s="2310">
        <f>0.4525/J101</f>
        <v>0.15083333333333335</v>
      </c>
      <c r="K107" s="2310">
        <f>0.4525/K101</f>
        <v>0.15083333333333335</v>
      </c>
      <c r="L107" s="2310">
        <f>0.4525/L101</f>
        <v>0.15083333333333335</v>
      </c>
      <c r="M107" s="2310">
        <f>0.4525/M101</f>
        <v>0.15083333333333335</v>
      </c>
      <c r="N107" s="2310">
        <f>0.4525/N101</f>
        <v>0.15083333333333335</v>
      </c>
      <c r="Q107" s="3055"/>
      <c r="R107" s="3055"/>
      <c r="S107" s="3055"/>
      <c r="T107" s="3055"/>
      <c r="U107" s="3055"/>
      <c r="V107" s="3055"/>
      <c r="W107" s="3055"/>
    </row>
    <row r="108" spans="1:23">
      <c r="A108" s="3409"/>
      <c r="B108" s="3411" t="s">
        <v>2684</v>
      </c>
      <c r="C108" s="2311">
        <f>C99</f>
        <v>0</v>
      </c>
      <c r="D108" s="2311">
        <f t="shared" ref="D108:N108" si="33">D99</f>
        <v>0</v>
      </c>
      <c r="E108" s="2311">
        <f t="shared" si="33"/>
        <v>0</v>
      </c>
      <c r="F108" s="2311">
        <f t="shared" si="33"/>
        <v>0</v>
      </c>
      <c r="G108" s="2311">
        <f t="shared" si="33"/>
        <v>0</v>
      </c>
      <c r="H108" s="2311">
        <f t="shared" si="33"/>
        <v>0</v>
      </c>
      <c r="I108" s="2311">
        <f t="shared" si="33"/>
        <v>0</v>
      </c>
      <c r="J108" s="2311">
        <f t="shared" si="33"/>
        <v>0</v>
      </c>
      <c r="K108" s="2311">
        <f t="shared" si="33"/>
        <v>0</v>
      </c>
      <c r="L108" s="2311">
        <f t="shared" si="33"/>
        <v>0</v>
      </c>
      <c r="M108" s="2311">
        <f t="shared" si="33"/>
        <v>0</v>
      </c>
      <c r="N108" s="2311">
        <f t="shared" si="33"/>
        <v>0</v>
      </c>
      <c r="Q108" s="3055"/>
      <c r="R108" s="3055"/>
      <c r="S108" s="3055"/>
      <c r="T108" s="3055"/>
      <c r="U108" s="3055"/>
      <c r="V108" s="3055"/>
      <c r="W108" s="3055"/>
    </row>
    <row r="109" spans="1:23">
      <c r="A109" s="3410"/>
      <c r="B109" s="3412"/>
      <c r="C109" s="2312">
        <f>(-0.163*(C108^2)-0.59*C108+7617)*(10^(-4))/C101</f>
        <v>0.25390000000000001</v>
      </c>
      <c r="D109" s="2312">
        <f>(-0.163*(D108^2)-0.59*D108+7617)*(10^(-4))/D101</f>
        <v>0.25390000000000001</v>
      </c>
      <c r="E109" s="2312">
        <f>(-0.161*(E108^2)-7.509*E108+6533)*(10^(-4))/E101</f>
        <v>0.21776666666666666</v>
      </c>
      <c r="F109" s="2312">
        <f>(-0.161*(F108^2)-7.509*F108+6533)*(10^(-4))/F101</f>
        <v>0.21776666666666666</v>
      </c>
      <c r="G109" s="2312">
        <f>(-0.161*(G108^2)-7.509*G108+6533)*(10^(-4))/G101</f>
        <v>0.21776666666666666</v>
      </c>
      <c r="H109" s="2312">
        <f>(-0.161*(H108^2)-7.509*H108+6533)*(10^(-4))/H101</f>
        <v>0.21776666666666666</v>
      </c>
      <c r="I109" s="2312">
        <f>(-0.161*(I108^2)-7.509*I108+6533)*(10^(-4))/I101</f>
        <v>0.21776666666666666</v>
      </c>
      <c r="J109" s="2312">
        <f>(-0.214*(J108^2)-21.991*J108+4665)*(10^(-4))/J101</f>
        <v>0.1555</v>
      </c>
      <c r="K109" s="2312">
        <f>(-0.214*(K108^2)-21.991*K108+4665)*(10^(-4))/K101</f>
        <v>0.1555</v>
      </c>
      <c r="L109" s="2312">
        <f>(-0.214*(L108^2)-21.991*L108+4665)*(10^(-4))/L101</f>
        <v>0.1555</v>
      </c>
      <c r="M109" s="2312">
        <f>(-0.214*(M108^2)-21.991*M108+4665)*(10^(-4))/M101</f>
        <v>0.1555</v>
      </c>
      <c r="N109" s="2312">
        <f>(-0.214*(N108^2)-21.991*N108+4665)*(10^(-4))/N101</f>
        <v>0.1555</v>
      </c>
      <c r="Q109" s="3055"/>
      <c r="R109" s="3055"/>
      <c r="S109" s="3055"/>
      <c r="T109" s="3055"/>
      <c r="U109" s="3055"/>
      <c r="V109" s="3055"/>
      <c r="W109" s="3055"/>
    </row>
    <row r="110" spans="1:23">
      <c r="A110" s="3406" t="s">
        <v>2685</v>
      </c>
      <c r="B110" s="3406"/>
      <c r="C110" s="3406"/>
      <c r="D110" s="3406"/>
      <c r="E110" s="3406"/>
      <c r="F110" s="3406"/>
      <c r="G110" s="3406"/>
      <c r="H110" s="3406"/>
      <c r="I110" s="3406"/>
      <c r="J110" s="3406"/>
      <c r="K110" s="2080"/>
      <c r="L110" s="2080"/>
      <c r="M110" s="2080"/>
      <c r="N110" s="2080"/>
      <c r="Q110" s="3055"/>
      <c r="R110" s="3055"/>
      <c r="S110" s="3055"/>
      <c r="T110" s="3055"/>
      <c r="U110" s="3055"/>
      <c r="V110" s="3055"/>
      <c r="W110" s="3055"/>
    </row>
    <row r="112" spans="1:23" ht="13.5" thickBot="1"/>
    <row r="113" spans="1:13" ht="25.5" thickBot="1">
      <c r="A113" s="2315" t="s">
        <v>2686</v>
      </c>
      <c r="B113" s="2316">
        <f>G3</f>
        <v>3</v>
      </c>
      <c r="C113" s="2317" t="s">
        <v>2687</v>
      </c>
      <c r="D113" s="2318">
        <f>SUMPRODUCT((A115:A118=F113)*(B114:M114=H113)*B115:M118)</f>
        <v>0.81769999999999998</v>
      </c>
      <c r="E113" s="1602" t="s">
        <v>2573</v>
      </c>
      <c r="F113" s="2319" t="str">
        <f>E2</f>
        <v>办公</v>
      </c>
      <c r="G113" s="1602" t="s">
        <v>2507</v>
      </c>
      <c r="H113" s="2319" t="str">
        <f>G2</f>
        <v>三级</v>
      </c>
      <c r="I113" s="1602"/>
      <c r="J113" s="2320"/>
      <c r="K113" s="2320"/>
      <c r="L113" s="2320"/>
      <c r="M113" s="2320"/>
    </row>
    <row r="114" spans="1:13">
      <c r="A114" s="2321"/>
      <c r="B114" s="2322" t="s">
        <v>2688</v>
      </c>
      <c r="C114" s="2322" t="s">
        <v>2689</v>
      </c>
      <c r="D114" s="2322" t="s">
        <v>2690</v>
      </c>
      <c r="E114" s="2323" t="s">
        <v>2691</v>
      </c>
      <c r="F114" s="2323" t="s">
        <v>2692</v>
      </c>
      <c r="G114" s="2323" t="s">
        <v>2693</v>
      </c>
      <c r="H114" s="2324" t="s">
        <v>2694</v>
      </c>
      <c r="I114" s="2324" t="s">
        <v>2695</v>
      </c>
      <c r="J114" s="2325" t="s">
        <v>2696</v>
      </c>
      <c r="K114" s="2325" t="s">
        <v>2697</v>
      </c>
      <c r="L114" s="2325" t="s">
        <v>2698</v>
      </c>
      <c r="M114" s="2326" t="s">
        <v>2699</v>
      </c>
    </row>
    <row r="115" spans="1:13">
      <c r="A115" s="2327" t="s">
        <v>2574</v>
      </c>
      <c r="B115" s="2328">
        <f>ROUND(0.9335-0.0094*B113,4)</f>
        <v>0.90529999999999999</v>
      </c>
      <c r="C115" s="2328">
        <f>B115</f>
        <v>0.90529999999999999</v>
      </c>
      <c r="D115" s="2328">
        <f>ROUND(0.8331-0.0109*B113,4)</f>
        <v>0.8004</v>
      </c>
      <c r="E115" s="2328">
        <f>D115</f>
        <v>0.8004</v>
      </c>
      <c r="F115" s="2328">
        <f>E115</f>
        <v>0.8004</v>
      </c>
      <c r="G115" s="2328">
        <f>F115</f>
        <v>0.8004</v>
      </c>
      <c r="H115" s="2328">
        <f>G115</f>
        <v>0.8004</v>
      </c>
      <c r="I115" s="2328">
        <f>ROUND(0.689-0.0155*B113,4)</f>
        <v>0.64249999999999996</v>
      </c>
      <c r="J115" s="2328">
        <f t="shared" ref="J115:M118" si="34">I115</f>
        <v>0.64249999999999996</v>
      </c>
      <c r="K115" s="2328">
        <f t="shared" si="34"/>
        <v>0.64249999999999996</v>
      </c>
      <c r="L115" s="2328">
        <f t="shared" si="34"/>
        <v>0.64249999999999996</v>
      </c>
      <c r="M115" s="2329">
        <f t="shared" si="34"/>
        <v>0.64249999999999996</v>
      </c>
    </row>
    <row r="116" spans="1:13">
      <c r="A116" s="2327" t="s">
        <v>2575</v>
      </c>
      <c r="B116" s="2328">
        <f>ROUND(0.949-0.012*B113,4)</f>
        <v>0.91300000000000003</v>
      </c>
      <c r="C116" s="2328">
        <f>B116</f>
        <v>0.91300000000000003</v>
      </c>
      <c r="D116" s="2328">
        <f>ROUND(0.8567-0.013*B113,4)</f>
        <v>0.81769999999999998</v>
      </c>
      <c r="E116" s="2328">
        <f t="shared" ref="E116:H117" si="35">D116</f>
        <v>0.81769999999999998</v>
      </c>
      <c r="F116" s="2328">
        <f t="shared" si="35"/>
        <v>0.81769999999999998</v>
      </c>
      <c r="G116" s="2328">
        <f t="shared" si="35"/>
        <v>0.81769999999999998</v>
      </c>
      <c r="H116" s="2328">
        <f t="shared" si="35"/>
        <v>0.81769999999999998</v>
      </c>
      <c r="I116" s="2328">
        <f>ROUND(0.7694-0.014*B113,4)</f>
        <v>0.72740000000000005</v>
      </c>
      <c r="J116" s="2328">
        <f t="shared" si="34"/>
        <v>0.72740000000000005</v>
      </c>
      <c r="K116" s="2328">
        <f t="shared" si="34"/>
        <v>0.72740000000000005</v>
      </c>
      <c r="L116" s="2328">
        <f t="shared" si="34"/>
        <v>0.72740000000000005</v>
      </c>
      <c r="M116" s="2329">
        <f t="shared" si="34"/>
        <v>0.72740000000000005</v>
      </c>
    </row>
    <row r="117" spans="1:13">
      <c r="A117" s="2327" t="s">
        <v>2576</v>
      </c>
      <c r="B117" s="2328">
        <f>ROUND(0.8808-0.006*B113,4)</f>
        <v>0.86280000000000001</v>
      </c>
      <c r="C117" s="2328">
        <f>B117</f>
        <v>0.86280000000000001</v>
      </c>
      <c r="D117" s="2328">
        <f>ROUND(0.8748-0.008*B113,4)</f>
        <v>0.8508</v>
      </c>
      <c r="E117" s="2328">
        <f t="shared" si="35"/>
        <v>0.8508</v>
      </c>
      <c r="F117" s="2328">
        <f t="shared" si="35"/>
        <v>0.8508</v>
      </c>
      <c r="G117" s="2328">
        <f t="shared" si="35"/>
        <v>0.8508</v>
      </c>
      <c r="H117" s="2328">
        <f t="shared" si="35"/>
        <v>0.8508</v>
      </c>
      <c r="I117" s="2328">
        <f>ROUND(0.7412-0.0095*B113,4)</f>
        <v>0.7127</v>
      </c>
      <c r="J117" s="2328">
        <f t="shared" si="34"/>
        <v>0.7127</v>
      </c>
      <c r="K117" s="2328">
        <f t="shared" si="34"/>
        <v>0.7127</v>
      </c>
      <c r="L117" s="2328">
        <f t="shared" si="34"/>
        <v>0.7127</v>
      </c>
      <c r="M117" s="2329">
        <f t="shared" si="34"/>
        <v>0.7127</v>
      </c>
    </row>
    <row r="118" spans="1:13" ht="13.5" thickBot="1">
      <c r="A118" s="2330" t="s">
        <v>2577</v>
      </c>
      <c r="B118" s="2331">
        <f>ROUND(0.7275-0.01*B113,4)</f>
        <v>0.69750000000000001</v>
      </c>
      <c r="C118" s="2331">
        <f>B118</f>
        <v>0.69750000000000001</v>
      </c>
      <c r="D118" s="2331">
        <f>ROUND(0.7043-0.012*B113,4)</f>
        <v>0.66830000000000001</v>
      </c>
      <c r="E118" s="2331">
        <f>D118</f>
        <v>0.66830000000000001</v>
      </c>
      <c r="F118" s="2331">
        <f>E118</f>
        <v>0.66830000000000001</v>
      </c>
      <c r="G118" s="2331">
        <f>ROUND(0.6299-0.0122*B113,4)</f>
        <v>0.59330000000000005</v>
      </c>
      <c r="H118" s="2331">
        <f>G118</f>
        <v>0.59330000000000005</v>
      </c>
      <c r="I118" s="2331">
        <f>ROUND(0.5667-0.0136*B113,4)</f>
        <v>0.52590000000000003</v>
      </c>
      <c r="J118" s="2331">
        <f t="shared" si="34"/>
        <v>0.52590000000000003</v>
      </c>
      <c r="K118" s="2331">
        <f t="shared" si="34"/>
        <v>0.52590000000000003</v>
      </c>
      <c r="L118" s="2331">
        <f t="shared" si="34"/>
        <v>0.52590000000000003</v>
      </c>
      <c r="M118" s="2332">
        <f t="shared" si="34"/>
        <v>0.52590000000000003</v>
      </c>
    </row>
  </sheetData>
  <sheetProtection password="CEE9" sheet="1" objects="1" scenarios="1" formatCells="0" formatColumns="0" formatRows="0"/>
  <dataConsolidate/>
  <mergeCells count="17">
    <mergeCell ref="A16:A17"/>
    <mergeCell ref="A90:J90"/>
    <mergeCell ref="A110:J110"/>
    <mergeCell ref="A91:A92"/>
    <mergeCell ref="B91:B92"/>
    <mergeCell ref="A93:A100"/>
    <mergeCell ref="A101:A109"/>
    <mergeCell ref="B108:B109"/>
    <mergeCell ref="A33:A36"/>
    <mergeCell ref="D16:E16"/>
    <mergeCell ref="F16:G16"/>
    <mergeCell ref="W8:X8"/>
    <mergeCell ref="W9:W10"/>
    <mergeCell ref="W11:W13"/>
    <mergeCell ref="A4:J4"/>
    <mergeCell ref="A7:A11"/>
    <mergeCell ref="A12:A15"/>
  </mergeCells>
  <phoneticPr fontId="4" type="noConversion"/>
  <conditionalFormatting sqref="F48">
    <cfRule type="cellIs" dxfId="165" priority="5" stopIfTrue="1" operator="notEqual">
      <formula>"——"</formula>
    </cfRule>
  </conditionalFormatting>
  <conditionalFormatting sqref="F59">
    <cfRule type="cellIs" dxfId="164" priority="4" stopIfTrue="1" operator="notEqual">
      <formula>"——"</formula>
    </cfRule>
  </conditionalFormatting>
  <conditionalFormatting sqref="F70">
    <cfRule type="cellIs" dxfId="163" priority="3" stopIfTrue="1" operator="notEqual">
      <formula>"——"</formula>
    </cfRule>
  </conditionalFormatting>
  <conditionalFormatting sqref="F81">
    <cfRule type="cellIs" dxfId="162" priority="2" stopIfTrue="1" operator="notEqual">
      <formula>"——"</formula>
    </cfRule>
  </conditionalFormatting>
  <conditionalFormatting sqref="H48:H56 H59:H67 H70:H78 H81:H88">
    <cfRule type="cellIs" priority="1" operator="notEqual">
      <formula>"——"</formula>
    </cfRule>
  </conditionalFormatting>
  <dataValidations count="10">
    <dataValidation type="list" allowBlank="1" showInputMessage="1" showErrorMessage="1" sqref="F14">
      <formula1>"500米范围内,500-1000米,1000米以外"</formula1>
    </dataValidation>
    <dataValidation type="list" allowBlank="1" showInputMessage="1" showErrorMessage="1" sqref="C14:E14">
      <formula1>"有,无"</formula1>
    </dataValidation>
    <dataValidation type="list" allowBlank="1" showInputMessage="1" showErrorMessage="1" sqref="B21">
      <formula1>"容积率修正,楼层修正"</formula1>
    </dataValidation>
    <dataValidation type="list" allowBlank="1" showInputMessage="1" showErrorMessage="1" sqref="F17">
      <formula1>"与级别开发程度一致,与级别开发程度不一致"</formula1>
    </dataValidation>
    <dataValidation type="list" allowBlank="1" showInputMessage="1" showErrorMessage="1" sqref="E2">
      <formula1>"商业,办公,住宅,工业"</formula1>
    </dataValidation>
    <dataValidation type="list" allowBlank="1" showInputMessage="1" showErrorMessage="1" sqref="C8">
      <formula1>商业街名称</formula1>
    </dataValidation>
    <dataValidation type="list" allowBlank="1" showInputMessage="1" showErrorMessage="1" sqref="E3">
      <formula1>二级分类</formula1>
    </dataValidation>
    <dataValidation type="list" allowBlank="1" showInputMessage="1" showErrorMessage="1" sqref="C70:C78 C48:C56 C59:C67 C81:C88">
      <formula1>五等判定</formula1>
    </dataValidation>
    <dataValidation type="list" allowBlank="1" showInputMessage="1" showErrorMessage="1" sqref="H19">
      <formula1>"地价指数,季度增幅（自定义）,按公示增长率计算"</formula1>
    </dataValidation>
    <dataValidation type="list" allowBlank="1" showInputMessage="1" showErrorMessage="1" sqref="H16:O16">
      <formula1>七通一平</formula1>
    </dataValidation>
  </dataValidations>
  <pageMargins left="0.7" right="0.7" top="0.75" bottom="0.75" header="0.3" footer="0.3"/>
  <pageSetup paperSize="9" scale="46"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23"/>
  <sheetViews>
    <sheetView view="pageLayout" zoomScale="80" zoomScaleNormal="100" zoomScaleSheetLayoutView="110" zoomScalePageLayoutView="80" workbookViewId="0">
      <selection activeCell="B18" sqref="B18"/>
    </sheetView>
  </sheetViews>
  <sheetFormatPr defaultColWidth="8.125" defaultRowHeight="13.5"/>
  <cols>
    <col min="1" max="1" width="1.75" customWidth="1"/>
    <col min="2" max="2" width="82.375" customWidth="1"/>
    <col min="3" max="4" width="12.5" customWidth="1"/>
    <col min="8" max="8" width="17.5" customWidth="1"/>
  </cols>
  <sheetData>
    <row r="1" spans="1:7" ht="409.5" customHeight="1">
      <c r="A1" s="903"/>
      <c r="B1" s="704"/>
    </row>
    <row r="2" spans="1:7">
      <c r="A2" s="903"/>
      <c r="B2" s="704"/>
    </row>
    <row r="3" spans="1:7">
      <c r="A3" s="903"/>
      <c r="B3" s="704"/>
    </row>
    <row r="4" spans="1:7">
      <c r="A4" s="903"/>
      <c r="B4" s="704"/>
    </row>
    <row r="5" spans="1:7">
      <c r="A5" s="903"/>
      <c r="B5" s="704"/>
    </row>
    <row r="6" spans="1:7">
      <c r="A6" s="903"/>
      <c r="B6" s="704"/>
    </row>
    <row r="7" spans="1:7">
      <c r="A7" s="903"/>
      <c r="B7" s="704"/>
    </row>
    <row r="8" spans="1:7">
      <c r="A8" s="906" t="s">
        <v>940</v>
      </c>
      <c r="B8" s="905" t="s">
        <v>939</v>
      </c>
      <c r="C8" s="813"/>
    </row>
    <row r="9" spans="1:7">
      <c r="A9" s="903"/>
      <c r="B9" s="1339" t="str">
        <f>项目基本情况!B1</f>
        <v>北京市房地产抵押价值预评估</v>
      </c>
      <c r="C9" s="814"/>
      <c r="D9" s="815"/>
      <c r="E9" s="815"/>
      <c r="F9" s="815"/>
      <c r="G9" s="815"/>
    </row>
    <row r="10" spans="1:7">
      <c r="A10" s="903"/>
      <c r="B10" s="834"/>
      <c r="C10" s="814"/>
      <c r="D10" s="815"/>
      <c r="E10" s="815"/>
      <c r="F10" s="815"/>
      <c r="G10" s="815"/>
    </row>
    <row r="11" spans="1:7">
      <c r="A11" s="906" t="s">
        <v>940</v>
      </c>
      <c r="B11" s="905" t="s">
        <v>941</v>
      </c>
      <c r="C11" s="813"/>
    </row>
    <row r="12" spans="1:7">
      <c r="A12" s="903"/>
      <c r="B12" s="1340" t="str">
        <f>项目基本情况!B4</f>
        <v>xx</v>
      </c>
      <c r="C12" s="813"/>
    </row>
    <row r="13" spans="1:7">
      <c r="A13" s="903"/>
      <c r="B13" s="833"/>
      <c r="C13" s="813"/>
    </row>
    <row r="14" spans="1:7">
      <c r="A14" s="906" t="s">
        <v>940</v>
      </c>
      <c r="B14" s="905" t="s">
        <v>942</v>
      </c>
      <c r="C14" s="813"/>
    </row>
    <row r="15" spans="1:7">
      <c r="A15" s="903"/>
      <c r="B15" s="1340" t="s">
        <v>771</v>
      </c>
      <c r="C15" s="813"/>
    </row>
    <row r="16" spans="1:7">
      <c r="A16" s="903"/>
      <c r="B16" s="833"/>
      <c r="C16" s="813"/>
    </row>
    <row r="17" spans="1:5">
      <c r="A17" s="906" t="s">
        <v>940</v>
      </c>
      <c r="B17" s="905" t="s">
        <v>943</v>
      </c>
      <c r="C17" s="813"/>
    </row>
    <row r="18" spans="1:5" s="817" customFormat="1">
      <c r="A18" s="904"/>
      <c r="B18" s="1340" t="str">
        <f ca="1">CONCATENATE(项目基本情况!B3,"（注册号:",项目基本情况!C3,"）、",项目基本情况!D3,"（注册号:",项目基本情况!E3,")")</f>
        <v>吴薇（注册号:1419970001）、郑燚（注册号:1120070131)</v>
      </c>
      <c r="C18" s="816"/>
      <c r="E18" s="816"/>
    </row>
    <row r="19" spans="1:5">
      <c r="A19" s="903"/>
      <c r="B19" s="833"/>
      <c r="C19" s="813"/>
    </row>
    <row r="20" spans="1:5">
      <c r="A20" s="906" t="s">
        <v>940</v>
      </c>
      <c r="B20" s="905" t="s">
        <v>944</v>
      </c>
      <c r="C20" s="813"/>
    </row>
    <row r="21" spans="1:5">
      <c r="A21" s="903"/>
      <c r="B21" s="1340" t="str">
        <f>"康正预评字"&amp;项目基本情况!G1&amp;"号"</f>
        <v>康正预评字号</v>
      </c>
    </row>
    <row r="22" spans="1:5">
      <c r="A22" s="903"/>
      <c r="B22" s="704"/>
    </row>
    <row r="23" spans="1:5">
      <c r="B23" s="832"/>
    </row>
  </sheetData>
  <sheetProtection sheet="1" objects="1" scenarios="1" formatCells="0" formatRows="0" insertRows="0" deleteRows="0"/>
  <phoneticPr fontId="81" type="noConversion"/>
  <printOptions horizontalCentered="1"/>
  <pageMargins left="0.98425196850393704" right="0.78740157480314965" top="0.98425196850393704" bottom="0.98425196850393704" header="0.59055118110236227" footer="0.59055118110236227"/>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92D050"/>
    <pageSetUpPr fitToPage="1"/>
  </sheetPr>
  <dimension ref="A1:AK75"/>
  <sheetViews>
    <sheetView view="pageBreakPreview" zoomScale="60" zoomScaleNormal="60" workbookViewId="0">
      <selection activeCell="K35" sqref="K35"/>
    </sheetView>
  </sheetViews>
  <sheetFormatPr defaultColWidth="9" defaultRowHeight="15"/>
  <cols>
    <col min="1" max="1" width="9" style="225" customWidth="1"/>
    <col min="2" max="2" width="20.625" style="287" customWidth="1"/>
    <col min="3" max="3" width="11.875" style="287" customWidth="1"/>
    <col min="4" max="4" width="40.5" style="225" customWidth="1"/>
    <col min="5" max="5" width="15.75" style="225" customWidth="1"/>
    <col min="6" max="6" width="10.625" style="225" customWidth="1"/>
    <col min="7" max="7" width="4.875" style="225" customWidth="1"/>
    <col min="8" max="8" width="8.5" style="225" customWidth="1"/>
    <col min="9" max="9" width="21.25" style="225" customWidth="1"/>
    <col min="10" max="10" width="12.25" style="225" customWidth="1"/>
    <col min="11" max="11" width="40.125" style="277" customWidth="1"/>
    <col min="12" max="12" width="18.375" style="225" customWidth="1"/>
    <col min="13" max="13" width="13" style="225" customWidth="1"/>
    <col min="14" max="14" width="13.125" style="652" customWidth="1"/>
    <col min="15" max="15" width="5.25" style="652" customWidth="1"/>
    <col min="16" max="16" width="24.875" style="652" customWidth="1"/>
    <col min="17" max="17" width="13.75" style="656" customWidth="1"/>
    <col min="18" max="18" width="26.125" style="652" customWidth="1"/>
    <col min="19" max="19" width="1.5" style="652" customWidth="1"/>
    <col min="20" max="37" width="9" style="652"/>
    <col min="38" max="16384" width="9" style="225"/>
  </cols>
  <sheetData>
    <row r="1" spans="1:37" s="223" customFormat="1" ht="21">
      <c r="A1" s="221" t="s">
        <v>2004</v>
      </c>
      <c r="B1" s="222"/>
      <c r="C1" s="611"/>
      <c r="D1" s="1625" t="s">
        <v>2915</v>
      </c>
      <c r="E1" s="1626" t="s">
        <v>1241</v>
      </c>
      <c r="F1" s="1627"/>
      <c r="G1" s="1628" t="e">
        <f>MATCH(C1,'数据-取费表'!A19:A19,0)+5</f>
        <v>#N/A</v>
      </c>
      <c r="H1" s="2984"/>
      <c r="I1" s="925"/>
      <c r="J1" s="925"/>
      <c r="K1" s="926"/>
      <c r="L1" s="925"/>
      <c r="M1" s="925"/>
      <c r="N1" s="658"/>
      <c r="O1" s="658"/>
      <c r="P1" s="658"/>
      <c r="Q1" s="1039"/>
      <c r="R1" s="658"/>
      <c r="S1" s="658"/>
      <c r="T1" s="658"/>
      <c r="U1" s="658"/>
      <c r="V1" s="658"/>
      <c r="W1" s="658"/>
      <c r="X1" s="658"/>
      <c r="Y1" s="658"/>
      <c r="Z1" s="658"/>
      <c r="AA1" s="658"/>
      <c r="AB1" s="658"/>
      <c r="AC1" s="658"/>
      <c r="AD1" s="658"/>
      <c r="AE1" s="658"/>
      <c r="AF1" s="658"/>
      <c r="AG1" s="658"/>
      <c r="AH1" s="658"/>
      <c r="AI1" s="658"/>
      <c r="AJ1" s="658"/>
      <c r="AK1" s="658"/>
    </row>
    <row r="2" spans="1:37" ht="18" customHeight="1">
      <c r="A2" s="81" t="s">
        <v>1914</v>
      </c>
      <c r="B2" s="642">
        <f ca="1">IF(C2="元",IF('数据-取费表'!B29="租赁期内按合同租金",C40+L47+J29,C40+L47),ROUND(IF('数据-取费表'!B29="租赁期内按合同租金",(C40+L47+J29)/10000,(C40+L47)/10000),0))</f>
        <v>402</v>
      </c>
      <c r="C2" s="1519" t="str">
        <f>'数据-取费表'!B3</f>
        <v>万元</v>
      </c>
      <c r="D2" s="927"/>
      <c r="E2" s="928"/>
      <c r="F2" s="928"/>
      <c r="G2" s="953"/>
      <c r="H2" s="929"/>
      <c r="I2" s="929"/>
      <c r="J2" s="929"/>
      <c r="K2" s="930"/>
      <c r="L2" s="929"/>
      <c r="M2" s="929"/>
    </row>
    <row r="3" spans="1:37" ht="18" customHeight="1" thickBot="1">
      <c r="A3" s="226" t="s">
        <v>1915</v>
      </c>
      <c r="B3" s="643">
        <f ca="1">ROUND(IF('数据-取费表'!B29="租赁期内按合同租金",(C40+L47+J29)/F43,(C40+L47)/F43),0)</f>
        <v>25807</v>
      </c>
      <c r="C3" s="1519" t="s">
        <v>2005</v>
      </c>
      <c r="D3" s="927"/>
      <c r="E3" s="928"/>
      <c r="F3" s="928"/>
      <c r="G3" s="953"/>
      <c r="H3" s="227" t="s">
        <v>2006</v>
      </c>
      <c r="I3" s="929"/>
      <c r="J3" s="929"/>
      <c r="K3" s="930"/>
      <c r="L3" s="929"/>
      <c r="M3" s="929"/>
    </row>
    <row r="4" spans="1:37" ht="18" customHeight="1">
      <c r="A4" s="228" t="s">
        <v>2007</v>
      </c>
      <c r="B4" s="229" t="s">
        <v>2008</v>
      </c>
      <c r="C4" s="229" t="s">
        <v>2009</v>
      </c>
      <c r="D4" s="229" t="s">
        <v>2010</v>
      </c>
      <c r="E4" s="230" t="s">
        <v>2011</v>
      </c>
      <c r="F4" s="231"/>
      <c r="G4" s="951"/>
      <c r="H4" s="228" t="s">
        <v>2007</v>
      </c>
      <c r="I4" s="229" t="s">
        <v>2008</v>
      </c>
      <c r="J4" s="229" t="s">
        <v>2009</v>
      </c>
      <c r="K4" s="229" t="s">
        <v>2010</v>
      </c>
      <c r="L4" s="230" t="s">
        <v>2011</v>
      </c>
      <c r="M4" s="231"/>
    </row>
    <row r="5" spans="1:37" ht="18" customHeight="1">
      <c r="A5" s="232">
        <v>1</v>
      </c>
      <c r="B5" s="233" t="s">
        <v>2012</v>
      </c>
      <c r="C5" s="234">
        <f ca="1">C6+C10+C12</f>
        <v>205135</v>
      </c>
      <c r="D5" s="1633" t="s">
        <v>2726</v>
      </c>
      <c r="E5" s="927"/>
      <c r="F5" s="1056"/>
      <c r="G5" s="951"/>
      <c r="H5" s="232">
        <v>1</v>
      </c>
      <c r="I5" s="233" t="s">
        <v>2012</v>
      </c>
      <c r="J5" s="234">
        <f ca="1">J6+J10+J12</f>
        <v>0</v>
      </c>
      <c r="K5" s="1520" t="s">
        <v>2013</v>
      </c>
      <c r="L5" s="927"/>
      <c r="M5" s="1056"/>
    </row>
    <row r="6" spans="1:37" ht="18" customHeight="1">
      <c r="A6" s="1057" t="s">
        <v>2014</v>
      </c>
      <c r="B6" s="1442" t="s">
        <v>2015</v>
      </c>
      <c r="C6" s="234">
        <f>ROUND(F6*F8*F7*(1-F9),0)</f>
        <v>204879</v>
      </c>
      <c r="D6" s="36" t="s">
        <v>2701</v>
      </c>
      <c r="E6" s="235" t="s">
        <v>2016</v>
      </c>
      <c r="F6" s="236">
        <f>'数据-取费表'!B30</f>
        <v>4</v>
      </c>
      <c r="G6" s="951"/>
      <c r="H6" s="1057" t="s">
        <v>2014</v>
      </c>
      <c r="I6" s="1442" t="s">
        <v>2015</v>
      </c>
      <c r="J6" s="234">
        <f>ROUND(M6*M8*M7*(1-M9),0)</f>
        <v>0</v>
      </c>
      <c r="K6" s="36" t="s">
        <v>2701</v>
      </c>
      <c r="L6" s="235" t="s">
        <v>2016</v>
      </c>
      <c r="M6" s="236">
        <f>'数据-取费表'!B37</f>
        <v>0</v>
      </c>
    </row>
    <row r="7" spans="1:37" ht="18" customHeight="1">
      <c r="A7" s="1119"/>
      <c r="B7" s="238"/>
      <c r="C7" s="239"/>
      <c r="D7" s="240"/>
      <c r="E7" s="235" t="s">
        <v>2017</v>
      </c>
      <c r="F7" s="236">
        <f>IF('数据-取费表'!B42="",IF(D1="仅计算典型户型",'数据-取费表'!E5,'数据-取费表'!B5),'数据-取费表'!B42)</f>
        <v>155.91999999999999</v>
      </c>
      <c r="G7" s="951"/>
      <c r="H7" s="237"/>
      <c r="I7" s="238"/>
      <c r="J7" s="239"/>
      <c r="K7" s="240"/>
      <c r="L7" s="235" t="s">
        <v>2017</v>
      </c>
      <c r="M7" s="236">
        <f>IF('数据-取费表'!B42="",IF(D1="仅计算典型户型",'数据-取费表'!E5,'数据-取费表'!B5),'数据-取费表'!B42)</f>
        <v>155.91999999999999</v>
      </c>
    </row>
    <row r="8" spans="1:37" ht="18" customHeight="1">
      <c r="A8" s="1119"/>
      <c r="B8" s="238"/>
      <c r="C8" s="239"/>
      <c r="D8" s="240"/>
      <c r="E8" s="235" t="s">
        <v>2018</v>
      </c>
      <c r="F8" s="236">
        <f>'数据-取费表'!B43</f>
        <v>365</v>
      </c>
      <c r="G8" s="951"/>
      <c r="H8" s="237"/>
      <c r="I8" s="238"/>
      <c r="J8" s="239"/>
      <c r="K8" s="240"/>
      <c r="L8" s="235" t="s">
        <v>2019</v>
      </c>
      <c r="M8" s="236">
        <f>'数据-取费表'!B43</f>
        <v>365</v>
      </c>
    </row>
    <row r="9" spans="1:37" ht="18" customHeight="1">
      <c r="A9" s="1119"/>
      <c r="B9" s="238"/>
      <c r="C9" s="239"/>
      <c r="D9" s="244"/>
      <c r="E9" s="235" t="s">
        <v>2020</v>
      </c>
      <c r="F9" s="245">
        <f>'数据-取费表'!B33</f>
        <v>0.1</v>
      </c>
      <c r="G9" s="951"/>
      <c r="H9" s="237"/>
      <c r="I9" s="238"/>
      <c r="J9" s="1059"/>
      <c r="K9" s="43"/>
      <c r="L9" s="246" t="s">
        <v>2020</v>
      </c>
      <c r="M9" s="245">
        <f>'数据-取费表'!B39</f>
        <v>0</v>
      </c>
    </row>
    <row r="10" spans="1:37" ht="18" customHeight="1">
      <c r="A10" s="1057" t="s">
        <v>2021</v>
      </c>
      <c r="B10" s="1521" t="s">
        <v>2022</v>
      </c>
      <c r="C10" s="1058">
        <f ca="1">ROUND(IF(F10="押一",C6/12*F11,IF(F10="押二",C6/12*2*F11,IF(F10="押三",C6/12*3*F11,C11*F11))),0)</f>
        <v>256</v>
      </c>
      <c r="D10" s="1522" t="s">
        <v>2707</v>
      </c>
      <c r="E10" s="246" t="s">
        <v>2023</v>
      </c>
      <c r="F10" s="1523" t="s">
        <v>2024</v>
      </c>
      <c r="G10" s="951"/>
      <c r="H10" s="1057" t="s">
        <v>2021</v>
      </c>
      <c r="I10" s="1521" t="s">
        <v>2022</v>
      </c>
      <c r="J10" s="1058">
        <f ca="1">ROUND(IF(M10="押一",J6/12*M11,IF(M10="押二",J6/12*2*M11,IF(M10="押三",J6/12*3*M11,J11*M11))),0)</f>
        <v>0</v>
      </c>
      <c r="K10" s="36" t="s">
        <v>2707</v>
      </c>
      <c r="L10" s="246" t="s">
        <v>2023</v>
      </c>
      <c r="M10" s="1523"/>
    </row>
    <row r="11" spans="1:37" s="257" customFormat="1" ht="18" customHeight="1">
      <c r="A11" s="263"/>
      <c r="B11" s="1524" t="s">
        <v>2025</v>
      </c>
      <c r="C11" s="1091"/>
      <c r="D11" s="240"/>
      <c r="E11" s="246" t="s">
        <v>2026</v>
      </c>
      <c r="F11" s="247">
        <f ca="1">'数据-取费表'!B31</f>
        <v>1.4999999999999999E-2</v>
      </c>
      <c r="G11" s="952"/>
      <c r="H11" s="241"/>
      <c r="I11" s="1524" t="s">
        <v>2027</v>
      </c>
      <c r="J11" s="1091"/>
      <c r="K11" s="240"/>
      <c r="L11" s="246" t="s">
        <v>2026</v>
      </c>
      <c r="M11" s="247">
        <f ca="1">'数据-取费表'!B31</f>
        <v>1.4999999999999999E-2</v>
      </c>
      <c r="N11" s="657"/>
      <c r="O11" s="657"/>
      <c r="P11" s="657"/>
      <c r="Q11" s="1040"/>
      <c r="R11" s="657"/>
      <c r="S11" s="657"/>
      <c r="T11" s="657"/>
      <c r="U11" s="657"/>
      <c r="V11" s="657"/>
      <c r="W11" s="657"/>
      <c r="X11" s="657"/>
      <c r="Y11" s="657"/>
      <c r="Z11" s="657"/>
      <c r="AA11" s="657"/>
      <c r="AB11" s="657"/>
      <c r="AC11" s="657"/>
      <c r="AD11" s="657"/>
      <c r="AE11" s="657"/>
      <c r="AF11" s="657"/>
      <c r="AG11" s="657"/>
      <c r="AH11" s="657"/>
      <c r="AI11" s="657"/>
      <c r="AJ11" s="657"/>
      <c r="AK11" s="657"/>
    </row>
    <row r="12" spans="1:37" ht="18" customHeight="1" thickBot="1">
      <c r="A12" s="1096" t="s">
        <v>2028</v>
      </c>
      <c r="B12" s="1525" t="s">
        <v>2029</v>
      </c>
      <c r="C12" s="1097"/>
      <c r="D12" s="1526"/>
      <c r="E12" s="1103"/>
      <c r="F12" s="1098"/>
      <c r="G12" s="951"/>
      <c r="H12" s="1096" t="s">
        <v>2028</v>
      </c>
      <c r="I12" s="1525" t="s">
        <v>2029</v>
      </c>
      <c r="J12" s="1097"/>
      <c r="K12" s="1113"/>
      <c r="L12" s="1103"/>
      <c r="M12" s="1114"/>
    </row>
    <row r="13" spans="1:37" s="257" customFormat="1" ht="18" customHeight="1" thickTop="1">
      <c r="A13" s="1092">
        <v>2</v>
      </c>
      <c r="B13" s="1093" t="s">
        <v>2030</v>
      </c>
      <c r="C13" s="243">
        <f ca="1">ROUND(C29*F13,0)</f>
        <v>662075</v>
      </c>
      <c r="D13" s="1094" t="s">
        <v>2031</v>
      </c>
      <c r="E13" s="1094" t="s">
        <v>2032</v>
      </c>
      <c r="F13" s="1095">
        <f>'数据-取费表'!E20</f>
        <v>0.8</v>
      </c>
      <c r="G13" s="952"/>
      <c r="H13" s="1092">
        <v>2</v>
      </c>
      <c r="I13" s="1093" t="s">
        <v>2030</v>
      </c>
      <c r="J13" s="1059">
        <f ca="1">ROUND(J14*J15,0)</f>
        <v>0</v>
      </c>
      <c r="K13" s="1099" t="s">
        <v>2031</v>
      </c>
      <c r="L13" s="1111"/>
      <c r="M13" s="1112"/>
      <c r="N13" s="657"/>
      <c r="O13" s="657"/>
      <c r="P13" s="657"/>
      <c r="Q13" s="1040"/>
      <c r="R13" s="657"/>
      <c r="S13" s="657"/>
      <c r="T13" s="657"/>
      <c r="U13" s="657"/>
      <c r="V13" s="657"/>
      <c r="W13" s="657"/>
      <c r="X13" s="657"/>
      <c r="Y13" s="657"/>
      <c r="Z13" s="657"/>
      <c r="AA13" s="657"/>
      <c r="AB13" s="657"/>
      <c r="AC13" s="657"/>
      <c r="AD13" s="657"/>
      <c r="AE13" s="657"/>
      <c r="AF13" s="657"/>
      <c r="AG13" s="657"/>
      <c r="AH13" s="657"/>
      <c r="AI13" s="657"/>
      <c r="AJ13" s="657"/>
      <c r="AK13" s="657"/>
    </row>
    <row r="14" spans="1:37" s="257" customFormat="1" ht="18" customHeight="1">
      <c r="A14" s="253" t="s">
        <v>2033</v>
      </c>
      <c r="B14" s="235" t="s">
        <v>2034</v>
      </c>
      <c r="C14" s="254">
        <f>IF(D1="仅计算典型户型",'数据-取费表'!F18,'数据-取费表'!E18)</f>
        <v>545720</v>
      </c>
      <c r="D14" s="1328" t="s">
        <v>2035</v>
      </c>
      <c r="E14" s="1329"/>
      <c r="F14" s="799"/>
      <c r="G14" s="952"/>
      <c r="H14" s="253" t="s">
        <v>2014</v>
      </c>
      <c r="I14" s="235" t="s">
        <v>2036</v>
      </c>
      <c r="J14" s="13">
        <f ca="1">C29</f>
        <v>827594</v>
      </c>
      <c r="K14" s="12"/>
      <c r="L14" s="251"/>
      <c r="M14" s="252"/>
      <c r="N14" s="657"/>
      <c r="O14" s="657"/>
      <c r="P14" s="657"/>
      <c r="Q14" s="1040"/>
      <c r="R14" s="657"/>
      <c r="S14" s="657"/>
      <c r="T14" s="657"/>
      <c r="U14" s="657"/>
      <c r="V14" s="657"/>
      <c r="W14" s="657"/>
      <c r="X14" s="657"/>
      <c r="Y14" s="657"/>
      <c r="Z14" s="657"/>
      <c r="AA14" s="657"/>
      <c r="AB14" s="657"/>
      <c r="AC14" s="657"/>
      <c r="AD14" s="657"/>
      <c r="AE14" s="657"/>
      <c r="AF14" s="657"/>
      <c r="AG14" s="657"/>
      <c r="AH14" s="657"/>
      <c r="AI14" s="657"/>
      <c r="AJ14" s="657"/>
      <c r="AK14" s="657"/>
    </row>
    <row r="15" spans="1:37" ht="18" customHeight="1" thickBot="1">
      <c r="A15" s="253" t="s">
        <v>2037</v>
      </c>
      <c r="B15" s="235" t="s">
        <v>2038</v>
      </c>
      <c r="C15" s="13">
        <f>ROUND(C14*F15,0)</f>
        <v>16372</v>
      </c>
      <c r="D15" s="255" t="s">
        <v>2039</v>
      </c>
      <c r="E15" s="255" t="s">
        <v>2040</v>
      </c>
      <c r="F15" s="256">
        <f>'数据-取费表'!E21</f>
        <v>0.03</v>
      </c>
      <c r="G15" s="951"/>
      <c r="H15" s="1102" t="s">
        <v>2041</v>
      </c>
      <c r="I15" s="1103" t="s">
        <v>2042</v>
      </c>
      <c r="J15" s="1115">
        <f>'数据-取费表'!B40</f>
        <v>0</v>
      </c>
      <c r="K15" s="1116"/>
      <c r="L15" s="1117"/>
      <c r="M15" s="1118"/>
    </row>
    <row r="16" spans="1:37" s="257" customFormat="1" ht="18" customHeight="1" thickTop="1">
      <c r="A16" s="253" t="s">
        <v>2043</v>
      </c>
      <c r="B16" s="235" t="s">
        <v>2044</v>
      </c>
      <c r="C16" s="13">
        <f>ROUND(C14*F16,0)</f>
        <v>0</v>
      </c>
      <c r="D16" s="235" t="s">
        <v>2039</v>
      </c>
      <c r="E16" s="235" t="s">
        <v>2040</v>
      </c>
      <c r="F16" s="258">
        <f>IF('数据-取费表'!B10="住宅",'数据-取费表'!E22,0)</f>
        <v>0</v>
      </c>
      <c r="G16" s="952"/>
      <c r="H16" s="1092" t="s">
        <v>14</v>
      </c>
      <c r="I16" s="1093" t="s">
        <v>2045</v>
      </c>
      <c r="J16" s="243">
        <f ca="1">ROUND(J17+J22+J23+J24,0)</f>
        <v>12414</v>
      </c>
      <c r="K16" s="1099" t="s">
        <v>2046</v>
      </c>
      <c r="L16" s="1100"/>
      <c r="M16" s="1101"/>
      <c r="N16" s="657"/>
      <c r="O16" s="657"/>
      <c r="P16" s="657"/>
      <c r="Q16" s="1040"/>
      <c r="R16" s="657"/>
      <c r="S16" s="657"/>
      <c r="T16" s="657"/>
      <c r="U16" s="657"/>
      <c r="V16" s="657"/>
      <c r="W16" s="657"/>
      <c r="X16" s="657"/>
      <c r="Y16" s="657"/>
      <c r="Z16" s="657"/>
      <c r="AA16" s="657"/>
      <c r="AB16" s="657"/>
      <c r="AC16" s="657"/>
      <c r="AD16" s="657"/>
      <c r="AE16" s="657"/>
      <c r="AF16" s="657"/>
      <c r="AG16" s="657"/>
      <c r="AH16" s="657"/>
      <c r="AI16" s="657"/>
      <c r="AJ16" s="657"/>
      <c r="AK16" s="657"/>
    </row>
    <row r="17" spans="1:37" s="257" customFormat="1" ht="18" customHeight="1">
      <c r="A17" s="253" t="s">
        <v>2047</v>
      </c>
      <c r="B17" s="235" t="s">
        <v>2048</v>
      </c>
      <c r="C17" s="13">
        <f>ROUND(F17*IF(D1="仅计算典型户型",'数据-取费表'!E5,'数据-取费表'!B5),0)</f>
        <v>31184</v>
      </c>
      <c r="D17" s="235" t="s">
        <v>2049</v>
      </c>
      <c r="E17" s="235" t="s">
        <v>2050</v>
      </c>
      <c r="F17" s="15">
        <f>'数据-取费表'!E23</f>
        <v>200</v>
      </c>
      <c r="G17" s="952"/>
      <c r="H17" s="253" t="s">
        <v>2051</v>
      </c>
      <c r="I17" s="235" t="s">
        <v>2052</v>
      </c>
      <c r="J17" s="2824">
        <f>ROUND(IF(AND(项目基本情况!B7="自然人",项目基本情况!B6="北京市"),J6*M17/(1+'数据-取费表'!F30),J18+J19+J20),0)</f>
        <v>0</v>
      </c>
      <c r="K17" s="1328" t="s">
        <v>2053</v>
      </c>
      <c r="L17" s="1331" t="s">
        <v>2054</v>
      </c>
      <c r="M17" s="2823">
        <f>IF(项目基本情况!B7="企业","——",IF('数据-取费表'!B10="住宅",IF(M6*M7*M8/12/(1+'数据-取费表'!F30)&gt;100000,4%,2.5%),IF(M6*M7*M8/12/(1+'数据-取费表'!F30)&gt;100000,12%,7%)))</f>
        <v>7.0000000000000007E-2</v>
      </c>
      <c r="N17" s="657"/>
      <c r="O17" s="657"/>
      <c r="P17" s="657"/>
      <c r="Q17" s="1040"/>
      <c r="R17" s="657"/>
      <c r="S17" s="657"/>
      <c r="T17" s="657"/>
      <c r="U17" s="657"/>
      <c r="V17" s="657"/>
      <c r="W17" s="657"/>
      <c r="X17" s="657"/>
      <c r="Y17" s="657"/>
      <c r="Z17" s="657"/>
      <c r="AA17" s="657"/>
      <c r="AB17" s="657"/>
      <c r="AC17" s="657"/>
      <c r="AD17" s="657"/>
      <c r="AE17" s="657"/>
      <c r="AF17" s="657"/>
      <c r="AG17" s="657"/>
      <c r="AH17" s="657"/>
      <c r="AI17" s="657"/>
      <c r="AJ17" s="657"/>
      <c r="AK17" s="657"/>
    </row>
    <row r="18" spans="1:37" ht="18" customHeight="1">
      <c r="A18" s="253" t="s">
        <v>2055</v>
      </c>
      <c r="B18" s="235" t="s">
        <v>2056</v>
      </c>
      <c r="C18" s="13">
        <f>ROUND(C14*F18,0)</f>
        <v>8186</v>
      </c>
      <c r="D18" s="235" t="s">
        <v>2039</v>
      </c>
      <c r="E18" s="235" t="s">
        <v>2040</v>
      </c>
      <c r="F18" s="258">
        <f>'数据-取费表'!E24</f>
        <v>1.4999999999999999E-2</v>
      </c>
      <c r="G18" s="951"/>
      <c r="H18" s="253" t="s">
        <v>2057</v>
      </c>
      <c r="I18" s="235" t="s">
        <v>2058</v>
      </c>
      <c r="J18" s="13" t="str">
        <f>IF(项目基本情况!B7="自然人","——",ROUND(J6*M18/(1+'数据-取费表'!F30),0))</f>
        <v>——</v>
      </c>
      <c r="K18" s="1331" t="s">
        <v>2728</v>
      </c>
      <c r="L18" s="235" t="s">
        <v>2040</v>
      </c>
      <c r="M18" s="258">
        <f>'数据-取费表'!E29</f>
        <v>5.6000000000000001E-2</v>
      </c>
    </row>
    <row r="19" spans="1:37" s="257" customFormat="1" ht="18" customHeight="1">
      <c r="A19" s="253" t="s">
        <v>2051</v>
      </c>
      <c r="B19" s="235" t="s">
        <v>2059</v>
      </c>
      <c r="C19" s="13">
        <f>SUM(C14:C18)</f>
        <v>601462</v>
      </c>
      <c r="D19" s="33" t="s">
        <v>2060</v>
      </c>
      <c r="E19" s="1333"/>
      <c r="F19" s="15"/>
      <c r="G19" s="952"/>
      <c r="H19" s="253" t="s">
        <v>2037</v>
      </c>
      <c r="I19" s="235" t="s">
        <v>2061</v>
      </c>
      <c r="J19" s="13" t="str">
        <f>IF(项目基本情况!B7="自然人","——",IF(K19="按租金收入计税",ROUND(J6*M19/(1+'数据-取费表'!F30),0),ROUND(C29*M19*0.7,0)))</f>
        <v>——</v>
      </c>
      <c r="K19" s="1436"/>
      <c r="L19" s="235" t="s">
        <v>2040</v>
      </c>
      <c r="M19" s="258">
        <f>IF(K19="按租金收入计税",'数据-取费表'!E39,'数据-取费表'!E38)</f>
        <v>1.2E-2</v>
      </c>
      <c r="N19" s="657"/>
      <c r="O19" s="657"/>
      <c r="P19" s="657"/>
      <c r="Q19" s="1040"/>
      <c r="R19" s="657"/>
      <c r="S19" s="657"/>
      <c r="T19" s="657"/>
      <c r="U19" s="657"/>
      <c r="V19" s="657"/>
      <c r="W19" s="657"/>
      <c r="X19" s="657"/>
      <c r="Y19" s="657"/>
      <c r="Z19" s="657"/>
      <c r="AA19" s="657"/>
      <c r="AB19" s="657"/>
      <c r="AC19" s="657"/>
      <c r="AD19" s="657"/>
      <c r="AE19" s="657"/>
      <c r="AF19" s="657"/>
      <c r="AG19" s="657"/>
      <c r="AH19" s="657"/>
      <c r="AI19" s="657"/>
      <c r="AJ19" s="657"/>
      <c r="AK19" s="657"/>
    </row>
    <row r="20" spans="1:37" s="257" customFormat="1" ht="18" customHeight="1">
      <c r="A20" s="253" t="s">
        <v>2021</v>
      </c>
      <c r="B20" s="235" t="s">
        <v>2063</v>
      </c>
      <c r="C20" s="13">
        <f>ROUND(C19*F20,0)</f>
        <v>12029</v>
      </c>
      <c r="D20" s="259" t="s">
        <v>2064</v>
      </c>
      <c r="E20" s="235" t="s">
        <v>2065</v>
      </c>
      <c r="F20" s="258">
        <f>'数据-取费表'!E25</f>
        <v>0.02</v>
      </c>
      <c r="G20" s="952"/>
      <c r="H20" s="253" t="s">
        <v>2043</v>
      </c>
      <c r="I20" s="36" t="s">
        <v>2066</v>
      </c>
      <c r="J20" s="14" t="str">
        <f>IF(项目基本情况!B7="自然人","——",ROUND(M20*M21,0))</f>
        <v>——</v>
      </c>
      <c r="K20" s="261" t="s">
        <v>2067</v>
      </c>
      <c r="L20" s="235" t="s">
        <v>2068</v>
      </c>
      <c r="M20" s="262">
        <f>'数据-取费表'!E40</f>
        <v>12</v>
      </c>
      <c r="N20" s="657"/>
      <c r="O20" s="657"/>
      <c r="P20" s="657"/>
      <c r="Q20" s="1040"/>
      <c r="R20" s="657"/>
      <c r="S20" s="657"/>
      <c r="T20" s="657"/>
      <c r="U20" s="657"/>
      <c r="V20" s="657"/>
      <c r="W20" s="657"/>
      <c r="X20" s="657"/>
      <c r="Y20" s="657"/>
      <c r="Z20" s="657"/>
      <c r="AA20" s="657"/>
      <c r="AB20" s="657"/>
      <c r="AC20" s="657"/>
      <c r="AD20" s="657"/>
      <c r="AE20" s="657"/>
      <c r="AF20" s="657"/>
      <c r="AG20" s="657"/>
      <c r="AH20" s="657"/>
      <c r="AI20" s="657"/>
      <c r="AJ20" s="657"/>
      <c r="AK20" s="657"/>
    </row>
    <row r="21" spans="1:37" ht="18" customHeight="1">
      <c r="A21" s="253" t="s">
        <v>2069</v>
      </c>
      <c r="B21" s="235" t="s">
        <v>2070</v>
      </c>
      <c r="C21" s="597">
        <f>F21</f>
        <v>0.02</v>
      </c>
      <c r="D21" s="259" t="s">
        <v>2071</v>
      </c>
      <c r="E21" s="235" t="s">
        <v>2072</v>
      </c>
      <c r="F21" s="258">
        <f>'数据-取费表'!E26</f>
        <v>0.02</v>
      </c>
      <c r="G21" s="951"/>
      <c r="H21" s="263"/>
      <c r="I21" s="244"/>
      <c r="J21" s="17"/>
      <c r="K21" s="264"/>
      <c r="L21" s="235" t="s">
        <v>2073</v>
      </c>
      <c r="M21" s="236">
        <f>IF(D1="仅计算典型户型",'数据-取费表'!E6,'数据-取费表'!B6)</f>
        <v>0</v>
      </c>
    </row>
    <row r="22" spans="1:37" ht="18" customHeight="1">
      <c r="A22" s="253" t="s">
        <v>2074</v>
      </c>
      <c r="B22" s="235" t="s">
        <v>2075</v>
      </c>
      <c r="C22" s="13"/>
      <c r="D22" s="33" t="str">
        <f>IF(F23&lt;=1,"单利计息。","复利计息。")&amp;"建造成本、管理费用、销售费用产生的利息。"</f>
        <v>复利计息。建造成本、管理费用、销售费用产生的利息。</v>
      </c>
      <c r="E22" s="1333"/>
      <c r="F22" s="15"/>
      <c r="G22" s="951"/>
      <c r="H22" s="253" t="s">
        <v>2041</v>
      </c>
      <c r="I22" s="235" t="s">
        <v>2076</v>
      </c>
      <c r="J22" s="13">
        <f ca="1">ROUND(J14*M22,0)</f>
        <v>12414</v>
      </c>
      <c r="K22" s="1331" t="s">
        <v>2077</v>
      </c>
      <c r="L22" s="235" t="s">
        <v>2040</v>
      </c>
      <c r="M22" s="265">
        <f>'数据-取费表'!B45</f>
        <v>1.4999999999999999E-2</v>
      </c>
    </row>
    <row r="23" spans="1:37" ht="18" customHeight="1">
      <c r="A23" s="253" t="s">
        <v>2057</v>
      </c>
      <c r="B23" s="235" t="s">
        <v>2078</v>
      </c>
      <c r="C23" s="13">
        <f ca="1">IF('数据-取费表'!B24&lt;=1,ROUND(C19*F24*F23/2,0)+ROUND(C20*F24*F23/2,0),ROUND(C19*(POWER((1+F24),F23/2)-1),0)+ROUND(C20*(POWER((1+F24),F23/2)-1),0))</f>
        <v>26687</v>
      </c>
      <c r="D23" s="1432" t="str">
        <f>IF(F23&lt;=1,"(建造成本+管理费用)×利率×(建设周期÷2)","(建造成本+管理费用)×((1+利率)^(建设周期÷2)-1)")</f>
        <v>(建造成本+管理费用)×((1+利率)^(建设周期÷2)-1)</v>
      </c>
      <c r="E23" s="235" t="s">
        <v>2079</v>
      </c>
      <c r="F23" s="262">
        <f>'数据-取费表'!B22</f>
        <v>2</v>
      </c>
      <c r="G23" s="951"/>
      <c r="H23" s="253" t="s">
        <v>2069</v>
      </c>
      <c r="I23" s="235" t="s">
        <v>2080</v>
      </c>
      <c r="J23" s="13">
        <f ca="1">ROUND(J13*M23,0)</f>
        <v>0</v>
      </c>
      <c r="K23" s="1331" t="s">
        <v>2081</v>
      </c>
      <c r="L23" s="235" t="s">
        <v>2082</v>
      </c>
      <c r="M23" s="266">
        <f>'数据-取费表'!B46</f>
        <v>1.5E-3</v>
      </c>
    </row>
    <row r="24" spans="1:37" s="257" customFormat="1" ht="18" customHeight="1" thickBot="1">
      <c r="A24" s="253" t="s">
        <v>2083</v>
      </c>
      <c r="B24" s="235" t="s">
        <v>2084</v>
      </c>
      <c r="C24" s="13">
        <f ca="1">ROUND(IF('数据-取费表'!B24&lt;=1,F21*F24*F23/2,F21*(POWER((1+F24),F23/2)-1)),4)</f>
        <v>8.9999999999999998E-4</v>
      </c>
      <c r="D24" s="1432" t="str">
        <f>IF(F23&lt;=1,"销售费用×利率×(建设周期÷2)","销售费用×((1+利率)^(建设周期÷2)-1)")</f>
        <v>销售费用×((1+利率)^(建设周期÷2)-1)</v>
      </c>
      <c r="E24" s="235" t="s">
        <v>2085</v>
      </c>
      <c r="F24" s="267">
        <f ca="1">'数据-取费表'!E27</f>
        <v>4.3499999999999997E-2</v>
      </c>
      <c r="G24" s="952"/>
      <c r="H24" s="1102" t="s">
        <v>2074</v>
      </c>
      <c r="I24" s="1103" t="s">
        <v>2063</v>
      </c>
      <c r="J24" s="1104">
        <f ca="1">ROUND(J5*M24,0)</f>
        <v>0</v>
      </c>
      <c r="K24" s="1105" t="s">
        <v>2086</v>
      </c>
      <c r="L24" s="1103" t="s">
        <v>2082</v>
      </c>
      <c r="M24" s="1098">
        <f>'数据-取费表'!B47</f>
        <v>0.02</v>
      </c>
      <c r="N24" s="657"/>
      <c r="O24" s="657"/>
      <c r="P24" s="657"/>
      <c r="Q24" s="1040"/>
      <c r="R24" s="657"/>
      <c r="S24" s="657"/>
      <c r="T24" s="657"/>
      <c r="U24" s="657"/>
      <c r="V24" s="657"/>
      <c r="W24" s="657"/>
      <c r="X24" s="657"/>
      <c r="Y24" s="657"/>
      <c r="Z24" s="657"/>
      <c r="AA24" s="657"/>
      <c r="AB24" s="657"/>
      <c r="AC24" s="657"/>
      <c r="AD24" s="657"/>
      <c r="AE24" s="657"/>
      <c r="AF24" s="657"/>
      <c r="AG24" s="657"/>
      <c r="AH24" s="657"/>
      <c r="AI24" s="657"/>
      <c r="AJ24" s="657"/>
      <c r="AK24" s="657"/>
    </row>
    <row r="25" spans="1:37" s="257" customFormat="1" ht="18" customHeight="1" thickTop="1">
      <c r="A25" s="253" t="s">
        <v>2087</v>
      </c>
      <c r="B25" s="235" t="s">
        <v>2088</v>
      </c>
      <c r="C25" s="13"/>
      <c r="D25" s="33" t="s">
        <v>2089</v>
      </c>
      <c r="E25" s="1333"/>
      <c r="F25" s="15"/>
      <c r="G25" s="952"/>
      <c r="H25" s="1092" t="s">
        <v>22</v>
      </c>
      <c r="I25" s="1107" t="s">
        <v>2090</v>
      </c>
      <c r="J25" s="243">
        <f ca="1">J5-J16</f>
        <v>-12414</v>
      </c>
      <c r="K25" s="1108" t="s">
        <v>2091</v>
      </c>
      <c r="L25" s="1109"/>
      <c r="M25" s="1110"/>
      <c r="N25" s="657"/>
      <c r="O25" s="657"/>
      <c r="P25" s="657"/>
      <c r="Q25" s="1040"/>
      <c r="R25" s="657"/>
      <c r="S25" s="657"/>
      <c r="T25" s="657"/>
      <c r="U25" s="657"/>
      <c r="V25" s="657"/>
      <c r="W25" s="657"/>
      <c r="X25" s="657"/>
      <c r="Y25" s="657"/>
      <c r="Z25" s="657"/>
      <c r="AA25" s="657"/>
      <c r="AB25" s="657"/>
      <c r="AC25" s="657"/>
      <c r="AD25" s="657"/>
      <c r="AE25" s="657"/>
      <c r="AF25" s="657"/>
      <c r="AG25" s="657"/>
      <c r="AH25" s="657"/>
      <c r="AI25" s="657"/>
      <c r="AJ25" s="657"/>
      <c r="AK25" s="657"/>
    </row>
    <row r="26" spans="1:37" ht="18" customHeight="1">
      <c r="A26" s="253" t="s">
        <v>2033</v>
      </c>
      <c r="B26" s="235" t="s">
        <v>2092</v>
      </c>
      <c r="C26" s="13">
        <f>ROUND((C19+C20)*F26,0)</f>
        <v>122698</v>
      </c>
      <c r="D26" s="259" t="s">
        <v>2093</v>
      </c>
      <c r="E26" s="246" t="s">
        <v>2094</v>
      </c>
      <c r="F26" s="245">
        <f>'数据-取费表'!E28</f>
        <v>0.2</v>
      </c>
      <c r="G26" s="652"/>
      <c r="H26" s="232" t="s">
        <v>23</v>
      </c>
      <c r="I26" s="233" t="s">
        <v>2095</v>
      </c>
      <c r="J26" s="234">
        <f ca="1">IF(J5&lt;&gt;0,ROUND(J25*(1-((1+M28)/(1+M26))^M27)/(M26-M28),0),0)</f>
        <v>0</v>
      </c>
      <c r="K26" s="261" t="s">
        <v>2096</v>
      </c>
      <c r="L26" s="235" t="s">
        <v>2097</v>
      </c>
      <c r="M26" s="245">
        <f>'数据-取费表'!B16</f>
        <v>5.5E-2</v>
      </c>
    </row>
    <row r="27" spans="1:37" ht="18" customHeight="1">
      <c r="A27" s="253" t="s">
        <v>2098</v>
      </c>
      <c r="B27" s="235" t="s">
        <v>2099</v>
      </c>
      <c r="C27" s="13">
        <f>ROUND(F21*F26,4)</f>
        <v>4.0000000000000001E-3</v>
      </c>
      <c r="D27" s="259" t="s">
        <v>2100</v>
      </c>
      <c r="E27" s="255"/>
      <c r="F27" s="256"/>
      <c r="G27" s="652"/>
      <c r="H27" s="237"/>
      <c r="I27" s="238"/>
      <c r="J27" s="239"/>
      <c r="K27" s="269" t="s">
        <v>2101</v>
      </c>
      <c r="L27" s="235" t="s">
        <v>2102</v>
      </c>
      <c r="M27" s="270" t="str">
        <f>'数据-取费表'!B41</f>
        <v>——</v>
      </c>
    </row>
    <row r="28" spans="1:37" ht="18" customHeight="1">
      <c r="A28" s="253" t="s">
        <v>2103</v>
      </c>
      <c r="B28" s="235" t="s">
        <v>2104</v>
      </c>
      <c r="C28" s="13">
        <f>ROUND(F28/(1+'数据-取费表'!F30),4)</f>
        <v>5.33E-2</v>
      </c>
      <c r="D28" s="259" t="s">
        <v>2105</v>
      </c>
      <c r="E28" s="235" t="s">
        <v>2065</v>
      </c>
      <c r="F28" s="258">
        <f>'数据-取费表'!E29</f>
        <v>5.6000000000000001E-2</v>
      </c>
      <c r="G28" s="652"/>
      <c r="H28" s="241"/>
      <c r="I28" s="242"/>
      <c r="J28" s="243"/>
      <c r="K28" s="264"/>
      <c r="L28" s="235" t="s">
        <v>2106</v>
      </c>
      <c r="M28" s="245">
        <f>'数据-取费表'!B38</f>
        <v>0</v>
      </c>
    </row>
    <row r="29" spans="1:37" ht="18" customHeight="1" thickBot="1">
      <c r="A29" s="1102" t="s">
        <v>2107</v>
      </c>
      <c r="B29" s="1103" t="s">
        <v>2108</v>
      </c>
      <c r="C29" s="1104">
        <f ca="1">ROUND((C19+C20+C23+C26)/(1-F21-C24-C27-C28),0)</f>
        <v>827594</v>
      </c>
      <c r="D29" s="1105"/>
      <c r="E29" s="1103"/>
      <c r="F29" s="1106"/>
      <c r="G29" s="652"/>
      <c r="H29" s="271" t="s">
        <v>24</v>
      </c>
      <c r="I29" s="272" t="s">
        <v>2109</v>
      </c>
      <c r="J29" s="273">
        <f ca="1">ROUND(J26/(1+F40)^F41,0)</f>
        <v>0</v>
      </c>
      <c r="K29" s="274" t="s">
        <v>2110</v>
      </c>
      <c r="L29" s="275"/>
      <c r="M29" s="276">
        <f>IF(D1="仅计算典型户型",'数据-取费表'!E5,'数据-取费表'!B5)</f>
        <v>155.91999999999999</v>
      </c>
    </row>
    <row r="30" spans="1:37" ht="18" customHeight="1" thickTop="1">
      <c r="A30" s="1092" t="s">
        <v>14</v>
      </c>
      <c r="B30" s="1093" t="s">
        <v>2111</v>
      </c>
      <c r="C30" s="243">
        <f ca="1">ROUND(C31+C36+C37+C38,0)</f>
        <v>31169</v>
      </c>
      <c r="D30" s="1099" t="s">
        <v>2112</v>
      </c>
      <c r="E30" s="1100"/>
      <c r="F30" s="1101"/>
      <c r="G30" s="652"/>
      <c r="H30" s="931"/>
      <c r="I30" s="932"/>
      <c r="J30" s="933"/>
      <c r="K30" s="934"/>
      <c r="L30" s="935"/>
      <c r="M30" s="936"/>
    </row>
    <row r="31" spans="1:37" ht="18" customHeight="1">
      <c r="A31" s="253" t="s">
        <v>2014</v>
      </c>
      <c r="B31" s="235" t="s">
        <v>2052</v>
      </c>
      <c r="C31" s="2824">
        <f>ROUND(IF(AND(项目基本情况!B7="自然人",项目基本情况!B6="北京市"),C6*F31/(1+'数据-取费表'!F30),C32+C33+C34),0)</f>
        <v>13659</v>
      </c>
      <c r="D31" s="1328" t="s">
        <v>2113</v>
      </c>
      <c r="E31" s="1331" t="s">
        <v>2114</v>
      </c>
      <c r="F31" s="2823">
        <f>IF(项目基本情况!B7="企业","——",IF('数据-取费表'!B10="住宅",IF(F6*F7*F8/12/(1+'数据-取费表'!F30)&gt;100000,4%,2.5%),IF(F6*F7*F8/12/(1+'数据-取费表'!F30)&gt;100000,12%,7%)))</f>
        <v>7.0000000000000007E-2</v>
      </c>
      <c r="G31" s="652"/>
      <c r="H31" s="931"/>
      <c r="I31" s="932"/>
      <c r="J31" s="933"/>
      <c r="K31" s="934"/>
      <c r="L31" s="935"/>
      <c r="M31" s="936"/>
    </row>
    <row r="32" spans="1:37" ht="18" customHeight="1">
      <c r="A32" s="253" t="s">
        <v>2033</v>
      </c>
      <c r="B32" s="235" t="s">
        <v>2115</v>
      </c>
      <c r="C32" s="13" t="str">
        <f>IF(项目基本情况!B7="自然人","——",ROUND(C6*F32/(1+'数据-取费表'!F30),0))</f>
        <v>——</v>
      </c>
      <c r="D32" s="1331" t="s">
        <v>2727</v>
      </c>
      <c r="E32" s="235" t="s">
        <v>2065</v>
      </c>
      <c r="F32" s="267">
        <f>'数据-取费表'!E29</f>
        <v>5.6000000000000001E-2</v>
      </c>
      <c r="G32" s="652"/>
      <c r="H32" s="937"/>
      <c r="I32" s="938"/>
      <c r="J32" s="939"/>
      <c r="K32" s="940"/>
      <c r="L32" s="941"/>
      <c r="M32" s="942"/>
    </row>
    <row r="33" spans="1:18" ht="18" customHeight="1">
      <c r="A33" s="253" t="s">
        <v>2037</v>
      </c>
      <c r="B33" s="235" t="s">
        <v>2061</v>
      </c>
      <c r="C33" s="13" t="str">
        <f>IF(项目基本情况!B7="自然人","——",IF(D33="按租金收入计税",ROUND(C6*F33/(1+'数据-取费表'!F30),0),IF(D33="按房产原值计税",ROUND(C29*F33*0.7,0),'数据-取费表'!B44)))</f>
        <v>——</v>
      </c>
      <c r="D33" s="1436" t="s">
        <v>2888</v>
      </c>
      <c r="E33" s="235" t="s">
        <v>2040</v>
      </c>
      <c r="F33" s="258">
        <f>IF(D33="按票据","——",IF(D33="按租金收入计税",'数据-取费表'!E39,'数据-取费表'!E38))</f>
        <v>0.12</v>
      </c>
      <c r="G33" s="652"/>
      <c r="H33" s="943"/>
      <c r="I33" s="278" t="s">
        <v>2117</v>
      </c>
      <c r="J33" s="279"/>
      <c r="K33" s="944"/>
      <c r="L33" s="943"/>
      <c r="M33" s="943"/>
    </row>
    <row r="34" spans="1:18" ht="18" customHeight="1">
      <c r="A34" s="1057" t="s">
        <v>2043</v>
      </c>
      <c r="B34" s="36" t="s">
        <v>2066</v>
      </c>
      <c r="C34" s="14" t="str">
        <f>IF(项目基本情况!B7="自然人","——",ROUND(F34*F35,0))</f>
        <v>——</v>
      </c>
      <c r="D34" s="261" t="s">
        <v>2067</v>
      </c>
      <c r="E34" s="235" t="s">
        <v>2068</v>
      </c>
      <c r="F34" s="262">
        <f>'数据-取费表'!E40</f>
        <v>12</v>
      </c>
      <c r="G34" s="652"/>
      <c r="H34" s="931"/>
      <c r="I34" s="280" t="s">
        <v>2118</v>
      </c>
      <c r="J34" s="281">
        <f ca="1">ROUND(C13*J35,0)</f>
        <v>59587</v>
      </c>
      <c r="K34" s="945"/>
      <c r="L34" s="946"/>
      <c r="M34" s="946"/>
    </row>
    <row r="35" spans="1:18" ht="24.6" customHeight="1">
      <c r="A35" s="1061"/>
      <c r="B35" s="244"/>
      <c r="C35" s="17"/>
      <c r="D35" s="264"/>
      <c r="E35" s="235" t="s">
        <v>2073</v>
      </c>
      <c r="F35" s="236">
        <f>IF(D1="仅计算典型户型",'数据-取费表'!E6,'数据-取费表'!B6)</f>
        <v>0</v>
      </c>
      <c r="G35" s="652" t="s">
        <v>2816</v>
      </c>
      <c r="H35" s="931"/>
      <c r="I35" s="282" t="s">
        <v>2119</v>
      </c>
      <c r="J35" s="283">
        <f>'数据-取费表'!B18</f>
        <v>0.09</v>
      </c>
      <c r="K35" s="944"/>
      <c r="L35" s="943"/>
      <c r="M35" s="943"/>
    </row>
    <row r="36" spans="1:18" ht="18" customHeight="1">
      <c r="A36" s="1060" t="s">
        <v>2021</v>
      </c>
      <c r="B36" s="235" t="s">
        <v>2120</v>
      </c>
      <c r="C36" s="13">
        <f ca="1">ROUND(C29*F36,0)</f>
        <v>12414</v>
      </c>
      <c r="D36" s="1331" t="s">
        <v>2121</v>
      </c>
      <c r="E36" s="235" t="s">
        <v>2065</v>
      </c>
      <c r="F36" s="265">
        <f>'数据-取费表'!B45</f>
        <v>1.4999999999999999E-2</v>
      </c>
      <c r="G36" s="652"/>
      <c r="H36" s="943"/>
      <c r="I36" s="284" t="s">
        <v>2122</v>
      </c>
      <c r="J36" s="285"/>
      <c r="K36" s="947"/>
      <c r="L36" s="943"/>
      <c r="M36" s="943"/>
    </row>
    <row r="37" spans="1:18" ht="18" customHeight="1">
      <c r="A37" s="253" t="s">
        <v>2069</v>
      </c>
      <c r="B37" s="235" t="s">
        <v>2080</v>
      </c>
      <c r="C37" s="13">
        <f ca="1">ROUND(C13*F37,0)</f>
        <v>993</v>
      </c>
      <c r="D37" s="1331" t="s">
        <v>2081</v>
      </c>
      <c r="E37" s="235" t="s">
        <v>2082</v>
      </c>
      <c r="F37" s="266">
        <f>'数据-取费表'!B46</f>
        <v>1.5E-3</v>
      </c>
      <c r="G37" s="652"/>
      <c r="H37" s="943"/>
      <c r="I37" s="132" t="s">
        <v>2123</v>
      </c>
      <c r="J37" s="286"/>
      <c r="K37" s="947"/>
      <c r="L37" s="943"/>
      <c r="M37" s="943"/>
    </row>
    <row r="38" spans="1:18" ht="18" customHeight="1" thickBot="1">
      <c r="A38" s="1102" t="s">
        <v>2074</v>
      </c>
      <c r="B38" s="1103" t="s">
        <v>2063</v>
      </c>
      <c r="C38" s="1104">
        <f ca="1">ROUND(C5*F38,0)</f>
        <v>4103</v>
      </c>
      <c r="D38" s="1105" t="s">
        <v>2086</v>
      </c>
      <c r="E38" s="1103" t="s">
        <v>2082</v>
      </c>
      <c r="F38" s="1098">
        <f>'数据-取费表'!B47</f>
        <v>0.02</v>
      </c>
      <c r="G38" s="652"/>
      <c r="H38" s="943"/>
      <c r="I38" s="280" t="s">
        <v>2124</v>
      </c>
      <c r="J38" s="136">
        <f ca="1">ROUND(J34/C39,3)</f>
        <v>0.34300000000000003</v>
      </c>
      <c r="K38" s="948"/>
      <c r="L38" s="943"/>
      <c r="M38" s="943"/>
    </row>
    <row r="39" spans="1:18" ht="18" customHeight="1" thickTop="1">
      <c r="A39" s="1092" t="s">
        <v>22</v>
      </c>
      <c r="B39" s="1107" t="s">
        <v>2125</v>
      </c>
      <c r="C39" s="243">
        <f ca="1">C5-C30</f>
        <v>173966</v>
      </c>
      <c r="D39" s="1108" t="s">
        <v>2126</v>
      </c>
      <c r="E39" s="1109"/>
      <c r="F39" s="1110"/>
      <c r="G39" s="652"/>
      <c r="H39" s="943"/>
      <c r="I39" s="280" t="s">
        <v>2127</v>
      </c>
      <c r="J39" s="136">
        <f ca="1">1-J38</f>
        <v>0.65700000000000003</v>
      </c>
      <c r="K39" s="948"/>
      <c r="L39" s="943"/>
      <c r="M39" s="943"/>
    </row>
    <row r="40" spans="1:18" s="652" customFormat="1" ht="18" customHeight="1">
      <c r="A40" s="232" t="s">
        <v>23</v>
      </c>
      <c r="B40" s="233" t="s">
        <v>2128</v>
      </c>
      <c r="C40" s="234">
        <f ca="1">ROUND(C39*(1-((1+F42)/(1+F40))^F41)/(F40-F42),0)</f>
        <v>4023858</v>
      </c>
      <c r="D40" s="261" t="s">
        <v>2096</v>
      </c>
      <c r="E40" s="235" t="s">
        <v>2097</v>
      </c>
      <c r="F40" s="245">
        <f>'数据-取费表'!B16</f>
        <v>5.5E-2</v>
      </c>
      <c r="H40" s="949"/>
      <c r="I40" s="132" t="s">
        <v>2129</v>
      </c>
      <c r="J40" s="133"/>
      <c r="K40" s="948"/>
      <c r="L40" s="949"/>
      <c r="M40" s="949"/>
      <c r="Q40" s="656"/>
    </row>
    <row r="41" spans="1:18" s="652" customFormat="1" ht="18" customHeight="1">
      <c r="A41" s="237"/>
      <c r="B41" s="238"/>
      <c r="C41" s="239"/>
      <c r="D41" s="269" t="s">
        <v>2130</v>
      </c>
      <c r="E41" s="1303" t="s">
        <v>2710</v>
      </c>
      <c r="F41" s="270">
        <f>IF('数据-取费表'!B29="租赁期内按合同租金",'数据-取费表'!B35,IF(E41="收益年期(n)",'数据-取费表'!B34,'数据-取费表'!B13))</f>
        <v>36</v>
      </c>
      <c r="H41" s="950"/>
      <c r="I41" s="135" t="s">
        <v>2002</v>
      </c>
      <c r="J41" s="136">
        <f ca="1">ROUND(C13/C40,3)</f>
        <v>0.16500000000000001</v>
      </c>
      <c r="K41" s="947"/>
      <c r="L41" s="950"/>
      <c r="M41" s="950"/>
      <c r="Q41" s="656"/>
    </row>
    <row r="42" spans="1:18" s="652" customFormat="1" ht="18" customHeight="1">
      <c r="A42" s="241"/>
      <c r="B42" s="242"/>
      <c r="C42" s="243"/>
      <c r="D42" s="264"/>
      <c r="E42" s="235" t="s">
        <v>2106</v>
      </c>
      <c r="F42" s="245">
        <f>'数据-取费表'!B32</f>
        <v>0.03</v>
      </c>
      <c r="H42" s="950"/>
      <c r="I42" s="135" t="s">
        <v>2003</v>
      </c>
      <c r="J42" s="137">
        <f ca="1">1-J41</f>
        <v>0.83499999999999996</v>
      </c>
      <c r="K42" s="947"/>
      <c r="L42" s="950"/>
      <c r="M42" s="950"/>
      <c r="Q42" s="656"/>
    </row>
    <row r="43" spans="1:18" s="652" customFormat="1" ht="18" customHeight="1" thickBot="1">
      <c r="A43" s="271" t="s">
        <v>24</v>
      </c>
      <c r="B43" s="272" t="s">
        <v>2131</v>
      </c>
      <c r="C43" s="273">
        <f ca="1">ROUND(C40/F43,0)</f>
        <v>25807</v>
      </c>
      <c r="D43" s="274" t="s">
        <v>2132</v>
      </c>
      <c r="E43" s="275" t="s">
        <v>2133</v>
      </c>
      <c r="F43" s="276">
        <f>IF(D1="仅计算典型户型",'数据-取费表'!E5,'数据-取费表'!B5)</f>
        <v>155.91999999999999</v>
      </c>
      <c r="G43" s="654"/>
      <c r="H43" s="950"/>
      <c r="I43" s="950"/>
      <c r="J43" s="950"/>
      <c r="K43" s="947"/>
      <c r="L43" s="950"/>
      <c r="M43" s="950"/>
      <c r="O43" s="1041" t="s">
        <v>2134</v>
      </c>
      <c r="P43" s="1042"/>
      <c r="Q43" s="1038"/>
      <c r="R43" s="1042"/>
    </row>
    <row r="44" spans="1:18" s="652" customFormat="1" ht="18" customHeight="1" thickBot="1">
      <c r="A44" s="649"/>
      <c r="B44" s="649"/>
      <c r="C44" s="651"/>
      <c r="D44" s="649"/>
      <c r="E44" s="649"/>
      <c r="F44" s="649"/>
      <c r="G44" s="654"/>
      <c r="K44" s="653"/>
      <c r="O44" s="1043" t="s">
        <v>2135</v>
      </c>
      <c r="P44" s="1044" t="s">
        <v>2136</v>
      </c>
      <c r="Q44" s="1045" t="s">
        <v>2137</v>
      </c>
      <c r="R44" s="1046" t="s">
        <v>2138</v>
      </c>
    </row>
    <row r="45" spans="1:18" s="652" customFormat="1" ht="18" customHeight="1" thickBot="1">
      <c r="A45" s="649"/>
      <c r="B45" s="649"/>
      <c r="C45" s="651"/>
      <c r="D45" s="649"/>
      <c r="E45" s="649"/>
      <c r="F45" s="649"/>
      <c r="G45" s="655"/>
      <c r="K45" s="653"/>
      <c r="O45" s="1047" t="s">
        <v>949</v>
      </c>
      <c r="P45" s="1048" t="s">
        <v>2139</v>
      </c>
      <c r="Q45" s="1049">
        <f ca="1">C40+J29</f>
        <v>4023858</v>
      </c>
      <c r="R45" s="1050" t="s">
        <v>2140</v>
      </c>
    </row>
    <row r="46" spans="1:18" s="652" customFormat="1" ht="18" customHeight="1" thickBot="1">
      <c r="A46" s="649"/>
      <c r="D46" s="649"/>
      <c r="E46" s="649"/>
      <c r="F46" s="649"/>
      <c r="K46" s="653"/>
      <c r="O46" s="1047" t="s">
        <v>950</v>
      </c>
      <c r="P46" s="1048" t="s">
        <v>2141</v>
      </c>
      <c r="Q46" s="1049" t="str">
        <f>J61</f>
        <v>0</v>
      </c>
      <c r="R46" s="1050" t="s">
        <v>2142</v>
      </c>
    </row>
    <row r="47" spans="1:18" s="652" customFormat="1" ht="21.75" thickBot="1">
      <c r="A47" s="1527" t="s">
        <v>2143</v>
      </c>
      <c r="C47" s="992">
        <f ca="1">IF(C2="元",C69-C40,ROUND((C69-C40)/10000,0))</f>
        <v>-423</v>
      </c>
      <c r="D47" s="1528" t="str">
        <f>C2</f>
        <v>万元</v>
      </c>
      <c r="E47" s="649"/>
      <c r="F47" s="649"/>
      <c r="I47" s="1529" t="s">
        <v>2144</v>
      </c>
      <c r="J47" s="1023"/>
      <c r="K47" s="1024"/>
      <c r="L47" s="1037" t="str">
        <f>IF(M48="住宅",0,IF(L49&gt;J52,L61,J61))</f>
        <v>0</v>
      </c>
      <c r="O47" s="1051" t="s">
        <v>951</v>
      </c>
      <c r="P47" s="1048" t="s">
        <v>2145</v>
      </c>
      <c r="Q47" s="1049">
        <f ca="1">C29</f>
        <v>827594</v>
      </c>
      <c r="R47" s="1050" t="s">
        <v>2140</v>
      </c>
    </row>
    <row r="48" spans="1:18" s="652" customFormat="1" ht="15.75" thickBot="1">
      <c r="A48" s="228" t="s">
        <v>2146</v>
      </c>
      <c r="B48" s="229" t="s">
        <v>2147</v>
      </c>
      <c r="C48" s="229" t="s">
        <v>2148</v>
      </c>
      <c r="D48" s="229" t="s">
        <v>2149</v>
      </c>
      <c r="E48" s="986" t="s">
        <v>2150</v>
      </c>
      <c r="F48" s="987"/>
      <c r="I48" s="1530" t="s">
        <v>2151</v>
      </c>
      <c r="J48" s="1531" t="s">
        <v>2916</v>
      </c>
      <c r="K48" s="1532" t="s">
        <v>2152</v>
      </c>
      <c r="L48" s="1025">
        <f>'数据-取费表'!B11</f>
        <v>50</v>
      </c>
      <c r="M48" s="1038" t="str">
        <f>IF('数据-取费表'!B10="住宅","住宅","非住宅")</f>
        <v>非住宅</v>
      </c>
      <c r="O48" s="1051" t="s">
        <v>952</v>
      </c>
      <c r="P48" s="1048" t="s">
        <v>2153</v>
      </c>
      <c r="Q48" s="1052" t="e">
        <f>J59</f>
        <v>#VALUE!</v>
      </c>
      <c r="R48" s="1050"/>
    </row>
    <row r="49" spans="1:18" s="652" customFormat="1" ht="15.75" thickBot="1">
      <c r="A49" s="1127" t="s">
        <v>1019</v>
      </c>
      <c r="B49" s="233" t="s">
        <v>2154</v>
      </c>
      <c r="C49" s="1128">
        <f ca="1">C50+C54+C56</f>
        <v>0</v>
      </c>
      <c r="D49" s="1129"/>
      <c r="E49" s="44"/>
      <c r="F49" s="15"/>
      <c r="I49" s="1533" t="s">
        <v>2155</v>
      </c>
      <c r="J49" s="1534" t="s">
        <v>2917</v>
      </c>
      <c r="K49" s="1535" t="s">
        <v>2156</v>
      </c>
      <c r="L49" s="863">
        <f>'数据-取费表'!B13</f>
        <v>36</v>
      </c>
      <c r="O49" s="1051" t="s">
        <v>953</v>
      </c>
      <c r="P49" s="1048" t="s">
        <v>2157</v>
      </c>
      <c r="Q49" s="1052">
        <f>J53</f>
        <v>0.09</v>
      </c>
      <c r="R49" s="1050"/>
    </row>
    <row r="50" spans="1:18" s="652" customFormat="1" ht="15.75" thickBot="1">
      <c r="A50" s="260" t="s">
        <v>2014</v>
      </c>
      <c r="B50" s="1442" t="s">
        <v>2158</v>
      </c>
      <c r="C50" s="234">
        <f>ROUND(F50*F52*F51*(1-F53),0)</f>
        <v>0</v>
      </c>
      <c r="D50" s="42" t="s">
        <v>2702</v>
      </c>
      <c r="E50" s="1536" t="s">
        <v>2159</v>
      </c>
      <c r="F50" s="988"/>
      <c r="I50" s="1533" t="s">
        <v>2160</v>
      </c>
      <c r="J50" s="863">
        <f>'数据-取费表'!B27</f>
        <v>2009</v>
      </c>
      <c r="K50" s="1537" t="s">
        <v>2161</v>
      </c>
      <c r="L50" s="1026"/>
      <c r="O50" s="1051" t="s">
        <v>954</v>
      </c>
      <c r="P50" s="1048" t="s">
        <v>2162</v>
      </c>
      <c r="Q50" s="1049">
        <f>J54</f>
        <v>36</v>
      </c>
      <c r="R50" s="1050" t="s">
        <v>2163</v>
      </c>
    </row>
    <row r="51" spans="1:18" s="652" customFormat="1" ht="15.75" thickBot="1">
      <c r="A51" s="237"/>
      <c r="B51" s="238"/>
      <c r="C51" s="239"/>
      <c r="D51" s="240"/>
      <c r="E51" s="255" t="s">
        <v>2017</v>
      </c>
      <c r="F51" s="985">
        <f>F7</f>
        <v>155.91999999999999</v>
      </c>
      <c r="I51" s="1533" t="s">
        <v>2164</v>
      </c>
      <c r="J51" s="1027">
        <f>SUMPRODUCT((I64:I66=J48)*(J63:L63=J49)*(J64:L66))</f>
        <v>60</v>
      </c>
      <c r="K51" s="1537" t="s">
        <v>2165</v>
      </c>
      <c r="L51" s="1026"/>
      <c r="O51" s="1047" t="s">
        <v>955</v>
      </c>
      <c r="P51" s="1048" t="str">
        <f>IF(C2="元","收益价值(元)","收益价值(万元)")</f>
        <v>收益价值(万元)</v>
      </c>
      <c r="Q51" s="1049">
        <f ca="1">ROUND(IF(C2="元",Q45+Q46,(Q45+Q46)/10000),0)</f>
        <v>402</v>
      </c>
      <c r="R51" s="1050" t="s">
        <v>956</v>
      </c>
    </row>
    <row r="52" spans="1:18" s="652" customFormat="1" ht="16.5" thickBot="1">
      <c r="A52" s="237"/>
      <c r="B52" s="238"/>
      <c r="C52" s="239"/>
      <c r="D52" s="240"/>
      <c r="E52" s="235" t="s">
        <v>2019</v>
      </c>
      <c r="F52" s="236">
        <f>F8</f>
        <v>365</v>
      </c>
      <c r="I52" s="1538" t="s">
        <v>2166</v>
      </c>
      <c r="J52" s="1028">
        <f>IF(J50="",J51,J50+J51-YEAR('数据-取费表'!B2))</f>
        <v>48</v>
      </c>
      <c r="K52" s="1539" t="s">
        <v>2167</v>
      </c>
      <c r="L52" s="1029">
        <f ca="1">ROUND(-PV('数据-取费表'!B15,J52,(C40-C13*J35)),0)</f>
        <v>71662757</v>
      </c>
      <c r="O52" s="1041" t="s">
        <v>2168</v>
      </c>
      <c r="P52" s="1042"/>
      <c r="Q52" s="1038"/>
      <c r="R52" s="1042"/>
    </row>
    <row r="53" spans="1:18" s="652" customFormat="1" ht="15.75" thickBot="1">
      <c r="A53" s="241"/>
      <c r="B53" s="242"/>
      <c r="C53" s="243"/>
      <c r="D53" s="244"/>
      <c r="E53" s="235" t="s">
        <v>2020</v>
      </c>
      <c r="F53" s="1036"/>
      <c r="I53" s="1540" t="s">
        <v>2169</v>
      </c>
      <c r="J53" s="1030">
        <v>0.09</v>
      </c>
      <c r="K53" s="1540" t="s">
        <v>2170</v>
      </c>
      <c r="L53" s="1030"/>
      <c r="O53" s="1043" t="s">
        <v>2135</v>
      </c>
      <c r="P53" s="1044" t="s">
        <v>2136</v>
      </c>
      <c r="Q53" s="1045" t="s">
        <v>2137</v>
      </c>
      <c r="R53" s="1046" t="s">
        <v>2138</v>
      </c>
    </row>
    <row r="54" spans="1:18" s="652" customFormat="1" ht="29.25" customHeight="1" thickBot="1">
      <c r="A54" s="1057" t="s">
        <v>2021</v>
      </c>
      <c r="B54" s="1521" t="s">
        <v>2022</v>
      </c>
      <c r="C54" s="1058">
        <f ca="1">ROUND(IF(F54="押一",C50/12*F11,IF(F54="押二",C50/12*2*F11,IF(F54="押三",C50/12*3*F11,C55*F11))),0)</f>
        <v>0</v>
      </c>
      <c r="D54" s="1522" t="s">
        <v>2708</v>
      </c>
      <c r="E54" s="246" t="s">
        <v>2023</v>
      </c>
      <c r="F54" s="1523"/>
      <c r="I54" s="1629" t="s">
        <v>2711</v>
      </c>
      <c r="J54" s="1031">
        <f>IF(M48="住宅",IF(E1="——",MAX(J52,L49),MAX(J52,L49-'数据-取费表'!B26)),IF(E1="——",MIN(J52,L49),MIN(J52,L49-'数据-取费表'!B26)))</f>
        <v>36</v>
      </c>
      <c r="K54" s="3418" t="s">
        <v>2700</v>
      </c>
      <c r="L54" s="3419"/>
      <c r="O54" s="1047" t="s">
        <v>949</v>
      </c>
      <c r="P54" s="1048" t="s">
        <v>2139</v>
      </c>
      <c r="Q54" s="1049">
        <f ca="1">C40+J29</f>
        <v>4023858</v>
      </c>
      <c r="R54" s="1050" t="s">
        <v>2140</v>
      </c>
    </row>
    <row r="55" spans="1:18" s="652" customFormat="1" ht="20.25" thickBot="1">
      <c r="A55" s="1057"/>
      <c r="B55" s="1541" t="s">
        <v>2027</v>
      </c>
      <c r="C55" s="1091"/>
      <c r="D55" s="42"/>
      <c r="E55" s="1542"/>
      <c r="F55" s="989"/>
      <c r="I55" s="949" t="str">
        <f>IF(M48="住宅","估价对象为住宅，收益年期仅考虑建筑物耐用年限",IF(J52&gt;L49,"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5" s="1543"/>
      <c r="K55" s="1543"/>
      <c r="L55" s="1543"/>
      <c r="O55" s="1047" t="s">
        <v>950</v>
      </c>
      <c r="P55" s="1048" t="s">
        <v>2171</v>
      </c>
      <c r="Q55" s="1049">
        <f>L61</f>
        <v>0</v>
      </c>
      <c r="R55" s="1050" t="s">
        <v>2172</v>
      </c>
    </row>
    <row r="56" spans="1:18" s="652" customFormat="1" ht="20.25" thickBot="1">
      <c r="A56" s="1096" t="s">
        <v>2028</v>
      </c>
      <c r="B56" s="1525" t="s">
        <v>2029</v>
      </c>
      <c r="C56" s="1097"/>
      <c r="D56" s="1113"/>
      <c r="E56" s="1544"/>
      <c r="F56" s="1152"/>
      <c r="I56" s="1545" t="s">
        <v>2173</v>
      </c>
      <c r="J56" s="1320" t="e">
        <f>ROUND(IF(J48="钢混",J58/J51,1-(1-2%)*(J51-J58)/J51),3)</f>
        <v>#VALUE!</v>
      </c>
      <c r="K56" s="1546" t="s">
        <v>2174</v>
      </c>
      <c r="L56" s="1032"/>
      <c r="O56" s="1051" t="s">
        <v>951</v>
      </c>
      <c r="P56" s="1048" t="s">
        <v>2175</v>
      </c>
      <c r="Q56" s="1049">
        <f>IF(L56="比较法",L50,IF(L56="基准地价",L51,0))</f>
        <v>0</v>
      </c>
      <c r="R56" s="1050" t="s">
        <v>2140</v>
      </c>
    </row>
    <row r="57" spans="1:18" s="652" customFormat="1" ht="44.25" thickTop="1" thickBot="1">
      <c r="A57" s="1092">
        <v>2</v>
      </c>
      <c r="B57" s="1093" t="s">
        <v>2030</v>
      </c>
      <c r="C57" s="1151">
        <f ca="1">C13</f>
        <v>662075</v>
      </c>
      <c r="D57" s="983"/>
      <c r="E57" s="984"/>
      <c r="F57" s="991"/>
      <c r="I57" s="1547" t="s">
        <v>2176</v>
      </c>
      <c r="J57" s="1035" t="s">
        <v>2899</v>
      </c>
      <c r="K57" s="1533" t="s">
        <v>2177</v>
      </c>
      <c r="L57" s="863" t="str">
        <f>IF(L49&lt;J52,"——",L49-J52)</f>
        <v>——</v>
      </c>
      <c r="O57" s="1051" t="s">
        <v>952</v>
      </c>
      <c r="P57" s="1048" t="s">
        <v>2178</v>
      </c>
      <c r="Q57" s="1052">
        <f>L53</f>
        <v>0</v>
      </c>
      <c r="R57" s="1050"/>
    </row>
    <row r="58" spans="1:18" s="652" customFormat="1" ht="29.25" thickBot="1">
      <c r="A58" s="990"/>
      <c r="B58" s="235" t="s">
        <v>2108</v>
      </c>
      <c r="C58" s="104">
        <f ca="1">C29</f>
        <v>827594</v>
      </c>
      <c r="D58" s="983"/>
      <c r="E58" s="984"/>
      <c r="F58" s="991"/>
      <c r="I58" s="1548" t="s">
        <v>2179</v>
      </c>
      <c r="J58" s="1034" t="str">
        <f>IF(OR(M48="住宅",J52&lt;L49,J57="是"),"——",J52-L49)</f>
        <v>——</v>
      </c>
      <c r="K58" s="1533" t="s">
        <v>2180</v>
      </c>
      <c r="L58" s="863" t="str">
        <f>IF(L49&lt;J52,"——",IF(L56="比较法",L50,IF(L56="基准地价",L51,L52)))</f>
        <v>——</v>
      </c>
      <c r="O58" s="1051" t="s">
        <v>953</v>
      </c>
      <c r="P58" s="1048" t="s">
        <v>2181</v>
      </c>
      <c r="Q58" s="1049" t="e">
        <f>L59</f>
        <v>#DIV/0!</v>
      </c>
      <c r="R58" s="1050" t="s">
        <v>2182</v>
      </c>
    </row>
    <row r="59" spans="1:18" s="652" customFormat="1" ht="29.25" thickBot="1">
      <c r="A59" s="248" t="s">
        <v>14</v>
      </c>
      <c r="B59" s="249" t="s">
        <v>2111</v>
      </c>
      <c r="C59" s="250">
        <f ca="1">ROUND(C60+C65+C66+C67,0)</f>
        <v>13407</v>
      </c>
      <c r="D59" s="12" t="s">
        <v>2112</v>
      </c>
      <c r="E59" s="1333"/>
      <c r="F59" s="15"/>
      <c r="I59" s="1548" t="s">
        <v>2183</v>
      </c>
      <c r="J59" s="1319" t="e">
        <f>IF(J56&lt;0.4,0.4,J56)</f>
        <v>#VALUE!</v>
      </c>
      <c r="K59" s="1539" t="s">
        <v>2184</v>
      </c>
      <c r="L59" s="863" t="e">
        <f>ROUND(POWER(1+L53,L48-L49)*(POWER(1+L53,L49)-1)/(POWER(1+L53,L48)-1),4)</f>
        <v>#DIV/0!</v>
      </c>
      <c r="O59" s="1051" t="s">
        <v>954</v>
      </c>
      <c r="P59" s="1048" t="str">
        <f>K60</f>
        <v>建筑物剩余耐用年限下的土地年期修正系数Kn</v>
      </c>
      <c r="Q59" s="1049" t="e">
        <f>L60</f>
        <v>#DIV/0!</v>
      </c>
      <c r="R59" s="1050" t="s">
        <v>2185</v>
      </c>
    </row>
    <row r="60" spans="1:18" s="652" customFormat="1" ht="29.25" thickBot="1">
      <c r="A60" s="253" t="s">
        <v>15</v>
      </c>
      <c r="B60" s="235" t="s">
        <v>2052</v>
      </c>
      <c r="C60" s="2824">
        <f>ROUND(IF(AND(项目基本情况!B7="自然人",项目基本情况!B6="北京市"),C50*F60/(1+'数据-取费表'!F30),C61+C62+C63),0)</f>
        <v>0</v>
      </c>
      <c r="D60" s="1328" t="s">
        <v>2113</v>
      </c>
      <c r="E60" s="1331" t="s">
        <v>2114</v>
      </c>
      <c r="F60" s="2823">
        <f>IF(项目基本情况!B7="企业","——",IF('数据-取费表'!B10="住宅",IF(F50*F51*F52/12/(1+'数据-取费表'!F30)&gt;100000,4%,2.5%),IF(F50*F51*F52/12/(1+'数据-取费表'!F30)&gt;100000,12%,7%)))</f>
        <v>7.0000000000000007E-2</v>
      </c>
      <c r="I60" s="1548" t="s">
        <v>2186</v>
      </c>
      <c r="J60" s="1034" t="str">
        <f>IF(OR(M48="住宅",J52&lt;L49,J57="是"),"——",ROUND(C29*J59,0))</f>
        <v>——</v>
      </c>
      <c r="K60" s="1539" t="str">
        <f>IF(E1="——","建筑物剩余耐用年限下的土地年期修正系数Kn",IF(E1="在建（套用方法）","续建工期及建筑物耐用年限下的土地年期修正系数Kn","建设期及建筑物耐用年限下的土地年期修正系数Kn"))</f>
        <v>建筑物剩余耐用年限下的土地年期修正系数Kn</v>
      </c>
      <c r="L60" s="863" t="e">
        <f>ROUND(IF(E1="在建（套用方法）",M60,IF(E1="土地（套用方法）",N60,POWER(1+L53,L48-J52)*(POWER(1+L53,J52)-1)/(POWER(1+L53,L48)-1))),4)</f>
        <v>#DIV/0!</v>
      </c>
      <c r="M60" s="1042" t="e">
        <f>ROUND(POWER(1+L53,L48-(J52+'数据-取费表'!B26))*(POWER(1+L53,(J52+'数据-取费表'!B26))-1)/(POWER(1+L53,L48)-1),4)</f>
        <v>#DIV/0!</v>
      </c>
      <c r="N60" s="1042" t="e">
        <f>ROUND(POWER(1+L53,L48-(J52+'数据-取费表'!B22))*(POWER(1+L53,(J52+'数据-取费表'!B22))-1)/(POWER(1+L53,L48)-1),4)</f>
        <v>#DIV/0!</v>
      </c>
      <c r="O60" s="1047" t="s">
        <v>955</v>
      </c>
      <c r="P60" s="1048" t="str">
        <f>IF(C2="元","收益价值(元)","收益价值(万元)")</f>
        <v>收益价值(万元)</v>
      </c>
      <c r="Q60" s="1049">
        <f ca="1">ROUND(IF(C2="元",Q54+Q55,(Q54+Q55)/10000),0)</f>
        <v>402</v>
      </c>
      <c r="R60" s="1050" t="s">
        <v>956</v>
      </c>
    </row>
    <row r="61" spans="1:18" s="652" customFormat="1" ht="16.5" thickBot="1">
      <c r="A61" s="253" t="s">
        <v>16</v>
      </c>
      <c r="B61" s="235" t="s">
        <v>2115</v>
      </c>
      <c r="C61" s="13" t="str">
        <f>IF(项目基本情况!B7="自然人","——",ROUND(C49*F61/(1+'数据-取费表'!F30),0))</f>
        <v>——</v>
      </c>
      <c r="D61" s="1331" t="s">
        <v>2116</v>
      </c>
      <c r="E61" s="235" t="s">
        <v>2065</v>
      </c>
      <c r="F61" s="267">
        <f t="shared" ref="F61:F67" si="0">F32</f>
        <v>5.6000000000000001E-2</v>
      </c>
      <c r="I61" s="1549" t="s">
        <v>2187</v>
      </c>
      <c r="J61" s="1033" t="str">
        <f>IF(OR(M48="住宅",J52&lt;L49,J57="是"),"0",ROUND(J60/(1+J53)^J54,0))</f>
        <v>0</v>
      </c>
      <c r="K61" s="1550" t="s">
        <v>2188</v>
      </c>
      <c r="L61" s="1033">
        <f>IF(OR(M48="住宅",L49&lt;J52),0,ROUND(L58*(L59/L60-1),0))</f>
        <v>0</v>
      </c>
      <c r="O61" s="1041" t="s">
        <v>2189</v>
      </c>
      <c r="P61" s="1042"/>
      <c r="Q61" s="1038"/>
      <c r="R61" s="1042"/>
    </row>
    <row r="62" spans="1:18" s="652" customFormat="1" ht="15.75" thickBot="1">
      <c r="A62" s="253" t="s">
        <v>17</v>
      </c>
      <c r="B62" s="235" t="s">
        <v>2190</v>
      </c>
      <c r="C62" s="13" t="str">
        <f>IF(项目基本情况!B7="自然人","——",IF(D62="按租金收入计税",ROUND(C50*F62/(1+'数据-取费表'!F30),0),IF(D62="按房产原值计税",ROUND(C58*F62*0.7,0),'数据-取费表'!B44)))</f>
        <v>——</v>
      </c>
      <c r="D62" s="1436" t="s">
        <v>2062</v>
      </c>
      <c r="E62" s="235" t="s">
        <v>2065</v>
      </c>
      <c r="F62" s="258">
        <f t="shared" si="0"/>
        <v>0.12</v>
      </c>
      <c r="O62" s="1043" t="s">
        <v>2135</v>
      </c>
      <c r="P62" s="1044" t="s">
        <v>2136</v>
      </c>
      <c r="Q62" s="1045" t="s">
        <v>2137</v>
      </c>
      <c r="R62" s="1046" t="s">
        <v>2138</v>
      </c>
    </row>
    <row r="63" spans="1:18" s="652" customFormat="1" ht="15.75" thickBot="1">
      <c r="A63" s="260" t="s">
        <v>18</v>
      </c>
      <c r="B63" s="36" t="s">
        <v>2191</v>
      </c>
      <c r="C63" s="14" t="str">
        <f>IF(项目基本情况!B7="自然人","——",ROUND(F63*F64,0))</f>
        <v>——</v>
      </c>
      <c r="D63" s="261" t="s">
        <v>2192</v>
      </c>
      <c r="E63" s="235" t="s">
        <v>2193</v>
      </c>
      <c r="F63" s="262">
        <f t="shared" si="0"/>
        <v>12</v>
      </c>
      <c r="I63" s="1551" t="s">
        <v>2194</v>
      </c>
      <c r="J63" s="1323" t="s">
        <v>2195</v>
      </c>
      <c r="K63" s="1323" t="s">
        <v>2196</v>
      </c>
      <c r="L63" s="1323" t="s">
        <v>2197</v>
      </c>
      <c r="M63" s="1322" t="s">
        <v>2198</v>
      </c>
      <c r="O63" s="1047" t="s">
        <v>949</v>
      </c>
      <c r="P63" s="1048" t="s">
        <v>2139</v>
      </c>
      <c r="Q63" s="1049">
        <f ca="1">C40+J29</f>
        <v>4023858</v>
      </c>
      <c r="R63" s="1050" t="s">
        <v>2140</v>
      </c>
    </row>
    <row r="64" spans="1:18" s="652" customFormat="1" ht="20.25" thickBot="1">
      <c r="A64" s="263"/>
      <c r="B64" s="244"/>
      <c r="C64" s="17"/>
      <c r="D64" s="264"/>
      <c r="E64" s="235" t="s">
        <v>2199</v>
      </c>
      <c r="F64" s="236">
        <f t="shared" si="0"/>
        <v>0</v>
      </c>
      <c r="I64" s="1551" t="s">
        <v>2200</v>
      </c>
      <c r="J64" s="1323">
        <v>70</v>
      </c>
      <c r="K64" s="1323">
        <v>50</v>
      </c>
      <c r="L64" s="1323">
        <v>80</v>
      </c>
      <c r="M64" s="1321">
        <v>0.02</v>
      </c>
      <c r="O64" s="1047" t="s">
        <v>950</v>
      </c>
      <c r="P64" s="1048" t="s">
        <v>2171</v>
      </c>
      <c r="Q64" s="1049">
        <f>L61</f>
        <v>0</v>
      </c>
      <c r="R64" s="1050" t="s">
        <v>2172</v>
      </c>
    </row>
    <row r="65" spans="1:18" s="652" customFormat="1" ht="23.25" thickBot="1">
      <c r="A65" s="253" t="s">
        <v>19</v>
      </c>
      <c r="B65" s="235" t="s">
        <v>2120</v>
      </c>
      <c r="C65" s="13">
        <f ca="1">ROUND(C58*F65,0)</f>
        <v>12414</v>
      </c>
      <c r="D65" s="1331" t="s">
        <v>2121</v>
      </c>
      <c r="E65" s="235" t="s">
        <v>2065</v>
      </c>
      <c r="F65" s="265">
        <f t="shared" si="0"/>
        <v>1.4999999999999999E-2</v>
      </c>
      <c r="I65" s="1551" t="s">
        <v>2201</v>
      </c>
      <c r="J65" s="1323">
        <v>50</v>
      </c>
      <c r="K65" s="1323">
        <v>35</v>
      </c>
      <c r="L65" s="1323">
        <v>60</v>
      </c>
      <c r="M65" s="1322">
        <v>0</v>
      </c>
      <c r="O65" s="1051" t="s">
        <v>951</v>
      </c>
      <c r="P65" s="1048" t="s">
        <v>2175</v>
      </c>
      <c r="Q65" s="1053">
        <f ca="1">L52</f>
        <v>71662757</v>
      </c>
      <c r="R65" s="1054" t="s">
        <v>2202</v>
      </c>
    </row>
    <row r="66" spans="1:18" s="652" customFormat="1" ht="20.25" thickBot="1">
      <c r="A66" s="253" t="s">
        <v>20</v>
      </c>
      <c r="B66" s="235" t="s">
        <v>2080</v>
      </c>
      <c r="C66" s="13">
        <f ca="1">ROUND(C57*F66,0)</f>
        <v>993</v>
      </c>
      <c r="D66" s="1331" t="s">
        <v>2081</v>
      </c>
      <c r="E66" s="235" t="s">
        <v>2082</v>
      </c>
      <c r="F66" s="266">
        <f t="shared" si="0"/>
        <v>1.5E-3</v>
      </c>
      <c r="I66" s="1551" t="s">
        <v>2203</v>
      </c>
      <c r="J66" s="1323">
        <v>40</v>
      </c>
      <c r="K66" s="1323">
        <v>30</v>
      </c>
      <c r="L66" s="1323">
        <v>50</v>
      </c>
      <c r="M66" s="1321">
        <v>0.02</v>
      </c>
      <c r="O66" s="1051" t="s">
        <v>952</v>
      </c>
      <c r="P66" s="1055" t="s">
        <v>2204</v>
      </c>
      <c r="Q66" s="1049">
        <f ca="1">ROUND(Q67-Q68*Q69,0)</f>
        <v>114379</v>
      </c>
      <c r="R66" s="1050"/>
    </row>
    <row r="67" spans="1:18" s="652" customFormat="1" ht="15.75" thickBot="1">
      <c r="A67" s="253" t="s">
        <v>21</v>
      </c>
      <c r="B67" s="235" t="s">
        <v>2063</v>
      </c>
      <c r="C67" s="13">
        <f ca="1">ROUND(C49*F67,0)</f>
        <v>0</v>
      </c>
      <c r="D67" s="1331" t="s">
        <v>2086</v>
      </c>
      <c r="E67" s="235" t="s">
        <v>2082</v>
      </c>
      <c r="F67" s="245">
        <f t="shared" si="0"/>
        <v>0.02</v>
      </c>
      <c r="O67" s="1051" t="s">
        <v>957</v>
      </c>
      <c r="P67" s="1055" t="s">
        <v>2205</v>
      </c>
      <c r="Q67" s="1049">
        <f ca="1">C39</f>
        <v>173966</v>
      </c>
      <c r="R67" s="1050" t="s">
        <v>2140</v>
      </c>
    </row>
    <row r="68" spans="1:18" ht="15.75" thickBot="1">
      <c r="A68" s="248" t="s">
        <v>22</v>
      </c>
      <c r="B68" s="41" t="s">
        <v>2090</v>
      </c>
      <c r="C68" s="250">
        <f ca="1">C49-C59</f>
        <v>-13407</v>
      </c>
      <c r="D68" s="1328" t="s">
        <v>2091</v>
      </c>
      <c r="E68" s="1330"/>
      <c r="F68" s="268"/>
      <c r="H68" s="652"/>
      <c r="I68" s="652"/>
      <c r="J68" s="652"/>
      <c r="K68" s="652"/>
      <c r="L68" s="652"/>
      <c r="M68" s="652"/>
      <c r="O68" s="1051" t="s">
        <v>958</v>
      </c>
      <c r="P68" s="1055" t="s">
        <v>2206</v>
      </c>
      <c r="Q68" s="1049">
        <f ca="1">C13</f>
        <v>662075</v>
      </c>
      <c r="R68" s="1050" t="s">
        <v>2140</v>
      </c>
    </row>
    <row r="69" spans="1:18" ht="15.75" thickBot="1">
      <c r="A69" s="232" t="s">
        <v>23</v>
      </c>
      <c r="B69" s="233" t="s">
        <v>2128</v>
      </c>
      <c r="C69" s="234">
        <f ca="1">ROUND(C68*(1-((1+F71)/(1+F69))^F70)/(F69-F71),0)</f>
        <v>-208292</v>
      </c>
      <c r="D69" s="261" t="s">
        <v>2096</v>
      </c>
      <c r="E69" s="235" t="s">
        <v>2097</v>
      </c>
      <c r="F69" s="245">
        <f>F40</f>
        <v>5.5E-2</v>
      </c>
      <c r="H69" s="652"/>
      <c r="I69" s="652"/>
      <c r="J69" s="652"/>
      <c r="K69" s="652"/>
      <c r="L69" s="652"/>
      <c r="M69" s="652"/>
      <c r="O69" s="1051" t="s">
        <v>959</v>
      </c>
      <c r="P69" s="1055" t="s">
        <v>2207</v>
      </c>
      <c r="Q69" s="1052">
        <f>J35</f>
        <v>0.09</v>
      </c>
      <c r="R69" s="1050"/>
    </row>
    <row r="70" spans="1:18" ht="15.75" thickBot="1">
      <c r="A70" s="237"/>
      <c r="B70" s="238"/>
      <c r="C70" s="239"/>
      <c r="D70" s="269" t="s">
        <v>2130</v>
      </c>
      <c r="E70" s="235" t="s">
        <v>2102</v>
      </c>
      <c r="F70" s="270">
        <f>F41</f>
        <v>36</v>
      </c>
      <c r="H70" s="652"/>
      <c r="I70" s="652"/>
      <c r="J70" s="652"/>
      <c r="K70" s="652"/>
      <c r="L70" s="652"/>
      <c r="M70" s="652"/>
      <c r="O70" s="1051" t="s">
        <v>953</v>
      </c>
      <c r="P70" s="1048" t="s">
        <v>2178</v>
      </c>
      <c r="Q70" s="1052">
        <f>L53</f>
        <v>0</v>
      </c>
      <c r="R70" s="1050"/>
    </row>
    <row r="71" spans="1:18" ht="20.25" thickBot="1">
      <c r="A71" s="241"/>
      <c r="B71" s="242"/>
      <c r="C71" s="243"/>
      <c r="D71" s="264"/>
      <c r="E71" s="235" t="s">
        <v>2106</v>
      </c>
      <c r="F71" s="1036"/>
      <c r="H71" s="652"/>
      <c r="M71" s="652"/>
      <c r="O71" s="1051" t="s">
        <v>954</v>
      </c>
      <c r="P71" s="1048" t="s">
        <v>2181</v>
      </c>
      <c r="Q71" s="1049" t="e">
        <f>L59</f>
        <v>#DIV/0!</v>
      </c>
      <c r="R71" s="1050" t="s">
        <v>2182</v>
      </c>
    </row>
    <row r="72" spans="1:18" ht="15.75" thickBot="1">
      <c r="A72" s="271" t="s">
        <v>24</v>
      </c>
      <c r="B72" s="272" t="s">
        <v>2131</v>
      </c>
      <c r="C72" s="273">
        <f ca="1">ROUND(C69/F72,0)</f>
        <v>-1336</v>
      </c>
      <c r="D72" s="274" t="s">
        <v>2132</v>
      </c>
      <c r="E72" s="275" t="s">
        <v>2133</v>
      </c>
      <c r="F72" s="276">
        <f>F43</f>
        <v>155.91999999999999</v>
      </c>
      <c r="O72" s="1051" t="s">
        <v>960</v>
      </c>
      <c r="P72" s="1048" t="str">
        <f>K60</f>
        <v>建筑物剩余耐用年限下的土地年期修正系数Kn</v>
      </c>
      <c r="Q72" s="1049" t="e">
        <f>L60</f>
        <v>#DIV/0!</v>
      </c>
      <c r="R72" s="1050" t="s">
        <v>2185</v>
      </c>
    </row>
    <row r="73" spans="1:18" ht="15.75" thickBot="1">
      <c r="A73" s="652"/>
      <c r="B73" s="656"/>
      <c r="C73" s="656"/>
      <c r="D73" s="652"/>
      <c r="E73" s="652"/>
      <c r="F73" s="652"/>
      <c r="O73" s="1047" t="s">
        <v>955</v>
      </c>
      <c r="P73" s="1048" t="str">
        <f>IF(C2="元","收益价值(元)","收益价值(万元)")</f>
        <v>收益价值(万元)</v>
      </c>
      <c r="Q73" s="1049">
        <f ca="1">ROUND(IF(C2="元",Q63+Q64,(Q63+Q64)/10000),0)</f>
        <v>402</v>
      </c>
      <c r="R73" s="1050" t="s">
        <v>956</v>
      </c>
    </row>
    <row r="74" spans="1:18">
      <c r="A74" s="652"/>
      <c r="B74" s="656"/>
      <c r="C74" s="656"/>
      <c r="D74" s="652"/>
      <c r="E74" s="652"/>
      <c r="F74" s="652"/>
    </row>
    <row r="75" spans="1:18">
      <c r="A75" s="652"/>
      <c r="B75" s="656"/>
      <c r="C75" s="656"/>
      <c r="D75" s="652"/>
      <c r="E75" s="652"/>
      <c r="F75" s="652"/>
    </row>
  </sheetData>
  <sheetProtection password="CEE9" sheet="1" objects="1" scenarios="1" formatCells="0" formatColumns="0" formatRows="0"/>
  <mergeCells count="1">
    <mergeCell ref="K54:L54"/>
  </mergeCells>
  <phoneticPr fontId="4" type="noConversion"/>
  <conditionalFormatting sqref="K56">
    <cfRule type="expression" dxfId="161" priority="6">
      <formula>$L$49&gt;$J$52</formula>
    </cfRule>
  </conditionalFormatting>
  <conditionalFormatting sqref="I56">
    <cfRule type="expression" dxfId="160" priority="7">
      <formula>$J$52&gt;$L$49</formula>
    </cfRule>
  </conditionalFormatting>
  <conditionalFormatting sqref="I61">
    <cfRule type="expression" dxfId="159" priority="5">
      <formula>$J$52&gt;$L$49</formula>
    </cfRule>
  </conditionalFormatting>
  <conditionalFormatting sqref="K61">
    <cfRule type="expression" dxfId="158" priority="4">
      <formula>$L$49&gt;$J$52</formula>
    </cfRule>
  </conditionalFormatting>
  <conditionalFormatting sqref="C11">
    <cfRule type="expression" dxfId="157" priority="3">
      <formula>$F$10="自定义"</formula>
    </cfRule>
  </conditionalFormatting>
  <conditionalFormatting sqref="J11">
    <cfRule type="expression" dxfId="156" priority="2">
      <formula>$M$10="自定义"</formula>
    </cfRule>
  </conditionalFormatting>
  <conditionalFormatting sqref="C55">
    <cfRule type="expression" dxfId="155" priority="1">
      <formula>$F$54="自定义"</formula>
    </cfRule>
  </conditionalFormatting>
  <dataValidations count="10">
    <dataValidation type="list" allowBlank="1" showInputMessage="1" showErrorMessage="1" sqref="K19">
      <formula1>"按租金收入计税,按房产原值计税"</formula1>
    </dataValidation>
    <dataValidation type="list" allowBlank="1" showInputMessage="1" showErrorMessage="1" sqref="D33 D62">
      <formula1>"按租金收入计税,按房产原值计税,按票据"</formula1>
    </dataValidation>
    <dataValidation type="list" allowBlank="1" showInputMessage="1" showErrorMessage="1" sqref="D1">
      <formula1>"估价对象,仅计算典型户型"</formula1>
    </dataValidation>
    <dataValidation type="list" allowBlank="1" showInputMessage="1" showErrorMessage="1" sqref="J57">
      <formula1>判定</formula1>
    </dataValidation>
    <dataValidation type="list" allowBlank="1" showInputMessage="1" showErrorMessage="1" sqref="J49">
      <formula1>"非生产用房,生产用房,受腐蚀的生产用房"</formula1>
    </dataValidation>
    <dataValidation type="list" allowBlank="1" showInputMessage="1" showErrorMessage="1" sqref="J48">
      <formula1>"钢,钢混,砖混"</formula1>
    </dataValidation>
    <dataValidation type="list" allowBlank="1" showInputMessage="1" showErrorMessage="1" sqref="L56">
      <formula1>"比较法,基准地价,收益还原"</formula1>
    </dataValidation>
    <dataValidation type="list" allowBlank="1" showInputMessage="1" showErrorMessage="1" sqref="F10 M10 F54">
      <formula1>"押一,押二,押三,自定义"</formula1>
    </dataValidation>
    <dataValidation type="list" allowBlank="1" showInputMessage="1" showErrorMessage="1" sqref="E41">
      <formula1>"收益年期(n),设定收益年期(n)"</formula1>
    </dataValidation>
    <dataValidation type="list" allowBlank="1" showInputMessage="1" showErrorMessage="1" sqref="E1">
      <formula1>"在建（套用方法）,土地（套用方法）,——"</formula1>
    </dataValidation>
  </dataValidations>
  <pageMargins left="0.7" right="0.7" top="0.75" bottom="0.75" header="0.3" footer="0.3"/>
  <pageSetup paperSize="9" scale="75" fitToHeight="0" orientation="portrait" r:id="rId1"/>
  <colBreaks count="2" manualBreakCount="2">
    <brk id="6" max="1048575" man="1"/>
    <brk id="13" max="1048575" man="1"/>
  </col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8"/>
  <sheetViews>
    <sheetView view="pageBreakPreview" zoomScale="80" zoomScaleNormal="100" zoomScaleSheetLayoutView="80" workbookViewId="0">
      <selection activeCell="P39" sqref="P39"/>
    </sheetView>
  </sheetViews>
  <sheetFormatPr defaultRowHeight="13.5"/>
  <cols>
    <col min="1" max="1" width="10.5" customWidth="1"/>
    <col min="2" max="2" width="12.875" customWidth="1"/>
    <col min="3" max="3" width="8.75" customWidth="1"/>
    <col min="4" max="4" width="9" bestFit="1" customWidth="1"/>
    <col min="5" max="5" width="9.875" bestFit="1" customWidth="1"/>
    <col min="8" max="9" width="9" bestFit="1" customWidth="1"/>
  </cols>
  <sheetData>
    <row r="1" spans="1:9" ht="14.25">
      <c r="A1" s="3436" t="s">
        <v>1013</v>
      </c>
      <c r="B1" s="3437"/>
      <c r="C1" s="3438"/>
      <c r="D1" s="3439">
        <f>SUM(I10,I15,I20,I21,I23)</f>
        <v>0</v>
      </c>
      <c r="E1" s="3439"/>
      <c r="F1" s="3439"/>
      <c r="G1" s="3439"/>
      <c r="H1" s="3439"/>
      <c r="I1" s="3440"/>
    </row>
    <row r="2" spans="1:9">
      <c r="A2" s="3426" t="s">
        <v>1014</v>
      </c>
      <c r="B2" s="3427" t="s">
        <v>963</v>
      </c>
      <c r="C2" s="3427"/>
      <c r="D2" s="1062" t="s">
        <v>964</v>
      </c>
      <c r="E2" s="1062" t="s">
        <v>965</v>
      </c>
      <c r="F2" s="1062" t="s">
        <v>966</v>
      </c>
      <c r="G2" s="1062" t="s">
        <v>967</v>
      </c>
      <c r="H2" s="1062" t="s">
        <v>968</v>
      </c>
      <c r="I2" s="1063" t="s">
        <v>969</v>
      </c>
    </row>
    <row r="3" spans="1:9">
      <c r="A3" s="3426"/>
      <c r="B3" s="3427" t="s">
        <v>970</v>
      </c>
      <c r="C3" s="3427"/>
      <c r="D3" s="1064"/>
      <c r="E3" s="1062"/>
      <c r="F3" s="1065"/>
      <c r="G3" s="1065"/>
      <c r="H3" s="1066"/>
      <c r="I3" s="1067">
        <f>ROUND(D3*E3*F3*G3*H3/10000,0)</f>
        <v>0</v>
      </c>
    </row>
    <row r="4" spans="1:9">
      <c r="A4" s="3426"/>
      <c r="B4" s="3427" t="s">
        <v>971</v>
      </c>
      <c r="C4" s="3427"/>
      <c r="D4" s="1064"/>
      <c r="E4" s="1062"/>
      <c r="F4" s="1065"/>
      <c r="G4" s="1065"/>
      <c r="H4" s="1066"/>
      <c r="I4" s="1067">
        <f t="shared" ref="I4:I9" si="0">ROUND(D4*E4*F4*G4*H4/10000,0)</f>
        <v>0</v>
      </c>
    </row>
    <row r="5" spans="1:9">
      <c r="A5" s="3426"/>
      <c r="B5" s="3427" t="s">
        <v>972</v>
      </c>
      <c r="C5" s="3427"/>
      <c r="D5" s="1064"/>
      <c r="E5" s="1062"/>
      <c r="F5" s="1065"/>
      <c r="G5" s="1065"/>
      <c r="H5" s="1066"/>
      <c r="I5" s="1067">
        <f t="shared" si="0"/>
        <v>0</v>
      </c>
    </row>
    <row r="6" spans="1:9">
      <c r="A6" s="3426"/>
      <c r="B6" s="3427" t="s">
        <v>973</v>
      </c>
      <c r="C6" s="3427"/>
      <c r="D6" s="1064"/>
      <c r="E6" s="1062"/>
      <c r="F6" s="1065"/>
      <c r="G6" s="1065"/>
      <c r="H6" s="1066"/>
      <c r="I6" s="1067">
        <f t="shared" si="0"/>
        <v>0</v>
      </c>
    </row>
    <row r="7" spans="1:9">
      <c r="A7" s="3426"/>
      <c r="B7" s="3427" t="s">
        <v>974</v>
      </c>
      <c r="C7" s="3427"/>
      <c r="D7" s="1064"/>
      <c r="E7" s="1062"/>
      <c r="F7" s="1065"/>
      <c r="G7" s="1065"/>
      <c r="H7" s="1066"/>
      <c r="I7" s="1067">
        <f t="shared" si="0"/>
        <v>0</v>
      </c>
    </row>
    <row r="8" spans="1:9">
      <c r="A8" s="3426"/>
      <c r="B8" s="3427" t="s">
        <v>975</v>
      </c>
      <c r="C8" s="3427"/>
      <c r="D8" s="1064"/>
      <c r="E8" s="1062"/>
      <c r="F8" s="1065"/>
      <c r="G8" s="1065"/>
      <c r="H8" s="1066"/>
      <c r="I8" s="1067">
        <f t="shared" si="0"/>
        <v>0</v>
      </c>
    </row>
    <row r="9" spans="1:9">
      <c r="A9" s="3426"/>
      <c r="B9" s="3427" t="s">
        <v>976</v>
      </c>
      <c r="C9" s="3427"/>
      <c r="D9" s="1064"/>
      <c r="E9" s="1062"/>
      <c r="F9" s="1065"/>
      <c r="G9" s="1065"/>
      <c r="H9" s="1066"/>
      <c r="I9" s="1067">
        <f t="shared" si="0"/>
        <v>0</v>
      </c>
    </row>
    <row r="10" spans="1:9">
      <c r="A10" s="3426"/>
      <c r="B10" s="3428" t="s">
        <v>977</v>
      </c>
      <c r="C10" s="3428"/>
      <c r="D10" s="1068">
        <v>527</v>
      </c>
      <c r="E10" s="1068" t="e">
        <f>ROUND(D1*10000/D10/H9,0)</f>
        <v>#DIV/0!</v>
      </c>
      <c r="F10" s="1069"/>
      <c r="G10" s="1069"/>
      <c r="H10" s="1070"/>
      <c r="I10" s="1071">
        <f>SUM(I3:I9)</f>
        <v>0</v>
      </c>
    </row>
    <row r="11" spans="1:9" ht="14.25">
      <c r="A11" s="3426" t="s">
        <v>1015</v>
      </c>
      <c r="B11" s="3427" t="s">
        <v>978</v>
      </c>
      <c r="C11" s="3427"/>
      <c r="D11" s="1064" t="s">
        <v>979</v>
      </c>
      <c r="E11" s="1064" t="s">
        <v>980</v>
      </c>
      <c r="F11" s="1065" t="s">
        <v>981</v>
      </c>
      <c r="G11" s="1065" t="s">
        <v>968</v>
      </c>
      <c r="H11" s="1072" t="s">
        <v>982</v>
      </c>
      <c r="I11" s="1063" t="s">
        <v>969</v>
      </c>
    </row>
    <row r="12" spans="1:9">
      <c r="A12" s="3426"/>
      <c r="B12" s="3427" t="s">
        <v>983</v>
      </c>
      <c r="C12" s="3427"/>
      <c r="D12" s="1064"/>
      <c r="E12" s="1064"/>
      <c r="F12" s="1065"/>
      <c r="G12" s="1066"/>
      <c r="H12" s="1073"/>
      <c r="I12" s="1063">
        <f>ROUND(D12*E12*F12*G12/10000,0)</f>
        <v>0</v>
      </c>
    </row>
    <row r="13" spans="1:9">
      <c r="A13" s="3426"/>
      <c r="B13" s="3427" t="s">
        <v>984</v>
      </c>
      <c r="C13" s="3427"/>
      <c r="D13" s="1064"/>
      <c r="E13" s="1064"/>
      <c r="F13" s="1065"/>
      <c r="G13" s="1066"/>
      <c r="H13" s="1073"/>
      <c r="I13" s="1063">
        <f>ROUND(D13*E13*F13*G13/10000,0)</f>
        <v>0</v>
      </c>
    </row>
    <row r="14" spans="1:9">
      <c r="A14" s="3426"/>
      <c r="B14" s="3427" t="s">
        <v>985</v>
      </c>
      <c r="C14" s="3427"/>
      <c r="D14" s="1064"/>
      <c r="E14" s="1064"/>
      <c r="F14" s="1065"/>
      <c r="G14" s="1066"/>
      <c r="H14" s="1073"/>
      <c r="I14" s="1063">
        <f>ROUND(D14*E14*F14*G14/10000,0)</f>
        <v>0</v>
      </c>
    </row>
    <row r="15" spans="1:9">
      <c r="A15" s="3426"/>
      <c r="B15" s="3428" t="s">
        <v>977</v>
      </c>
      <c r="C15" s="3428"/>
      <c r="D15" s="1068"/>
      <c r="E15" s="1068">
        <f>SUM(E12:E14)</f>
        <v>0</v>
      </c>
      <c r="F15" s="1069"/>
      <c r="G15" s="1066"/>
      <c r="H15" s="1073"/>
      <c r="I15" s="1074">
        <f>SUM(I12:I14)</f>
        <v>0</v>
      </c>
    </row>
    <row r="16" spans="1:9" ht="24">
      <c r="A16" s="3426" t="s">
        <v>1016</v>
      </c>
      <c r="B16" s="3427" t="s">
        <v>986</v>
      </c>
      <c r="C16" s="3427"/>
      <c r="D16" s="1064" t="s">
        <v>964</v>
      </c>
      <c r="E16" s="1075" t="s">
        <v>987</v>
      </c>
      <c r="F16" s="1065" t="s">
        <v>988</v>
      </c>
      <c r="G16" s="1066" t="s">
        <v>968</v>
      </c>
      <c r="H16" s="1072" t="s">
        <v>982</v>
      </c>
      <c r="I16" s="1063" t="s">
        <v>969</v>
      </c>
    </row>
    <row r="17" spans="1:9" ht="14.25">
      <c r="A17" s="3426"/>
      <c r="B17" s="3427" t="s">
        <v>989</v>
      </c>
      <c r="C17" s="3427"/>
      <c r="D17" s="1064"/>
      <c r="E17" s="1064"/>
      <c r="F17" s="1065"/>
      <c r="G17" s="1066"/>
      <c r="H17" s="1076"/>
      <c r="I17" s="1077">
        <f>ROUND(D17*E17*F17*G17/10000,0)</f>
        <v>0</v>
      </c>
    </row>
    <row r="18" spans="1:9" ht="14.25">
      <c r="A18" s="3426"/>
      <c r="B18" s="3427" t="s">
        <v>990</v>
      </c>
      <c r="C18" s="3427"/>
      <c r="D18" s="1064"/>
      <c r="E18" s="1064"/>
      <c r="F18" s="1065"/>
      <c r="G18" s="1066"/>
      <c r="H18" s="1076"/>
      <c r="I18" s="1077">
        <f>ROUND(D18*E18*F18*G18/10000,0)</f>
        <v>0</v>
      </c>
    </row>
    <row r="19" spans="1:9" ht="14.25">
      <c r="A19" s="3426"/>
      <c r="B19" s="3427" t="s">
        <v>991</v>
      </c>
      <c r="C19" s="3427"/>
      <c r="D19" s="1064"/>
      <c r="E19" s="1064"/>
      <c r="F19" s="1065"/>
      <c r="G19" s="1066"/>
      <c r="H19" s="1076"/>
      <c r="I19" s="1077">
        <f>ROUND(D19*E19*F19*G19/10000,0)</f>
        <v>0</v>
      </c>
    </row>
    <row r="20" spans="1:9">
      <c r="A20" s="3426"/>
      <c r="B20" s="3428" t="s">
        <v>977</v>
      </c>
      <c r="C20" s="3428"/>
      <c r="D20" s="1068">
        <f>SUM(D17:D19)</f>
        <v>0</v>
      </c>
      <c r="E20" s="1068"/>
      <c r="F20" s="1069"/>
      <c r="G20" s="1066"/>
      <c r="H20" s="1073"/>
      <c r="I20" s="1074">
        <f>SUM(I17:I19)</f>
        <v>0</v>
      </c>
    </row>
    <row r="21" spans="1:9">
      <c r="A21" s="3426" t="s">
        <v>1017</v>
      </c>
      <c r="B21" s="3429"/>
      <c r="C21" s="3429"/>
      <c r="D21" s="3429"/>
      <c r="E21" s="3429"/>
      <c r="F21" s="3429"/>
      <c r="G21" s="3429"/>
      <c r="H21" s="1078">
        <v>0.1</v>
      </c>
      <c r="I21" s="1071">
        <f>ROUND(I10*H21,0)</f>
        <v>0</v>
      </c>
    </row>
    <row r="22" spans="1:9" ht="14.25">
      <c r="A22" s="3430" t="s">
        <v>1018</v>
      </c>
      <c r="B22" s="3431"/>
      <c r="C22" s="3432"/>
      <c r="D22" s="1079" t="s">
        <v>992</v>
      </c>
      <c r="E22" s="1079" t="s">
        <v>993</v>
      </c>
      <c r="F22" s="1080" t="s">
        <v>968</v>
      </c>
      <c r="G22" s="1080" t="s">
        <v>994</v>
      </c>
      <c r="H22" s="1072" t="s">
        <v>982</v>
      </c>
      <c r="I22" s="1063" t="s">
        <v>969</v>
      </c>
    </row>
    <row r="23" spans="1:9" ht="14.25" thickBot="1">
      <c r="A23" s="3433"/>
      <c r="B23" s="3434"/>
      <c r="C23" s="3435"/>
      <c r="D23" s="1081"/>
      <c r="E23" s="1081"/>
      <c r="F23" s="1081"/>
      <c r="G23" s="1082"/>
      <c r="H23" s="1083"/>
      <c r="I23" s="1084">
        <f>ROUND(E23*D23*F23*(1-G23)/10000,0)</f>
        <v>0</v>
      </c>
    </row>
    <row r="26" spans="1:9">
      <c r="A26" s="1085" t="s">
        <v>995</v>
      </c>
      <c r="B26" s="1085"/>
      <c r="C26" s="1085"/>
      <c r="D26" s="1085"/>
      <c r="E26" s="3423">
        <f>C27-C30-C31-C32</f>
        <v>0</v>
      </c>
      <c r="F26" s="3423"/>
      <c r="G26" s="3423"/>
      <c r="H26" s="1304" t="s">
        <v>1206</v>
      </c>
    </row>
    <row r="27" spans="1:9">
      <c r="A27" s="1086">
        <v>1</v>
      </c>
      <c r="B27" s="1087" t="s">
        <v>996</v>
      </c>
      <c r="C27" s="1087">
        <f>C28+C29</f>
        <v>0</v>
      </c>
      <c r="D27" s="1087"/>
      <c r="E27" s="3424"/>
      <c r="F27" s="3424"/>
      <c r="G27" s="3424"/>
    </row>
    <row r="28" spans="1:9">
      <c r="A28" s="1088" t="s">
        <v>997</v>
      </c>
      <c r="B28" s="1087" t="s">
        <v>998</v>
      </c>
      <c r="C28" s="1087"/>
      <c r="D28" s="1087"/>
      <c r="E28" s="3424"/>
      <c r="F28" s="3424"/>
      <c r="G28" s="3424"/>
    </row>
    <row r="29" spans="1:9">
      <c r="A29" s="1088" t="s">
        <v>999</v>
      </c>
      <c r="B29" s="1087" t="s">
        <v>1000</v>
      </c>
      <c r="C29" s="1087"/>
      <c r="D29" s="1087"/>
      <c r="E29" s="1087" t="s">
        <v>1001</v>
      </c>
      <c r="F29" s="1087"/>
      <c r="G29" s="1087"/>
    </row>
    <row r="30" spans="1:9">
      <c r="A30" s="1086">
        <v>2</v>
      </c>
      <c r="B30" s="1087" t="s">
        <v>1002</v>
      </c>
      <c r="C30" s="1087">
        <f>C27*D30</f>
        <v>0</v>
      </c>
      <c r="D30" s="1089">
        <v>0.2</v>
      </c>
      <c r="E30" s="1087" t="s">
        <v>1003</v>
      </c>
      <c r="F30" s="1087"/>
      <c r="G30" s="1087"/>
    </row>
    <row r="31" spans="1:9">
      <c r="A31" s="1086">
        <v>3</v>
      </c>
      <c r="B31" s="1087" t="s">
        <v>1004</v>
      </c>
      <c r="C31" s="1087">
        <f>C27*D31</f>
        <v>0</v>
      </c>
      <c r="D31" s="1089">
        <v>0.15</v>
      </c>
      <c r="E31" s="1087" t="s">
        <v>1005</v>
      </c>
      <c r="F31" s="1087"/>
      <c r="G31" s="1087"/>
    </row>
    <row r="32" spans="1:9">
      <c r="A32" s="1086">
        <v>4</v>
      </c>
      <c r="B32" s="1087" t="s">
        <v>1006</v>
      </c>
      <c r="C32" s="1087">
        <f>C27*D32</f>
        <v>0</v>
      </c>
      <c r="D32" s="1089">
        <v>0.05</v>
      </c>
      <c r="E32" s="3425"/>
      <c r="F32" s="3425"/>
      <c r="G32" s="3425"/>
    </row>
    <row r="33" spans="1:7" hidden="1">
      <c r="A33" s="3420" t="s">
        <v>1007</v>
      </c>
      <c r="B33" s="3421"/>
      <c r="C33" s="3421"/>
      <c r="D33" s="3422"/>
      <c r="E33" s="3423"/>
      <c r="F33" s="3423"/>
      <c r="G33" s="3423"/>
    </row>
    <row r="34" spans="1:7" hidden="1">
      <c r="A34" s="1090">
        <v>1</v>
      </c>
      <c r="B34" s="1087" t="s">
        <v>1008</v>
      </c>
      <c r="C34" s="1087"/>
      <c r="D34" s="1087"/>
      <c r="E34" s="3424"/>
      <c r="F34" s="3424"/>
      <c r="G34" s="3424"/>
    </row>
    <row r="35" spans="1:7" hidden="1">
      <c r="A35" s="1090">
        <v>2</v>
      </c>
      <c r="B35" s="1087" t="s">
        <v>1009</v>
      </c>
      <c r="C35" s="1087"/>
      <c r="D35" s="1087"/>
      <c r="E35" s="3424"/>
      <c r="F35" s="3424"/>
      <c r="G35" s="3424"/>
    </row>
    <row r="36" spans="1:7" hidden="1">
      <c r="A36" s="1090">
        <v>3</v>
      </c>
      <c r="B36" s="1087" t="s">
        <v>1010</v>
      </c>
      <c r="C36" s="1087"/>
      <c r="D36" s="1087"/>
      <c r="E36" s="3424"/>
      <c r="F36" s="3424"/>
      <c r="G36" s="3424"/>
    </row>
    <row r="37" spans="1:7" hidden="1">
      <c r="A37" s="1090">
        <v>4</v>
      </c>
      <c r="B37" s="1087" t="s">
        <v>1011</v>
      </c>
      <c r="C37" s="1087"/>
      <c r="D37" s="1087"/>
      <c r="E37" s="3424"/>
      <c r="F37" s="3424"/>
      <c r="G37" s="3424"/>
    </row>
    <row r="38" spans="1:7" hidden="1">
      <c r="A38" s="3420" t="s">
        <v>1012</v>
      </c>
      <c r="B38" s="3421"/>
      <c r="C38" s="3421"/>
      <c r="D38" s="3422"/>
      <c r="E38" s="3423"/>
      <c r="F38" s="3423"/>
      <c r="G38" s="3423"/>
    </row>
  </sheetData>
  <mergeCells count="38">
    <mergeCell ref="A1:C1"/>
    <mergeCell ref="D1:I1"/>
    <mergeCell ref="A2:A10"/>
    <mergeCell ref="B2:C2"/>
    <mergeCell ref="B3:C3"/>
    <mergeCell ref="B4:C4"/>
    <mergeCell ref="B5:C5"/>
    <mergeCell ref="B6:C6"/>
    <mergeCell ref="B7:C7"/>
    <mergeCell ref="B8:C8"/>
    <mergeCell ref="B9:C9"/>
    <mergeCell ref="B10:C10"/>
    <mergeCell ref="A11:A15"/>
    <mergeCell ref="B11:C11"/>
    <mergeCell ref="B12:C12"/>
    <mergeCell ref="B13:C13"/>
    <mergeCell ref="B14:C14"/>
    <mergeCell ref="B15:C15"/>
    <mergeCell ref="E32:G32"/>
    <mergeCell ref="A16:A20"/>
    <mergeCell ref="B16:C16"/>
    <mergeCell ref="B17:C17"/>
    <mergeCell ref="B18:C18"/>
    <mergeCell ref="B19:C19"/>
    <mergeCell ref="B20:C20"/>
    <mergeCell ref="A21:G21"/>
    <mergeCell ref="A22:C23"/>
    <mergeCell ref="E26:G26"/>
    <mergeCell ref="E27:G27"/>
    <mergeCell ref="E28:G28"/>
    <mergeCell ref="A33:D33"/>
    <mergeCell ref="A38:D38"/>
    <mergeCell ref="E33:G33"/>
    <mergeCell ref="E34:G34"/>
    <mergeCell ref="E35:G35"/>
    <mergeCell ref="E36:G36"/>
    <mergeCell ref="E37:G37"/>
    <mergeCell ref="E38:G38"/>
  </mergeCells>
  <phoneticPr fontId="146" type="noConversion"/>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92D050"/>
    <pageSetUpPr fitToPage="1"/>
  </sheetPr>
  <dimension ref="A1:AC148"/>
  <sheetViews>
    <sheetView view="pageBreakPreview" topLeftCell="A2" zoomScale="60" zoomScaleNormal="70" workbookViewId="0">
      <selection activeCell="M31" sqref="M31"/>
    </sheetView>
  </sheetViews>
  <sheetFormatPr defaultColWidth="9" defaultRowHeight="14.25"/>
  <cols>
    <col min="1" max="1" width="10.5" style="1667" customWidth="1"/>
    <col min="2" max="2" width="15.75" style="1667" customWidth="1"/>
    <col min="3" max="3" width="15.125" style="1667" customWidth="1"/>
    <col min="4" max="4" width="12.25" style="1667" customWidth="1"/>
    <col min="5" max="5" width="14.375" style="1667" customWidth="1"/>
    <col min="6" max="6" width="12.25" style="1667" customWidth="1"/>
    <col min="7" max="7" width="14.5" style="1667" customWidth="1"/>
    <col min="8" max="8" width="12.25" style="1667" customWidth="1"/>
    <col min="9" max="9" width="14.5" style="1667" customWidth="1"/>
    <col min="10" max="10" width="12.25" style="1667" customWidth="1"/>
    <col min="11" max="11" width="12.25" style="1910" customWidth="1"/>
    <col min="12" max="12" width="12.25" style="1911" customWidth="1"/>
    <col min="13" max="15" width="12.25" style="1667" customWidth="1"/>
    <col min="16" max="16" width="4.75" style="1807" customWidth="1"/>
    <col min="17" max="17" width="19.5" style="1667" customWidth="1"/>
    <col min="18" max="22" width="6.125" style="1667" customWidth="1"/>
    <col min="23" max="23" width="5.75" style="1667" customWidth="1"/>
    <col min="24" max="24" width="4.25" style="1667" customWidth="1"/>
    <col min="25" max="25" width="3.5" style="1667" customWidth="1"/>
    <col min="26" max="26" width="19.75" style="1667" customWidth="1"/>
    <col min="27" max="28" width="9.375" style="1667" customWidth="1"/>
    <col min="29" max="16384" width="9" style="1667"/>
  </cols>
  <sheetData>
    <row r="1" spans="1:29" s="1648" customFormat="1" ht="28.5" customHeight="1" thickBot="1">
      <c r="A1" s="1637" t="s">
        <v>2241</v>
      </c>
      <c r="B1" s="1638" t="s">
        <v>2242</v>
      </c>
      <c r="C1" s="1639"/>
      <c r="D1" s="1640"/>
      <c r="E1" s="1641" t="s">
        <v>1224</v>
      </c>
      <c r="F1" s="1642" t="s">
        <v>2243</v>
      </c>
      <c r="G1" s="1638"/>
      <c r="H1" s="1638"/>
      <c r="I1" s="1638"/>
      <c r="J1" s="1638"/>
      <c r="K1" s="1643"/>
      <c r="L1" s="1644"/>
      <c r="M1" s="1638"/>
      <c r="N1" s="1638"/>
      <c r="O1" s="1638"/>
      <c r="P1" s="1645"/>
      <c r="Q1" s="1646"/>
      <c r="R1" s="1646"/>
      <c r="S1" s="1646"/>
      <c r="T1" s="1646"/>
      <c r="U1" s="1646"/>
      <c r="V1" s="1646"/>
      <c r="W1" s="1646"/>
      <c r="X1" s="1646"/>
      <c r="Y1" s="1646"/>
      <c r="Z1" s="1646"/>
      <c r="AA1" s="1646"/>
      <c r="AB1" s="1646"/>
      <c r="AC1" s="1647"/>
    </row>
    <row r="2" spans="1:29" s="277" customFormat="1" ht="28.5" customHeight="1" thickTop="1">
      <c r="A2" s="1649" t="s">
        <v>1914</v>
      </c>
      <c r="B2" s="1650" t="e">
        <f ca="1">IF(D2="——",IF(C2="元",ROUND(C49*D3,0),ROUND(C49*D3/10000,0)),IF(C2="元",ROUND(C49*D3,0),ROUND(C49*D3/10000,0))-E2)</f>
        <v>#DIV/0!</v>
      </c>
      <c r="C2" s="1651" t="str">
        <f>'数据-取费表'!B3</f>
        <v>万元</v>
      </c>
      <c r="D2" s="1652"/>
      <c r="E2" s="1653" t="e">
        <f ca="1">SUMIF(INDIRECT("'"&amp;G2&amp;"'"&amp;"!A:A"),"承租人权益价值",INDIRECT("'"&amp;G2&amp;"'"&amp;"!c:c"))</f>
        <v>#REF!</v>
      </c>
      <c r="F2" s="1654" t="str">
        <f>C2</f>
        <v>万元</v>
      </c>
      <c r="G2" s="1655"/>
      <c r="H2" s="2990"/>
      <c r="I2" s="2990"/>
      <c r="J2" s="2990"/>
      <c r="K2" s="2991"/>
      <c r="L2" s="2992"/>
      <c r="M2" s="2990"/>
      <c r="N2" s="2990"/>
      <c r="O2" s="2990"/>
      <c r="P2" s="1656"/>
      <c r="Q2" s="1657"/>
      <c r="R2" s="1657"/>
      <c r="S2" s="1657"/>
      <c r="T2" s="1657"/>
      <c r="U2" s="1657"/>
      <c r="V2" s="1657"/>
      <c r="W2" s="1657"/>
      <c r="X2" s="1657"/>
      <c r="Y2" s="1657"/>
      <c r="Z2" s="1657"/>
      <c r="AA2" s="1657"/>
      <c r="AB2" s="1657"/>
      <c r="AC2" s="1658"/>
    </row>
    <row r="3" spans="1:29" s="277" customFormat="1" ht="28.5" customHeight="1" thickBot="1">
      <c r="A3" s="1659" t="s">
        <v>1915</v>
      </c>
      <c r="B3" s="1660" t="e">
        <f ca="1">ROUND(IF(D2="——",C49,IF(C2="万元",B2*10000/D3,B2/D3)),0)</f>
        <v>#DIV/0!</v>
      </c>
      <c r="C3" s="1660" t="s">
        <v>2244</v>
      </c>
      <c r="D3" s="1660">
        <f>IF(C1="仅计算典型户型",'数据-取费表'!E5,'数据-取费表'!B5)</f>
        <v>841.27</v>
      </c>
      <c r="E3" s="2990"/>
      <c r="F3" s="2993"/>
      <c r="G3" s="2990"/>
      <c r="H3" s="2990"/>
      <c r="I3" s="2990"/>
      <c r="J3" s="2990"/>
      <c r="K3" s="2991"/>
      <c r="L3" s="2992"/>
      <c r="M3" s="2990"/>
      <c r="N3" s="2990"/>
      <c r="O3" s="2990"/>
      <c r="P3" s="1661"/>
      <c r="Q3" s="1657"/>
      <c r="R3" s="1657"/>
      <c r="S3" s="1657"/>
      <c r="T3" s="1657"/>
      <c r="U3" s="1657"/>
      <c r="V3" s="1657"/>
      <c r="W3" s="1657"/>
      <c r="X3" s="1657"/>
      <c r="Y3" s="1657"/>
      <c r="Z3" s="1657"/>
      <c r="AA3" s="1657"/>
      <c r="AB3" s="1657"/>
      <c r="AC3" s="1662"/>
    </row>
    <row r="4" spans="1:29" ht="15">
      <c r="A4" s="1663" t="s">
        <v>2245</v>
      </c>
      <c r="B4" s="1664"/>
      <c r="C4" s="3474" t="s">
        <v>2246</v>
      </c>
      <c r="D4" s="3475"/>
      <c r="E4" s="3476" t="s">
        <v>2247</v>
      </c>
      <c r="F4" s="3477"/>
      <c r="G4" s="3474" t="s">
        <v>2248</v>
      </c>
      <c r="H4" s="3475"/>
      <c r="I4" s="3474" t="s">
        <v>2249</v>
      </c>
      <c r="J4" s="3475"/>
      <c r="K4" s="1665" t="s">
        <v>2250</v>
      </c>
      <c r="L4" s="2994"/>
      <c r="M4" s="2995"/>
      <c r="N4" s="2995"/>
      <c r="O4" s="2995"/>
      <c r="P4" s="3478" t="s">
        <v>2251</v>
      </c>
      <c r="Q4" s="3479"/>
      <c r="R4" s="3463" t="s">
        <v>2247</v>
      </c>
      <c r="S4" s="3464"/>
      <c r="T4" s="3463" t="s">
        <v>2248</v>
      </c>
      <c r="U4" s="3464"/>
      <c r="V4" s="3484" t="s">
        <v>2249</v>
      </c>
      <c r="W4" s="3484"/>
      <c r="X4" s="1666"/>
      <c r="Y4" s="3463" t="s">
        <v>2251</v>
      </c>
      <c r="Z4" s="3464"/>
      <c r="AA4" s="3471" t="s">
        <v>2247</v>
      </c>
      <c r="AB4" s="3471" t="s">
        <v>2248</v>
      </c>
      <c r="AC4" s="3471" t="s">
        <v>2249</v>
      </c>
    </row>
    <row r="5" spans="1:29" ht="15">
      <c r="A5" s="1668"/>
      <c r="B5" s="1669"/>
      <c r="C5" s="3459" t="s">
        <v>2252</v>
      </c>
      <c r="D5" s="3460"/>
      <c r="E5" s="3485" t="s">
        <v>2253</v>
      </c>
      <c r="F5" s="3486"/>
      <c r="G5" s="3459" t="s">
        <v>2254</v>
      </c>
      <c r="H5" s="3460"/>
      <c r="I5" s="3459" t="s">
        <v>2255</v>
      </c>
      <c r="J5" s="3460"/>
      <c r="K5" s="1670"/>
      <c r="L5" s="2994"/>
      <c r="M5" s="2995"/>
      <c r="N5" s="2995"/>
      <c r="O5" s="2995"/>
      <c r="P5" s="3480"/>
      <c r="Q5" s="3481"/>
      <c r="R5" s="3465"/>
      <c r="S5" s="3466"/>
      <c r="T5" s="3465"/>
      <c r="U5" s="3466"/>
      <c r="V5" s="3484"/>
      <c r="W5" s="3484"/>
      <c r="X5" s="1666"/>
      <c r="Y5" s="3465"/>
      <c r="Z5" s="3466"/>
      <c r="AA5" s="3472"/>
      <c r="AB5" s="3472"/>
      <c r="AC5" s="3472"/>
    </row>
    <row r="6" spans="1:29" ht="15.75" thickBot="1">
      <c r="A6" s="1671"/>
      <c r="B6" s="1672"/>
      <c r="C6" s="3457" t="s">
        <v>2256</v>
      </c>
      <c r="D6" s="3458"/>
      <c r="E6" s="3487" t="s">
        <v>2256</v>
      </c>
      <c r="F6" s="3488"/>
      <c r="G6" s="3457" t="s">
        <v>2256</v>
      </c>
      <c r="H6" s="3458"/>
      <c r="I6" s="3457" t="s">
        <v>2256</v>
      </c>
      <c r="J6" s="3458"/>
      <c r="K6" s="1670" t="s">
        <v>2257</v>
      </c>
      <c r="L6" s="2994"/>
      <c r="M6" s="2995"/>
      <c r="N6" s="2995"/>
      <c r="O6" s="2995"/>
      <c r="P6" s="3482"/>
      <c r="Q6" s="3483"/>
      <c r="R6" s="3465"/>
      <c r="S6" s="3466"/>
      <c r="T6" s="3467"/>
      <c r="U6" s="3468"/>
      <c r="V6" s="3484"/>
      <c r="W6" s="3484"/>
      <c r="X6" s="1666"/>
      <c r="Y6" s="3467"/>
      <c r="Z6" s="3468"/>
      <c r="AA6" s="3473"/>
      <c r="AB6" s="3473"/>
      <c r="AC6" s="3473"/>
    </row>
    <row r="7" spans="1:29" s="1685" customFormat="1" ht="15.75" thickBot="1">
      <c r="A7" s="1673" t="s">
        <v>2258</v>
      </c>
      <c r="B7" s="1674"/>
      <c r="C7" s="1675">
        <f>'数据-取费表'!B2</f>
        <v>44334</v>
      </c>
      <c r="D7" s="1676">
        <v>100</v>
      </c>
      <c r="E7" s="1677"/>
      <c r="F7" s="1678">
        <f>SUMIF(58:58,YEAR(E7)&amp;"-"&amp;MONTH(E7),59:59)</f>
        <v>0</v>
      </c>
      <c r="G7" s="1677"/>
      <c r="H7" s="1676">
        <f>SUMIF(58:58,YEAR(G7)&amp;"-"&amp;MONTH(G7),59:59)</f>
        <v>0</v>
      </c>
      <c r="I7" s="1677"/>
      <c r="J7" s="1676">
        <f>SUMIF(58:58,YEAR(I7)&amp;"-"&amp;MONTH(I7),59:59)</f>
        <v>0</v>
      </c>
      <c r="K7" s="1679"/>
      <c r="L7" s="2994"/>
      <c r="M7" s="2967"/>
      <c r="N7" s="2967"/>
      <c r="O7" s="2967"/>
      <c r="P7" s="3461" t="s">
        <v>2259</v>
      </c>
      <c r="Q7" s="3469"/>
      <c r="R7" s="1681" t="s">
        <v>34</v>
      </c>
      <c r="S7" s="1682">
        <f t="shared" ref="S7:S15" si="0">F7</f>
        <v>0</v>
      </c>
      <c r="T7" s="1681" t="s">
        <v>34</v>
      </c>
      <c r="U7" s="1682">
        <f t="shared" ref="U7:U15" si="1">H7</f>
        <v>0</v>
      </c>
      <c r="V7" s="1681" t="s">
        <v>34</v>
      </c>
      <c r="W7" s="1682">
        <f t="shared" ref="W7:W15" si="2">J7</f>
        <v>0</v>
      </c>
      <c r="X7" s="1683"/>
      <c r="Y7" s="3461" t="s">
        <v>2259</v>
      </c>
      <c r="Z7" s="3462"/>
      <c r="AA7" s="1684" t="e">
        <f>D7/F7</f>
        <v>#DIV/0!</v>
      </c>
      <c r="AB7" s="1684" t="e">
        <f>D7/H7</f>
        <v>#DIV/0!</v>
      </c>
      <c r="AC7" s="1684" t="e">
        <f>D7/J7</f>
        <v>#DIV/0!</v>
      </c>
    </row>
    <row r="8" spans="1:29" s="1685" customFormat="1" ht="15.75" thickBot="1">
      <c r="A8" s="1673" t="s">
        <v>2260</v>
      </c>
      <c r="B8" s="1674"/>
      <c r="C8" s="1686" t="s">
        <v>2261</v>
      </c>
      <c r="D8" s="1676">
        <v>100</v>
      </c>
      <c r="E8" s="1687"/>
      <c r="F8" s="1678">
        <f>SUMIF(61:61,E8,62:62)-SUMIF(61:61,C8,62:62)+100</f>
        <v>0</v>
      </c>
      <c r="G8" s="1686"/>
      <c r="H8" s="1676">
        <f>SUMIF(61:61,G8,62:62)-SUMIF(61:61,C8,62:62)+100</f>
        <v>0</v>
      </c>
      <c r="I8" s="1687"/>
      <c r="J8" s="1676">
        <f>SUMIF(61:61,I8,62:62)-SUMIF(61:61,C8,62:62)+100</f>
        <v>0</v>
      </c>
      <c r="K8" s="1679"/>
      <c r="L8" s="2994"/>
      <c r="M8" s="2967"/>
      <c r="N8" s="2967"/>
      <c r="O8" s="2967"/>
      <c r="P8" s="3461" t="s">
        <v>2262</v>
      </c>
      <c r="Q8" s="3462"/>
      <c r="R8" s="1681" t="s">
        <v>34</v>
      </c>
      <c r="S8" s="1682">
        <f t="shared" si="0"/>
        <v>0</v>
      </c>
      <c r="T8" s="1681" t="s">
        <v>34</v>
      </c>
      <c r="U8" s="1682">
        <f t="shared" si="1"/>
        <v>0</v>
      </c>
      <c r="V8" s="1681" t="s">
        <v>34</v>
      </c>
      <c r="W8" s="1682">
        <f t="shared" si="2"/>
        <v>0</v>
      </c>
      <c r="X8" s="1683"/>
      <c r="Y8" s="3461" t="s">
        <v>2262</v>
      </c>
      <c r="Z8" s="3462"/>
      <c r="AA8" s="1684" t="e">
        <f t="shared" ref="AA8:AA46" si="3">D8/F8</f>
        <v>#DIV/0!</v>
      </c>
      <c r="AB8" s="1684" t="e">
        <f t="shared" ref="AB8:AB46" si="4">D8/H8</f>
        <v>#DIV/0!</v>
      </c>
      <c r="AC8" s="1684" t="e">
        <f t="shared" ref="AC8:AC46" si="5">D8/J8</f>
        <v>#DIV/0!</v>
      </c>
    </row>
    <row r="9" spans="1:29" s="1685" customFormat="1">
      <c r="A9" s="1636" t="s">
        <v>2263</v>
      </c>
      <c r="B9" s="1688" t="s">
        <v>2264</v>
      </c>
      <c r="C9" s="1689"/>
      <c r="D9" s="1690">
        <v>100</v>
      </c>
      <c r="E9" s="1691"/>
      <c r="F9" s="1692">
        <f>SUMIF(63:63,E9,64:64)-SUMIF(63:63,C9,64:64)+100</f>
        <v>100</v>
      </c>
      <c r="G9" s="1693"/>
      <c r="H9" s="1690">
        <f>SUMIF(63:63,G9,64:64)-SUMIF(63:63,C9,64:64)+100</f>
        <v>100</v>
      </c>
      <c r="I9" s="1693"/>
      <c r="J9" s="1690">
        <f>SUMIF(63:63,I9,64:64)-SUMIF(63:63,C9,64:64)+100</f>
        <v>100</v>
      </c>
      <c r="K9" s="1679"/>
      <c r="L9" s="2994"/>
      <c r="M9" s="2967"/>
      <c r="N9" s="2967"/>
      <c r="O9" s="2967"/>
      <c r="P9" s="3470" t="s">
        <v>2265</v>
      </c>
      <c r="Q9" s="1635" t="str">
        <f t="shared" ref="Q9:Q15" si="6">B9</f>
        <v>用途</v>
      </c>
      <c r="R9" s="1681" t="s">
        <v>25</v>
      </c>
      <c r="S9" s="1682">
        <f t="shared" si="0"/>
        <v>100</v>
      </c>
      <c r="T9" s="1681" t="s">
        <v>25</v>
      </c>
      <c r="U9" s="1682">
        <f t="shared" si="1"/>
        <v>100</v>
      </c>
      <c r="V9" s="1681" t="s">
        <v>25</v>
      </c>
      <c r="W9" s="1682">
        <f t="shared" si="2"/>
        <v>100</v>
      </c>
      <c r="X9" s="1683"/>
      <c r="Y9" s="3286" t="s">
        <v>2266</v>
      </c>
      <c r="Z9" s="1694" t="str">
        <f t="shared" ref="Z9:Z15" si="7">Q9</f>
        <v>用途</v>
      </c>
      <c r="AA9" s="1684">
        <f t="shared" si="3"/>
        <v>1</v>
      </c>
      <c r="AB9" s="1684">
        <f t="shared" si="4"/>
        <v>1</v>
      </c>
      <c r="AC9" s="1684">
        <f t="shared" si="5"/>
        <v>1</v>
      </c>
    </row>
    <row r="10" spans="1:29" s="1702" customFormat="1" ht="27">
      <c r="A10" s="1695"/>
      <c r="B10" s="1696" t="s">
        <v>2267</v>
      </c>
      <c r="C10" s="1697"/>
      <c r="D10" s="1698">
        <v>100</v>
      </c>
      <c r="E10" s="1699"/>
      <c r="F10" s="1700">
        <f>SUMIF(65:65,E10,66:66)-SUMIF(65:65,C10,66:66)+100</f>
        <v>100</v>
      </c>
      <c r="G10" s="1697"/>
      <c r="H10" s="1698">
        <f>SUMIF(65:65,G10,66:66)-SUMIF(65:65,C10,66:66)+100</f>
        <v>100</v>
      </c>
      <c r="I10" s="1697"/>
      <c r="J10" s="1698">
        <f>SUMIF(65:65,I10,66:66)-SUMIF(65:65,C10,66:66)+100</f>
        <v>100</v>
      </c>
      <c r="K10" s="1701"/>
      <c r="L10" s="2996"/>
      <c r="M10" s="2997"/>
      <c r="N10" s="2997"/>
      <c r="O10" s="2997"/>
      <c r="P10" s="3470"/>
      <c r="Q10" s="1635" t="str">
        <f t="shared" si="6"/>
        <v>土地使用年限（年）</v>
      </c>
      <c r="R10" s="1681" t="s">
        <v>25</v>
      </c>
      <c r="S10" s="1682">
        <f t="shared" si="0"/>
        <v>100</v>
      </c>
      <c r="T10" s="1681" t="s">
        <v>25</v>
      </c>
      <c r="U10" s="1682">
        <f t="shared" si="1"/>
        <v>100</v>
      </c>
      <c r="V10" s="1681" t="s">
        <v>25</v>
      </c>
      <c r="W10" s="1682">
        <f t="shared" si="2"/>
        <v>100</v>
      </c>
      <c r="X10" s="1683"/>
      <c r="Y10" s="3286"/>
      <c r="Z10" s="1694" t="str">
        <f t="shared" si="7"/>
        <v>土地使用年限（年）</v>
      </c>
      <c r="AA10" s="1684">
        <f t="shared" si="3"/>
        <v>1</v>
      </c>
      <c r="AB10" s="1684">
        <f t="shared" si="4"/>
        <v>1</v>
      </c>
      <c r="AC10" s="1684">
        <f t="shared" si="5"/>
        <v>1</v>
      </c>
    </row>
    <row r="11" spans="1:29" ht="15">
      <c r="A11" s="1703"/>
      <c r="B11" s="1696" t="s">
        <v>2268</v>
      </c>
      <c r="C11" s="1704"/>
      <c r="D11" s="1698">
        <v>100</v>
      </c>
      <c r="E11" s="1705"/>
      <c r="F11" s="1700" t="e">
        <f>LOOKUP(E11,68:68,69:69)-LOOKUP(C11,68:68,69:69)+100</f>
        <v>#N/A</v>
      </c>
      <c r="G11" s="1704"/>
      <c r="H11" s="1698" t="e">
        <f>LOOKUP(G11,68:68,69:69)-LOOKUP(C11,68:68,69:69)+100</f>
        <v>#N/A</v>
      </c>
      <c r="I11" s="1704"/>
      <c r="J11" s="1698" t="e">
        <f>LOOKUP(I11,68:68,69:69)-LOOKUP(C11,68:68,69:69)+100</f>
        <v>#N/A</v>
      </c>
      <c r="K11" s="1701"/>
      <c r="L11" s="2998"/>
      <c r="M11" s="2995"/>
      <c r="N11" s="2995"/>
      <c r="O11" s="2995"/>
      <c r="P11" s="3470"/>
      <c r="Q11" s="1635" t="str">
        <f t="shared" si="6"/>
        <v>容积率</v>
      </c>
      <c r="R11" s="1681" t="s">
        <v>28</v>
      </c>
      <c r="S11" s="1682" t="e">
        <f t="shared" si="0"/>
        <v>#N/A</v>
      </c>
      <c r="T11" s="1681" t="s">
        <v>28</v>
      </c>
      <c r="U11" s="1682" t="e">
        <f t="shared" si="1"/>
        <v>#N/A</v>
      </c>
      <c r="V11" s="1681" t="s">
        <v>28</v>
      </c>
      <c r="W11" s="1682" t="e">
        <f t="shared" si="2"/>
        <v>#N/A</v>
      </c>
      <c r="X11" s="1683"/>
      <c r="Y11" s="3286"/>
      <c r="Z11" s="1694" t="str">
        <f t="shared" si="7"/>
        <v>容积率</v>
      </c>
      <c r="AA11" s="1684" t="e">
        <f t="shared" si="3"/>
        <v>#N/A</v>
      </c>
      <c r="AB11" s="1684" t="e">
        <f t="shared" si="4"/>
        <v>#N/A</v>
      </c>
      <c r="AC11" s="1684" t="e">
        <f t="shared" si="5"/>
        <v>#N/A</v>
      </c>
    </row>
    <row r="12" spans="1:29" s="1685" customFormat="1" ht="15">
      <c r="A12" s="1706"/>
      <c r="B12" s="1707">
        <v>111</v>
      </c>
      <c r="C12" s="1708"/>
      <c r="D12" s="1709">
        <v>100</v>
      </c>
      <c r="E12" s="1708"/>
      <c r="F12" s="1700">
        <f>SUMIF(70:70,E12,71:71)-SUMIF(70:70,C12,71:71)+100</f>
        <v>100</v>
      </c>
      <c r="G12" s="1708"/>
      <c r="H12" s="1698">
        <f>SUMIF(70:70,G12,71:71)-SUMIF(70:70,C12,71:71)+100</f>
        <v>100</v>
      </c>
      <c r="I12" s="1708"/>
      <c r="J12" s="1698">
        <f>SUMIF(70:70,I12,71:71)-SUMIF(70:70,C12,71:71)+100</f>
        <v>100</v>
      </c>
      <c r="K12" s="1710"/>
      <c r="L12" s="2994"/>
      <c r="M12" s="2967"/>
      <c r="N12" s="2967"/>
      <c r="O12" s="2967"/>
      <c r="P12" s="3470"/>
      <c r="Q12" s="1635">
        <f t="shared" si="6"/>
        <v>111</v>
      </c>
      <c r="R12" s="1681" t="s">
        <v>28</v>
      </c>
      <c r="S12" s="1682">
        <f t="shared" si="0"/>
        <v>100</v>
      </c>
      <c r="T12" s="1681" t="s">
        <v>28</v>
      </c>
      <c r="U12" s="1682">
        <f t="shared" si="1"/>
        <v>100</v>
      </c>
      <c r="V12" s="1681" t="s">
        <v>28</v>
      </c>
      <c r="W12" s="1682">
        <f t="shared" si="2"/>
        <v>100</v>
      </c>
      <c r="X12" s="1683"/>
      <c r="Y12" s="3286"/>
      <c r="Z12" s="1694">
        <f t="shared" si="7"/>
        <v>111</v>
      </c>
      <c r="AA12" s="1684">
        <f>D12/F12</f>
        <v>1</v>
      </c>
      <c r="AB12" s="1684">
        <f>D12/H12</f>
        <v>1</v>
      </c>
      <c r="AC12" s="1684">
        <f>D12/J12</f>
        <v>1</v>
      </c>
    </row>
    <row r="13" spans="1:29" ht="15">
      <c r="A13" s="1703"/>
      <c r="B13" s="1707">
        <v>111</v>
      </c>
      <c r="C13" s="1711"/>
      <c r="D13" s="1712">
        <v>100</v>
      </c>
      <c r="E13" s="1711"/>
      <c r="F13" s="1700">
        <f>SUMIF(72:72,E13,73:73)-SUMIF(72:72,C13,73:73)+100</f>
        <v>100</v>
      </c>
      <c r="G13" s="1711"/>
      <c r="H13" s="1712">
        <f>SUMIF(72:72,G13,73:73)-SUMIF(72:72,C13,73:73)+100</f>
        <v>100</v>
      </c>
      <c r="I13" s="1711"/>
      <c r="J13" s="1712">
        <f>SUMIF(72:72,I13,73:73)-SUMIF(72:72,C13,73:73)+100</f>
        <v>100</v>
      </c>
      <c r="K13" s="1710"/>
      <c r="L13" s="2999"/>
      <c r="M13" s="2995"/>
      <c r="N13" s="2995"/>
      <c r="O13" s="2995"/>
      <c r="P13" s="3470"/>
      <c r="Q13" s="1635">
        <f t="shared" si="6"/>
        <v>111</v>
      </c>
      <c r="R13" s="1681" t="s">
        <v>28</v>
      </c>
      <c r="S13" s="1682">
        <f t="shared" si="0"/>
        <v>100</v>
      </c>
      <c r="T13" s="1681" t="s">
        <v>28</v>
      </c>
      <c r="U13" s="1682">
        <f t="shared" si="1"/>
        <v>100</v>
      </c>
      <c r="V13" s="1681" t="s">
        <v>28</v>
      </c>
      <c r="W13" s="1682">
        <f t="shared" si="2"/>
        <v>100</v>
      </c>
      <c r="X13" s="1683"/>
      <c r="Y13" s="3286"/>
      <c r="Z13" s="1694">
        <f t="shared" si="7"/>
        <v>111</v>
      </c>
      <c r="AA13" s="1684">
        <f t="shared" si="3"/>
        <v>1</v>
      </c>
      <c r="AB13" s="1684">
        <f t="shared" si="4"/>
        <v>1</v>
      </c>
      <c r="AC13" s="1684">
        <f t="shared" si="5"/>
        <v>1</v>
      </c>
    </row>
    <row r="14" spans="1:29" ht="15.75" thickBot="1">
      <c r="A14" s="1713"/>
      <c r="B14" s="1714">
        <v>111</v>
      </c>
      <c r="C14" s="1715"/>
      <c r="D14" s="1716">
        <v>100</v>
      </c>
      <c r="E14" s="1715"/>
      <c r="F14" s="1717">
        <f>SUMIF(74:74,E14,75:75)-SUMIF(74:74,C14,75:75)+100</f>
        <v>100</v>
      </c>
      <c r="G14" s="1715"/>
      <c r="H14" s="1716">
        <f>SUMIF(74:74,G14,75:75)-SUMIF(74:74,C14,75:75)+100</f>
        <v>100</v>
      </c>
      <c r="I14" s="1715"/>
      <c r="J14" s="1716">
        <f>SUMIF(74:74,I14,75:75)-SUMIF(74:74,C14,75:75)+100</f>
        <v>100</v>
      </c>
      <c r="K14" s="1710"/>
      <c r="L14" s="2999"/>
      <c r="M14" s="2995"/>
      <c r="N14" s="2995"/>
      <c r="O14" s="2995"/>
      <c r="P14" s="3470"/>
      <c r="Q14" s="1635">
        <f t="shared" si="6"/>
        <v>111</v>
      </c>
      <c r="R14" s="1681" t="s">
        <v>28</v>
      </c>
      <c r="S14" s="1682">
        <f t="shared" si="0"/>
        <v>100</v>
      </c>
      <c r="T14" s="1681" t="s">
        <v>28</v>
      </c>
      <c r="U14" s="1682">
        <f t="shared" si="1"/>
        <v>100</v>
      </c>
      <c r="V14" s="1681" t="s">
        <v>28</v>
      </c>
      <c r="W14" s="1682">
        <f t="shared" si="2"/>
        <v>100</v>
      </c>
      <c r="X14" s="1683"/>
      <c r="Y14" s="3286"/>
      <c r="Z14" s="1694">
        <f t="shared" si="7"/>
        <v>111</v>
      </c>
      <c r="AA14" s="1684">
        <f t="shared" si="3"/>
        <v>1</v>
      </c>
      <c r="AB14" s="1684">
        <f t="shared" si="4"/>
        <v>1</v>
      </c>
      <c r="AC14" s="1684">
        <f t="shared" si="5"/>
        <v>1</v>
      </c>
    </row>
    <row r="15" spans="1:29" ht="99.75">
      <c r="A15" s="1718" t="s">
        <v>2269</v>
      </c>
      <c r="B15" s="1719" t="s">
        <v>1704</v>
      </c>
      <c r="C15" s="1720" t="str">
        <f>估价对象房地状况!C3</f>
        <v>估价对象周边居住用地比例、居住小区规模和社区发展完善程度，综合评价居住社区成熟度一般</v>
      </c>
      <c r="D15" s="1721">
        <v>100</v>
      </c>
      <c r="E15" s="1722"/>
      <c r="F15" s="1723">
        <f>SUMIF(76:76,E16,77:77)-SUMIF(76:76,C16,77:77)+100</f>
        <v>100</v>
      </c>
      <c r="G15" s="1724"/>
      <c r="H15" s="1721">
        <f>SUMIF(76:76,G16,77:77)-SUMIF(76:76,C16,77:77)+100</f>
        <v>100</v>
      </c>
      <c r="I15" s="1722"/>
      <c r="J15" s="1721">
        <f>SUMIF(76:76,I16,77:77)-SUMIF(76:76,C16,77:77)+100</f>
        <v>100</v>
      </c>
      <c r="K15" s="1725"/>
      <c r="L15" s="2999"/>
      <c r="M15" s="2995"/>
      <c r="N15" s="2995"/>
      <c r="O15" s="2995"/>
      <c r="P15" s="3448" t="s">
        <v>2270</v>
      </c>
      <c r="Q15" s="1616" t="str">
        <f t="shared" si="6"/>
        <v>居住社区成熟度</v>
      </c>
      <c r="R15" s="1726" t="s">
        <v>28</v>
      </c>
      <c r="S15" s="1727">
        <f t="shared" si="0"/>
        <v>100</v>
      </c>
      <c r="T15" s="1726" t="s">
        <v>28</v>
      </c>
      <c r="U15" s="1727">
        <f t="shared" si="1"/>
        <v>100</v>
      </c>
      <c r="V15" s="1726" t="s">
        <v>28</v>
      </c>
      <c r="W15" s="1727">
        <f t="shared" si="2"/>
        <v>100</v>
      </c>
      <c r="X15" s="1666"/>
      <c r="Y15" s="3450" t="s">
        <v>2270</v>
      </c>
      <c r="Z15" s="1728" t="str">
        <f t="shared" si="7"/>
        <v>居住社区成熟度</v>
      </c>
      <c r="AA15" s="1729">
        <f t="shared" si="3"/>
        <v>1</v>
      </c>
      <c r="AB15" s="1729">
        <f t="shared" si="4"/>
        <v>1</v>
      </c>
      <c r="AC15" s="1729">
        <f t="shared" si="5"/>
        <v>1</v>
      </c>
    </row>
    <row r="16" spans="1:29" ht="15">
      <c r="A16" s="1703"/>
      <c r="B16" s="1730"/>
      <c r="C16" s="1731"/>
      <c r="D16" s="1732"/>
      <c r="E16" s="1733"/>
      <c r="F16" s="1734"/>
      <c r="G16" s="1735"/>
      <c r="H16" s="1736"/>
      <c r="I16" s="1733"/>
      <c r="J16" s="1732"/>
      <c r="K16" s="1737"/>
      <c r="L16" s="2999"/>
      <c r="M16" s="2995"/>
      <c r="N16" s="2995"/>
      <c r="O16" s="2995"/>
      <c r="P16" s="3449"/>
      <c r="Q16" s="1616"/>
      <c r="R16" s="1726"/>
      <c r="S16" s="1727"/>
      <c r="T16" s="1726"/>
      <c r="U16" s="1727"/>
      <c r="V16" s="1726"/>
      <c r="W16" s="1727"/>
      <c r="X16" s="1666"/>
      <c r="Y16" s="3451"/>
      <c r="Z16" s="1728"/>
      <c r="AA16" s="1729">
        <v>1</v>
      </c>
      <c r="AB16" s="1729">
        <v>1</v>
      </c>
      <c r="AC16" s="1729">
        <v>1</v>
      </c>
    </row>
    <row r="17" spans="1:29" ht="85.5">
      <c r="A17" s="1703"/>
      <c r="B17" s="1738" t="s">
        <v>1706</v>
      </c>
      <c r="C17" s="1739" t="str">
        <f>估价对象房地状况!C6</f>
        <v>估价对象周边道路状况、公共交通通达情况、停车便捷程度，综合评价交通便捷度较好</v>
      </c>
      <c r="D17" s="1736">
        <v>100</v>
      </c>
      <c r="E17" s="1740"/>
      <c r="F17" s="1741">
        <f>SUMIF(78:78,E18,79:79)-SUMIF(78:78,C18,79:79)+100</f>
        <v>100</v>
      </c>
      <c r="G17" s="1742"/>
      <c r="H17" s="1743">
        <f>SUMIF(78:78,G18,79:79)-SUMIF(78:78,C18,79:79)+100</f>
        <v>100</v>
      </c>
      <c r="I17" s="1740"/>
      <c r="J17" s="1743">
        <f>SUMIF(78:78,I18,79:79)-SUMIF(78:78,C18,79:79)+100</f>
        <v>100</v>
      </c>
      <c r="K17" s="1725"/>
      <c r="L17" s="2999"/>
      <c r="M17" s="2995"/>
      <c r="N17" s="2995"/>
      <c r="O17" s="2995"/>
      <c r="P17" s="3449"/>
      <c r="Q17" s="1616" t="str">
        <f>B17</f>
        <v>交通便捷度</v>
      </c>
      <c r="R17" s="1726" t="s">
        <v>28</v>
      </c>
      <c r="S17" s="1727">
        <f>F17</f>
        <v>100</v>
      </c>
      <c r="T17" s="1726" t="s">
        <v>28</v>
      </c>
      <c r="U17" s="1727">
        <f>H17</f>
        <v>100</v>
      </c>
      <c r="V17" s="1726" t="s">
        <v>28</v>
      </c>
      <c r="W17" s="1727">
        <f>J17</f>
        <v>100</v>
      </c>
      <c r="X17" s="1666"/>
      <c r="Y17" s="3451"/>
      <c r="Z17" s="1728" t="str">
        <f>Q17</f>
        <v>交通便捷度</v>
      </c>
      <c r="AA17" s="1729">
        <f t="shared" si="3"/>
        <v>1</v>
      </c>
      <c r="AB17" s="1729">
        <f t="shared" si="4"/>
        <v>1</v>
      </c>
      <c r="AC17" s="1729">
        <f t="shared" si="5"/>
        <v>1</v>
      </c>
    </row>
    <row r="18" spans="1:29" ht="15">
      <c r="A18" s="1703"/>
      <c r="B18" s="1744"/>
      <c r="C18" s="1745"/>
      <c r="D18" s="1736"/>
      <c r="E18" s="1746"/>
      <c r="F18" s="1741"/>
      <c r="G18" s="1747"/>
      <c r="H18" s="1732"/>
      <c r="I18" s="1746"/>
      <c r="J18" s="1732"/>
      <c r="K18" s="1737"/>
      <c r="L18" s="2999"/>
      <c r="M18" s="2995"/>
      <c r="N18" s="2995"/>
      <c r="O18" s="2995"/>
      <c r="P18" s="3449"/>
      <c r="Q18" s="1616"/>
      <c r="R18" s="1726"/>
      <c r="S18" s="1727"/>
      <c r="T18" s="1726"/>
      <c r="U18" s="1727"/>
      <c r="V18" s="1726"/>
      <c r="W18" s="1727"/>
      <c r="X18" s="1666"/>
      <c r="Y18" s="3451"/>
      <c r="Z18" s="1728"/>
      <c r="AA18" s="1729">
        <v>1</v>
      </c>
      <c r="AB18" s="1729">
        <v>1</v>
      </c>
      <c r="AC18" s="1729">
        <v>1</v>
      </c>
    </row>
    <row r="19" spans="1:29" ht="42.75">
      <c r="A19" s="1703"/>
      <c r="B19" s="1738" t="s">
        <v>1705</v>
      </c>
      <c r="C19" s="1739" t="str">
        <f>估价对象房地状况!C7</f>
        <v>估价对象所在区域公共配套设施齐备情况</v>
      </c>
      <c r="D19" s="1743">
        <v>100</v>
      </c>
      <c r="E19" s="1748"/>
      <c r="F19" s="1749">
        <f>SUMIF(80:80,E20,81:81)-SUMIF(80:80,C20,81:81)+100</f>
        <v>100</v>
      </c>
      <c r="G19" s="1750"/>
      <c r="H19" s="1736">
        <f>SUMIF(80:80,G20,81:81)-SUMIF(80:80,C20,81:81)+100</f>
        <v>100</v>
      </c>
      <c r="I19" s="1748"/>
      <c r="J19" s="1736">
        <f>SUMIF(80:80,I20,81:81)-SUMIF(80:80,C20,81:81)+100</f>
        <v>100</v>
      </c>
      <c r="K19" s="1725"/>
      <c r="L19" s="2999"/>
      <c r="M19" s="2995"/>
      <c r="N19" s="2995"/>
      <c r="O19" s="2995"/>
      <c r="P19" s="3449"/>
      <c r="Q19" s="1616" t="str">
        <f>B19</f>
        <v>公共配套设施</v>
      </c>
      <c r="R19" s="1726" t="s">
        <v>28</v>
      </c>
      <c r="S19" s="1727">
        <f>F19</f>
        <v>100</v>
      </c>
      <c r="T19" s="1726" t="s">
        <v>28</v>
      </c>
      <c r="U19" s="1727">
        <f>H19</f>
        <v>100</v>
      </c>
      <c r="V19" s="1726" t="s">
        <v>28</v>
      </c>
      <c r="W19" s="1727">
        <f>J19</f>
        <v>100</v>
      </c>
      <c r="X19" s="1666"/>
      <c r="Y19" s="3451"/>
      <c r="Z19" s="1728" t="str">
        <f>Q19</f>
        <v>公共配套设施</v>
      </c>
      <c r="AA19" s="1729">
        <f t="shared" si="3"/>
        <v>1</v>
      </c>
      <c r="AB19" s="1729">
        <f t="shared" si="4"/>
        <v>1</v>
      </c>
      <c r="AC19" s="1729">
        <f t="shared" si="5"/>
        <v>1</v>
      </c>
    </row>
    <row r="20" spans="1:29" ht="15">
      <c r="A20" s="1703"/>
      <c r="B20" s="1744"/>
      <c r="C20" s="1731"/>
      <c r="D20" s="1732"/>
      <c r="E20" s="1733"/>
      <c r="F20" s="1734"/>
      <c r="G20" s="1735"/>
      <c r="H20" s="1732"/>
      <c r="I20" s="1733"/>
      <c r="J20" s="1732"/>
      <c r="K20" s="1737"/>
      <c r="L20" s="2999"/>
      <c r="M20" s="2995"/>
      <c r="N20" s="2995"/>
      <c r="O20" s="2995"/>
      <c r="P20" s="3449"/>
      <c r="Q20" s="1616"/>
      <c r="R20" s="1726"/>
      <c r="S20" s="1727"/>
      <c r="T20" s="1726"/>
      <c r="U20" s="1727"/>
      <c r="V20" s="1726"/>
      <c r="W20" s="1727"/>
      <c r="X20" s="1666"/>
      <c r="Y20" s="3451"/>
      <c r="Z20" s="1728"/>
      <c r="AA20" s="1729">
        <v>1</v>
      </c>
      <c r="AB20" s="1729">
        <v>1</v>
      </c>
      <c r="AC20" s="1729">
        <v>1</v>
      </c>
    </row>
    <row r="21" spans="1:29" ht="28.5">
      <c r="A21" s="1703"/>
      <c r="B21" s="1751" t="s">
        <v>1707</v>
      </c>
      <c r="C21" s="1739" t="str">
        <f>估价对象房地状况!C8</f>
        <v>估价对象所在区域基础设施水平</v>
      </c>
      <c r="D21" s="1743">
        <v>100</v>
      </c>
      <c r="E21" s="1748"/>
      <c r="F21" s="1749">
        <f>SUMIF(82:82,E22,83:83)-SUMIF(82:82,C22,83:83)+100</f>
        <v>100</v>
      </c>
      <c r="G21" s="1750"/>
      <c r="H21" s="1736">
        <f>SUMIF(82:82,G22,83:83)-SUMIF(82:82,C22,83:83)+100</f>
        <v>100</v>
      </c>
      <c r="I21" s="1748"/>
      <c r="J21" s="1736">
        <f>SUMIF(82:82,I22,83:83)-SUMIF(82:82,C22,83:83)+100</f>
        <v>100</v>
      </c>
      <c r="K21" s="1725"/>
      <c r="L21" s="2999"/>
      <c r="M21" s="2995"/>
      <c r="N21" s="2995"/>
      <c r="O21" s="2995"/>
      <c r="P21" s="3449"/>
      <c r="Q21" s="1616" t="str">
        <f>B21</f>
        <v>基础设施水平</v>
      </c>
      <c r="R21" s="1726" t="s">
        <v>28</v>
      </c>
      <c r="S21" s="1727">
        <f>F21</f>
        <v>100</v>
      </c>
      <c r="T21" s="1726" t="s">
        <v>28</v>
      </c>
      <c r="U21" s="1727">
        <f>H21</f>
        <v>100</v>
      </c>
      <c r="V21" s="1726" t="s">
        <v>28</v>
      </c>
      <c r="W21" s="1727">
        <f>J21</f>
        <v>100</v>
      </c>
      <c r="X21" s="1666"/>
      <c r="Y21" s="3451"/>
      <c r="Z21" s="1728" t="str">
        <f>Q21</f>
        <v>基础设施水平</v>
      </c>
      <c r="AA21" s="1729">
        <f t="shared" ref="AA21" si="8">D21/F21</f>
        <v>1</v>
      </c>
      <c r="AB21" s="1729">
        <f t="shared" ref="AB21" si="9">D21/H21</f>
        <v>1</v>
      </c>
      <c r="AC21" s="1729">
        <f t="shared" ref="AC21" si="10">D21/J21</f>
        <v>1</v>
      </c>
    </row>
    <row r="22" spans="1:29" ht="15">
      <c r="A22" s="1703"/>
      <c r="B22" s="1751"/>
      <c r="C22" s="1745"/>
      <c r="D22" s="1732"/>
      <c r="E22" s="1731"/>
      <c r="F22" s="1734"/>
      <c r="G22" s="1731"/>
      <c r="H22" s="1732"/>
      <c r="I22" s="1731"/>
      <c r="J22" s="1732"/>
      <c r="K22" s="1752"/>
      <c r="L22" s="2999"/>
      <c r="M22" s="2995"/>
      <c r="N22" s="2995"/>
      <c r="O22" s="2995"/>
      <c r="P22" s="3449"/>
      <c r="Q22" s="1616"/>
      <c r="R22" s="1726"/>
      <c r="S22" s="1727"/>
      <c r="T22" s="1726"/>
      <c r="U22" s="1727"/>
      <c r="V22" s="1726"/>
      <c r="W22" s="1727"/>
      <c r="X22" s="1666"/>
      <c r="Y22" s="3451"/>
      <c r="Z22" s="1728"/>
      <c r="AA22" s="1729">
        <v>1</v>
      </c>
      <c r="AB22" s="1729">
        <v>1</v>
      </c>
      <c r="AC22" s="1729">
        <v>1</v>
      </c>
    </row>
    <row r="23" spans="1:29" ht="57">
      <c r="A23" s="1703"/>
      <c r="B23" s="1738" t="s">
        <v>1708</v>
      </c>
      <c r="C23" s="1739" t="str">
        <f>估价对象房地状况!C9</f>
        <v>区域自然环境：；人文环境；综合评价环境状况一般</v>
      </c>
      <c r="D23" s="1736">
        <v>100</v>
      </c>
      <c r="E23" s="1740"/>
      <c r="F23" s="1741">
        <f>SUMIF(84:84,E24,85:85)-SUMIF(84:84,C24,85:85)+100</f>
        <v>100</v>
      </c>
      <c r="G23" s="1742"/>
      <c r="H23" s="1736">
        <f>SUMIF(84:84,G24,85:85)-SUMIF(84:84,C24,85:85)+100</f>
        <v>100</v>
      </c>
      <c r="I23" s="1740"/>
      <c r="J23" s="1736">
        <f>SUMIF(84:84,I24,85:85)-SUMIF(84:84,C24,85:85)+100</f>
        <v>100</v>
      </c>
      <c r="K23" s="1725"/>
      <c r="L23" s="2999"/>
      <c r="M23" s="2995"/>
      <c r="N23" s="2995"/>
      <c r="O23" s="2995"/>
      <c r="P23" s="3449"/>
      <c r="Q23" s="1616" t="str">
        <f>B23</f>
        <v>自然及人文环境</v>
      </c>
      <c r="R23" s="1726" t="s">
        <v>28</v>
      </c>
      <c r="S23" s="1727">
        <f>F23</f>
        <v>100</v>
      </c>
      <c r="T23" s="1726" t="s">
        <v>28</v>
      </c>
      <c r="U23" s="1727">
        <f>H23</f>
        <v>100</v>
      </c>
      <c r="V23" s="1726" t="s">
        <v>28</v>
      </c>
      <c r="W23" s="1727">
        <f>J23</f>
        <v>100</v>
      </c>
      <c r="X23" s="1666"/>
      <c r="Y23" s="3451"/>
      <c r="Z23" s="1728" t="str">
        <f>Q23</f>
        <v>自然及人文环境</v>
      </c>
      <c r="AA23" s="1729">
        <f t="shared" si="3"/>
        <v>1</v>
      </c>
      <c r="AB23" s="1729">
        <f t="shared" si="4"/>
        <v>1</v>
      </c>
      <c r="AC23" s="1729">
        <f t="shared" si="5"/>
        <v>1</v>
      </c>
    </row>
    <row r="24" spans="1:29" ht="15">
      <c r="A24" s="1703"/>
      <c r="B24" s="1744"/>
      <c r="C24" s="1731"/>
      <c r="D24" s="1732"/>
      <c r="E24" s="1733"/>
      <c r="F24" s="1734"/>
      <c r="G24" s="1735"/>
      <c r="H24" s="1732"/>
      <c r="I24" s="1733"/>
      <c r="J24" s="1732"/>
      <c r="K24" s="1737"/>
      <c r="L24" s="2999"/>
      <c r="M24" s="2995"/>
      <c r="N24" s="2995"/>
      <c r="O24" s="2995"/>
      <c r="P24" s="3449"/>
      <c r="Q24" s="1616"/>
      <c r="R24" s="1726"/>
      <c r="S24" s="1727"/>
      <c r="T24" s="1726"/>
      <c r="U24" s="1727"/>
      <c r="V24" s="1726"/>
      <c r="W24" s="1727"/>
      <c r="X24" s="1666"/>
      <c r="Y24" s="3451"/>
      <c r="Z24" s="1728"/>
      <c r="AA24" s="1729">
        <v>1</v>
      </c>
      <c r="AB24" s="1729">
        <v>1</v>
      </c>
      <c r="AC24" s="1729">
        <v>1</v>
      </c>
    </row>
    <row r="25" spans="1:29" ht="15">
      <c r="A25" s="1703"/>
      <c r="B25" s="1696" t="s">
        <v>2271</v>
      </c>
      <c r="C25" s="1753"/>
      <c r="D25" s="1712">
        <v>100</v>
      </c>
      <c r="E25" s="1754"/>
      <c r="F25" s="1755">
        <f>SUMIF(86:86,E25,87:87)-SUMIF(86:86,C25,87:87)+100</f>
        <v>100</v>
      </c>
      <c r="G25" s="1756"/>
      <c r="H25" s="1712">
        <f>SUMIF(86:86,G25,87:87)-SUMIF(86:86,C25,87:87)+100</f>
        <v>100</v>
      </c>
      <c r="I25" s="1754"/>
      <c r="J25" s="1712">
        <f>SUMIF(86:86,I25,87:87)-SUMIF(86:86,C25,87:87)+100</f>
        <v>100</v>
      </c>
      <c r="K25" s="1701"/>
      <c r="L25" s="2999"/>
      <c r="M25" s="2995"/>
      <c r="N25" s="2995"/>
      <c r="O25" s="2995"/>
      <c r="P25" s="3449"/>
      <c r="Q25" s="1616" t="str">
        <f t="shared" ref="Q25:Q46" si="11">B25</f>
        <v>楼层-1</v>
      </c>
      <c r="R25" s="1726" t="s">
        <v>28</v>
      </c>
      <c r="S25" s="1727">
        <f>F25</f>
        <v>100</v>
      </c>
      <c r="T25" s="1726" t="s">
        <v>28</v>
      </c>
      <c r="U25" s="1727">
        <f>H25</f>
        <v>100</v>
      </c>
      <c r="V25" s="1726" t="s">
        <v>28</v>
      </c>
      <c r="W25" s="1727">
        <f>J25</f>
        <v>100</v>
      </c>
      <c r="X25" s="1666"/>
      <c r="Y25" s="3451"/>
      <c r="Z25" s="1728" t="str">
        <f>Q25</f>
        <v>楼层-1</v>
      </c>
      <c r="AA25" s="1729">
        <f t="shared" si="3"/>
        <v>1</v>
      </c>
      <c r="AB25" s="1729">
        <f t="shared" si="4"/>
        <v>1</v>
      </c>
      <c r="AC25" s="1729">
        <f t="shared" si="5"/>
        <v>1</v>
      </c>
    </row>
    <row r="26" spans="1:29" ht="15">
      <c r="A26" s="1703"/>
      <c r="B26" s="1696" t="s">
        <v>2272</v>
      </c>
      <c r="C26" s="1753"/>
      <c r="D26" s="1712">
        <v>100</v>
      </c>
      <c r="E26" s="1754"/>
      <c r="F26" s="1755">
        <f>SUMIF(88:88,E26,89:89)-SUMIF(88:88,C26,89:89)+100</f>
        <v>100</v>
      </c>
      <c r="G26" s="1756"/>
      <c r="H26" s="1712">
        <f>SUMIF(88:88,G26,89:89)-SUMIF(88:88,C26,89:89)+100</f>
        <v>100</v>
      </c>
      <c r="I26" s="1754"/>
      <c r="J26" s="1712">
        <f>SUMIF(88:88,I26,89:89)-SUMIF(88:88,C26,89:89)+100</f>
        <v>100</v>
      </c>
      <c r="K26" s="1701"/>
      <c r="L26" s="2999"/>
      <c r="M26" s="2995"/>
      <c r="N26" s="2995"/>
      <c r="O26" s="2995"/>
      <c r="P26" s="3449"/>
      <c r="Q26" s="1616" t="str">
        <f t="shared" si="11"/>
        <v>朝向</v>
      </c>
      <c r="R26" s="1726" t="s">
        <v>28</v>
      </c>
      <c r="S26" s="1727">
        <f>F26</f>
        <v>100</v>
      </c>
      <c r="T26" s="1726" t="s">
        <v>28</v>
      </c>
      <c r="U26" s="1727">
        <f>H26</f>
        <v>100</v>
      </c>
      <c r="V26" s="1726" t="s">
        <v>28</v>
      </c>
      <c r="W26" s="1727">
        <f>J26</f>
        <v>100</v>
      </c>
      <c r="X26" s="1666"/>
      <c r="Y26" s="3451"/>
      <c r="Z26" s="1728" t="str">
        <f>Q26</f>
        <v>朝向</v>
      </c>
      <c r="AA26" s="1729">
        <f t="shared" si="3"/>
        <v>1</v>
      </c>
      <c r="AB26" s="1729">
        <f t="shared" si="4"/>
        <v>1</v>
      </c>
      <c r="AC26" s="1729">
        <f t="shared" si="5"/>
        <v>1</v>
      </c>
    </row>
    <row r="27" spans="1:29" s="1685" customFormat="1" ht="15">
      <c r="A27" s="1706"/>
      <c r="B27" s="1707" t="s">
        <v>2273</v>
      </c>
      <c r="C27" s="1708"/>
      <c r="D27" s="1757">
        <v>100</v>
      </c>
      <c r="E27" s="1758"/>
      <c r="F27" s="1759">
        <f>SUMIF(90:90,E27,91:91)-SUMIF(90:90,C27,91:91)+100</f>
        <v>100</v>
      </c>
      <c r="G27" s="1760"/>
      <c r="H27" s="1757">
        <f>SUMIF(90:90,G27,91:91)-SUMIF(90:90,C27,91:91)+100</f>
        <v>100</v>
      </c>
      <c r="I27" s="1758"/>
      <c r="J27" s="1757">
        <f>SUMIF(90:90,I27,91:91)-SUMIF(90:90,C27,91:91)+100</f>
        <v>100</v>
      </c>
      <c r="K27" s="1710"/>
      <c r="L27" s="2994"/>
      <c r="M27" s="2967"/>
      <c r="N27" s="2967"/>
      <c r="O27" s="2967"/>
      <c r="P27" s="3449"/>
      <c r="Q27" s="1635" t="str">
        <f t="shared" si="11"/>
        <v>道路级别</v>
      </c>
      <c r="R27" s="1681" t="s">
        <v>28</v>
      </c>
      <c r="S27" s="1682">
        <f>F27</f>
        <v>100</v>
      </c>
      <c r="T27" s="1681" t="s">
        <v>28</v>
      </c>
      <c r="U27" s="1682">
        <f>H27</f>
        <v>100</v>
      </c>
      <c r="V27" s="1681" t="s">
        <v>28</v>
      </c>
      <c r="W27" s="1682">
        <f>J27</f>
        <v>100</v>
      </c>
      <c r="X27" s="1683"/>
      <c r="Y27" s="3451"/>
      <c r="Z27" s="1694" t="str">
        <f>Q27</f>
        <v>道路级别</v>
      </c>
      <c r="AA27" s="1729">
        <f>D27/F27</f>
        <v>1</v>
      </c>
      <c r="AB27" s="1729">
        <f>D27/H27</f>
        <v>1</v>
      </c>
      <c r="AC27" s="1729">
        <f>D27/J27</f>
        <v>1</v>
      </c>
    </row>
    <row r="28" spans="1:29" ht="15">
      <c r="A28" s="1703"/>
      <c r="B28" s="1761">
        <v>111</v>
      </c>
      <c r="C28" s="1711"/>
      <c r="D28" s="1712">
        <v>100</v>
      </c>
      <c r="E28" s="1711"/>
      <c r="F28" s="1755">
        <f>SUMIF(92:92,E28,93:93)-SUMIF(92:92,C28,93:93)+100</f>
        <v>100</v>
      </c>
      <c r="G28" s="1711"/>
      <c r="H28" s="1712">
        <f>SUMIF(92:92,G28,93:93)-SUMIF(92:92,C28,93:93)+100</f>
        <v>100</v>
      </c>
      <c r="I28" s="1711"/>
      <c r="J28" s="1712">
        <f>SUMIF(92:92,I28,93:93)-SUMIF(92:92,C28,93:93)+100</f>
        <v>100</v>
      </c>
      <c r="K28" s="1710"/>
      <c r="L28" s="2999"/>
      <c r="M28" s="2995"/>
      <c r="N28" s="2995"/>
      <c r="O28" s="2995"/>
      <c r="P28" s="3449"/>
      <c r="Q28" s="1616">
        <f t="shared" si="11"/>
        <v>111</v>
      </c>
      <c r="R28" s="1726" t="s">
        <v>28</v>
      </c>
      <c r="S28" s="1727">
        <f t="shared" ref="S28:S46" si="12">F28</f>
        <v>100</v>
      </c>
      <c r="T28" s="1726" t="s">
        <v>28</v>
      </c>
      <c r="U28" s="1727">
        <f t="shared" ref="U28:U46" si="13">H28</f>
        <v>100</v>
      </c>
      <c r="V28" s="1726" t="s">
        <v>28</v>
      </c>
      <c r="W28" s="1727">
        <f t="shared" ref="W28:W46" si="14">J28</f>
        <v>100</v>
      </c>
      <c r="X28" s="1666"/>
      <c r="Y28" s="3451"/>
      <c r="Z28" s="1728">
        <f t="shared" ref="Z28:Z46" si="15">Q28</f>
        <v>111</v>
      </c>
      <c r="AA28" s="1729">
        <f t="shared" si="3"/>
        <v>1</v>
      </c>
      <c r="AB28" s="1729">
        <f t="shared" si="4"/>
        <v>1</v>
      </c>
      <c r="AC28" s="1729">
        <f t="shared" si="5"/>
        <v>1</v>
      </c>
    </row>
    <row r="29" spans="1:29" ht="15">
      <c r="A29" s="1703"/>
      <c r="B29" s="1761">
        <v>111</v>
      </c>
      <c r="C29" s="1711"/>
      <c r="D29" s="1712">
        <v>100</v>
      </c>
      <c r="E29" s="1711"/>
      <c r="F29" s="1755">
        <f>SUMIF(94:94,E29,95:95)-SUMIF(94:94,C29,95:95)+100</f>
        <v>100</v>
      </c>
      <c r="G29" s="1711"/>
      <c r="H29" s="1712">
        <f>SUMIF(94:94,G29,95:95)-SUMIF(94:94,C29,95:95)+100</f>
        <v>100</v>
      </c>
      <c r="I29" s="1711"/>
      <c r="J29" s="1712">
        <f>SUMIF(94:94,I29,95:95)-SUMIF(94:94,C29,95:95)+100</f>
        <v>100</v>
      </c>
      <c r="K29" s="1710"/>
      <c r="L29" s="2999"/>
      <c r="M29" s="2995"/>
      <c r="N29" s="2995"/>
      <c r="O29" s="2995"/>
      <c r="P29" s="3449"/>
      <c r="Q29" s="1616">
        <f t="shared" si="11"/>
        <v>111</v>
      </c>
      <c r="R29" s="1726" t="s">
        <v>28</v>
      </c>
      <c r="S29" s="1727">
        <f t="shared" si="12"/>
        <v>100</v>
      </c>
      <c r="T29" s="1726" t="s">
        <v>28</v>
      </c>
      <c r="U29" s="1727">
        <f t="shared" si="13"/>
        <v>100</v>
      </c>
      <c r="V29" s="1726" t="s">
        <v>28</v>
      </c>
      <c r="W29" s="1727">
        <f t="shared" si="14"/>
        <v>100</v>
      </c>
      <c r="X29" s="1666"/>
      <c r="Y29" s="3451"/>
      <c r="Z29" s="1728">
        <f t="shared" si="15"/>
        <v>111</v>
      </c>
      <c r="AA29" s="1729">
        <f t="shared" si="3"/>
        <v>1</v>
      </c>
      <c r="AB29" s="1729">
        <f t="shared" si="4"/>
        <v>1</v>
      </c>
      <c r="AC29" s="1729">
        <f t="shared" si="5"/>
        <v>1</v>
      </c>
    </row>
    <row r="30" spans="1:29" ht="15">
      <c r="A30" s="1703"/>
      <c r="B30" s="1761">
        <v>111</v>
      </c>
      <c r="C30" s="1711"/>
      <c r="D30" s="1712">
        <v>100</v>
      </c>
      <c r="E30" s="1711"/>
      <c r="F30" s="1755">
        <f>SUMIF(96:96,E30,97:97)-SUMIF(96:96,C30,97:97)+100</f>
        <v>100</v>
      </c>
      <c r="G30" s="1711"/>
      <c r="H30" s="1712">
        <f>SUMIF(96:96,G30,97:97)-SUMIF(96:96,C30,97:97)+100</f>
        <v>100</v>
      </c>
      <c r="I30" s="1711"/>
      <c r="J30" s="1712">
        <f>SUMIF(96:96,I30,97:97)-SUMIF(96:96,C30,97:97)+100</f>
        <v>100</v>
      </c>
      <c r="K30" s="1710"/>
      <c r="L30" s="2999"/>
      <c r="M30" s="2995"/>
      <c r="N30" s="2995"/>
      <c r="O30" s="2995"/>
      <c r="P30" s="3449"/>
      <c r="Q30" s="1616">
        <f t="shared" si="11"/>
        <v>111</v>
      </c>
      <c r="R30" s="1726" t="s">
        <v>28</v>
      </c>
      <c r="S30" s="1727">
        <f t="shared" si="12"/>
        <v>100</v>
      </c>
      <c r="T30" s="1726" t="s">
        <v>28</v>
      </c>
      <c r="U30" s="1727">
        <f t="shared" si="13"/>
        <v>100</v>
      </c>
      <c r="V30" s="1726" t="s">
        <v>28</v>
      </c>
      <c r="W30" s="1727">
        <f t="shared" si="14"/>
        <v>100</v>
      </c>
      <c r="X30" s="1666"/>
      <c r="Y30" s="3451"/>
      <c r="Z30" s="1728">
        <f t="shared" si="15"/>
        <v>111</v>
      </c>
      <c r="AA30" s="1729">
        <f t="shared" si="3"/>
        <v>1</v>
      </c>
      <c r="AB30" s="1729">
        <f t="shared" si="4"/>
        <v>1</v>
      </c>
      <c r="AC30" s="1729">
        <f t="shared" si="5"/>
        <v>1</v>
      </c>
    </row>
    <row r="31" spans="1:29" ht="15.75" thickBot="1">
      <c r="A31" s="1713"/>
      <c r="B31" s="1761">
        <v>111</v>
      </c>
      <c r="C31" s="1715"/>
      <c r="D31" s="1716">
        <v>100</v>
      </c>
      <c r="E31" s="1715"/>
      <c r="F31" s="1717">
        <f>SUMIF(98:98,E31,99:99)-SUMIF(98:98,C31,99:99)+100</f>
        <v>100</v>
      </c>
      <c r="G31" s="1715"/>
      <c r="H31" s="1716">
        <f>SUMIF(98:98,G31,99:99)-SUMIF(98:98,C31,99:99)+100</f>
        <v>100</v>
      </c>
      <c r="I31" s="1715"/>
      <c r="J31" s="1716">
        <f>SUMIF(98:98,I31,99:99)-SUMIF(98:98,C31,99:99)+100</f>
        <v>100</v>
      </c>
      <c r="K31" s="1710"/>
      <c r="L31" s="2999"/>
      <c r="M31" s="2995"/>
      <c r="N31" s="2995"/>
      <c r="O31" s="2995"/>
      <c r="P31" s="3449"/>
      <c r="Q31" s="1616">
        <f t="shared" si="11"/>
        <v>111</v>
      </c>
      <c r="R31" s="1726" t="s">
        <v>28</v>
      </c>
      <c r="S31" s="1727">
        <f t="shared" si="12"/>
        <v>100</v>
      </c>
      <c r="T31" s="1726" t="s">
        <v>28</v>
      </c>
      <c r="U31" s="1727">
        <f t="shared" si="13"/>
        <v>100</v>
      </c>
      <c r="V31" s="1726" t="s">
        <v>28</v>
      </c>
      <c r="W31" s="1727">
        <f t="shared" si="14"/>
        <v>100</v>
      </c>
      <c r="X31" s="1666"/>
      <c r="Y31" s="3451"/>
      <c r="Z31" s="1728">
        <f t="shared" si="15"/>
        <v>111</v>
      </c>
      <c r="AA31" s="1729">
        <f t="shared" si="3"/>
        <v>1</v>
      </c>
      <c r="AB31" s="1729">
        <f t="shared" si="4"/>
        <v>1</v>
      </c>
      <c r="AC31" s="1729">
        <f t="shared" si="5"/>
        <v>1</v>
      </c>
    </row>
    <row r="32" spans="1:29" ht="15">
      <c r="A32" s="1718" t="s">
        <v>2274</v>
      </c>
      <c r="B32" s="1688" t="s">
        <v>2275</v>
      </c>
      <c r="C32" s="1762"/>
      <c r="D32" s="1763">
        <v>100</v>
      </c>
      <c r="E32" s="1764"/>
      <c r="F32" s="1755">
        <f>SUMIF(100:100,E32,101:101)-SUMIF(100:100,C32,101:101)+100</f>
        <v>100</v>
      </c>
      <c r="G32" s="1762"/>
      <c r="H32" s="1763">
        <f>SUMIF(100:100,G32,101:101)-SUMIF(100:100,C32,101:101)+100</f>
        <v>100</v>
      </c>
      <c r="I32" s="1764"/>
      <c r="J32" s="1712">
        <f>SUMIF(100:100,I32,101:101)-SUMIF(100:100,C32,101:101)+100</f>
        <v>100</v>
      </c>
      <c r="K32" s="1701"/>
      <c r="L32" s="2999"/>
      <c r="M32" s="2995"/>
      <c r="N32" s="2995"/>
      <c r="O32" s="2995"/>
      <c r="P32" s="3452" t="s">
        <v>2276</v>
      </c>
      <c r="Q32" s="1616" t="str">
        <f t="shared" si="11"/>
        <v>建筑类型</v>
      </c>
      <c r="R32" s="1726" t="s">
        <v>28</v>
      </c>
      <c r="S32" s="1727">
        <f t="shared" si="12"/>
        <v>100</v>
      </c>
      <c r="T32" s="1726" t="s">
        <v>28</v>
      </c>
      <c r="U32" s="1727">
        <f t="shared" si="13"/>
        <v>100</v>
      </c>
      <c r="V32" s="1726" t="s">
        <v>28</v>
      </c>
      <c r="W32" s="1727">
        <f t="shared" si="14"/>
        <v>100</v>
      </c>
      <c r="X32" s="1666"/>
      <c r="Y32" s="3455" t="s">
        <v>2276</v>
      </c>
      <c r="Z32" s="1728" t="str">
        <f t="shared" si="15"/>
        <v>建筑类型</v>
      </c>
      <c r="AA32" s="1729">
        <f t="shared" si="3"/>
        <v>1</v>
      </c>
      <c r="AB32" s="1729">
        <f t="shared" si="4"/>
        <v>1</v>
      </c>
      <c r="AC32" s="1729">
        <f t="shared" si="5"/>
        <v>1</v>
      </c>
    </row>
    <row r="33" spans="1:29" s="1772" customFormat="1" ht="15">
      <c r="A33" s="1765"/>
      <c r="B33" s="1696" t="s">
        <v>2277</v>
      </c>
      <c r="C33" s="1766"/>
      <c r="D33" s="1698">
        <v>100</v>
      </c>
      <c r="E33" s="1705"/>
      <c r="F33" s="1700" t="e">
        <f>LOOKUP(E33,103:103,104:104)-LOOKUP(C33,103:103,104:104)+100</f>
        <v>#N/A</v>
      </c>
      <c r="G33" s="1704"/>
      <c r="H33" s="1698" t="e">
        <f>LOOKUP(G33,103:103,104:104)-LOOKUP(C33,103:103,104:104)+100</f>
        <v>#N/A</v>
      </c>
      <c r="I33" s="1705"/>
      <c r="J33" s="1698" t="e">
        <f>LOOKUP(I33,103:103,104:104)-LOOKUP(C33,103:103,104:104)+100</f>
        <v>#N/A</v>
      </c>
      <c r="K33" s="1710"/>
      <c r="L33" s="2998"/>
      <c r="M33" s="2060"/>
      <c r="N33" s="2060"/>
      <c r="O33" s="2060"/>
      <c r="P33" s="3453"/>
      <c r="Q33" s="1767" t="str">
        <f t="shared" si="11"/>
        <v>项目建筑规模</v>
      </c>
      <c r="R33" s="1768" t="s">
        <v>28</v>
      </c>
      <c r="S33" s="1769" t="e">
        <f t="shared" si="12"/>
        <v>#N/A</v>
      </c>
      <c r="T33" s="1768" t="s">
        <v>28</v>
      </c>
      <c r="U33" s="1769" t="e">
        <f t="shared" si="13"/>
        <v>#N/A</v>
      </c>
      <c r="V33" s="1768" t="s">
        <v>28</v>
      </c>
      <c r="W33" s="1769" t="e">
        <f t="shared" si="14"/>
        <v>#N/A</v>
      </c>
      <c r="X33" s="1770"/>
      <c r="Y33" s="3455"/>
      <c r="Z33" s="1771" t="str">
        <f t="shared" si="15"/>
        <v>项目建筑规模</v>
      </c>
      <c r="AA33" s="1729" t="e">
        <f t="shared" si="3"/>
        <v>#N/A</v>
      </c>
      <c r="AB33" s="1729" t="e">
        <f t="shared" si="4"/>
        <v>#N/A</v>
      </c>
      <c r="AC33" s="1729" t="e">
        <f t="shared" si="5"/>
        <v>#N/A</v>
      </c>
    </row>
    <row r="34" spans="1:29" ht="15">
      <c r="A34" s="1773"/>
      <c r="B34" s="1696" t="s">
        <v>2278</v>
      </c>
      <c r="C34" s="1774"/>
      <c r="D34" s="1712">
        <v>100</v>
      </c>
      <c r="E34" s="1775"/>
      <c r="F34" s="1755">
        <f>SUMIF(105:105,E34,106:106)-SUMIF(105:105,C34,106:106)+100</f>
        <v>100</v>
      </c>
      <c r="G34" s="1774"/>
      <c r="H34" s="1712">
        <f>SUMIF(105:105,G34,106:106)-SUMIF(105:105,C34,106:106)+100</f>
        <v>100</v>
      </c>
      <c r="I34" s="1775"/>
      <c r="J34" s="1712">
        <f>SUMIF(105:105,I34,106:106)-SUMIF(105:105,C34,106:106)+100</f>
        <v>100</v>
      </c>
      <c r="K34" s="1701"/>
      <c r="L34" s="2999"/>
      <c r="M34" s="2995"/>
      <c r="N34" s="2995"/>
      <c r="O34" s="2995"/>
      <c r="P34" s="3453"/>
      <c r="Q34" s="1616" t="str">
        <f t="shared" si="11"/>
        <v>建筑结构</v>
      </c>
      <c r="R34" s="1726" t="s">
        <v>28</v>
      </c>
      <c r="S34" s="1727">
        <f t="shared" si="12"/>
        <v>100</v>
      </c>
      <c r="T34" s="1726" t="s">
        <v>28</v>
      </c>
      <c r="U34" s="1727">
        <f t="shared" si="13"/>
        <v>100</v>
      </c>
      <c r="V34" s="1726" t="s">
        <v>28</v>
      </c>
      <c r="W34" s="1727">
        <f t="shared" si="14"/>
        <v>100</v>
      </c>
      <c r="X34" s="1666"/>
      <c r="Y34" s="3455"/>
      <c r="Z34" s="1728" t="str">
        <f t="shared" si="15"/>
        <v>建筑结构</v>
      </c>
      <c r="AA34" s="1729">
        <f t="shared" si="3"/>
        <v>1</v>
      </c>
      <c r="AB34" s="1729">
        <f t="shared" si="4"/>
        <v>1</v>
      </c>
      <c r="AC34" s="1729">
        <f t="shared" si="5"/>
        <v>1</v>
      </c>
    </row>
    <row r="35" spans="1:29" ht="15">
      <c r="A35" s="1773"/>
      <c r="B35" s="1696" t="s">
        <v>2279</v>
      </c>
      <c r="C35" s="1756"/>
      <c r="D35" s="1712">
        <v>100</v>
      </c>
      <c r="E35" s="1754"/>
      <c r="F35" s="1755">
        <f>SUMIF(107:107,E35,108:108)-SUMIF(107:107,C35,108:108)+100</f>
        <v>100</v>
      </c>
      <c r="G35" s="1756"/>
      <c r="H35" s="1712">
        <f>SUMIF(107:107,G35,108:108)-SUMIF(107:107,C35,108:108)+100</f>
        <v>100</v>
      </c>
      <c r="I35" s="1754"/>
      <c r="J35" s="1712">
        <f>SUMIF(107:107,I35,108:108)-SUMIF(107:107,C35,108:108)+100</f>
        <v>100</v>
      </c>
      <c r="K35" s="1701"/>
      <c r="L35" s="2999"/>
      <c r="M35" s="2995"/>
      <c r="N35" s="2995"/>
      <c r="O35" s="2995"/>
      <c r="P35" s="3453"/>
      <c r="Q35" s="1616" t="str">
        <f t="shared" si="11"/>
        <v>建筑品质</v>
      </c>
      <c r="R35" s="1726" t="s">
        <v>28</v>
      </c>
      <c r="S35" s="1727">
        <f t="shared" si="12"/>
        <v>100</v>
      </c>
      <c r="T35" s="1726" t="s">
        <v>28</v>
      </c>
      <c r="U35" s="1727">
        <f t="shared" si="13"/>
        <v>100</v>
      </c>
      <c r="V35" s="1726" t="s">
        <v>28</v>
      </c>
      <c r="W35" s="1727">
        <f t="shared" si="14"/>
        <v>100</v>
      </c>
      <c r="X35" s="1666"/>
      <c r="Y35" s="3455"/>
      <c r="Z35" s="1728" t="str">
        <f t="shared" si="15"/>
        <v>建筑品质</v>
      </c>
      <c r="AA35" s="1729">
        <f t="shared" si="3"/>
        <v>1</v>
      </c>
      <c r="AB35" s="1729">
        <f t="shared" si="4"/>
        <v>1</v>
      </c>
      <c r="AC35" s="1729">
        <f t="shared" si="5"/>
        <v>1</v>
      </c>
    </row>
    <row r="36" spans="1:29" ht="15">
      <c r="A36" s="1773"/>
      <c r="B36" s="1696" t="s">
        <v>2280</v>
      </c>
      <c r="C36" s="1756"/>
      <c r="D36" s="1712">
        <v>100</v>
      </c>
      <c r="E36" s="1754"/>
      <c r="F36" s="1755">
        <f>SUMIF(109:109,E36,110:110)-SUMIF(109:109,C36,110:110)+100</f>
        <v>100</v>
      </c>
      <c r="G36" s="1756"/>
      <c r="H36" s="1712">
        <f>SUMIF(109:109,G36,110:110)-SUMIF(109:109,C36,110:110)+100</f>
        <v>100</v>
      </c>
      <c r="I36" s="1754"/>
      <c r="J36" s="1712">
        <f>SUMIF(109:109,I36,110:110)-SUMIF(109:109,C36,110:110)+100</f>
        <v>100</v>
      </c>
      <c r="K36" s="1701"/>
      <c r="L36" s="2999"/>
      <c r="M36" s="2995"/>
      <c r="N36" s="2995"/>
      <c r="O36" s="2995"/>
      <c r="P36" s="3453"/>
      <c r="Q36" s="1616" t="str">
        <f t="shared" si="11"/>
        <v>公共部分装修</v>
      </c>
      <c r="R36" s="1726" t="s">
        <v>28</v>
      </c>
      <c r="S36" s="1727">
        <f t="shared" si="12"/>
        <v>100</v>
      </c>
      <c r="T36" s="1726" t="s">
        <v>28</v>
      </c>
      <c r="U36" s="1727">
        <f t="shared" si="13"/>
        <v>100</v>
      </c>
      <c r="V36" s="1726" t="s">
        <v>28</v>
      </c>
      <c r="W36" s="1727">
        <f t="shared" si="14"/>
        <v>100</v>
      </c>
      <c r="X36" s="1666"/>
      <c r="Y36" s="3455"/>
      <c r="Z36" s="1728" t="str">
        <f t="shared" si="15"/>
        <v>公共部分装修</v>
      </c>
      <c r="AA36" s="1729">
        <f t="shared" si="3"/>
        <v>1</v>
      </c>
      <c r="AB36" s="1729">
        <f t="shared" si="4"/>
        <v>1</v>
      </c>
      <c r="AC36" s="1729">
        <f t="shared" si="5"/>
        <v>1</v>
      </c>
    </row>
    <row r="37" spans="1:29" s="1685" customFormat="1" ht="15">
      <c r="A37" s="1776"/>
      <c r="B37" s="1696" t="s">
        <v>2281</v>
      </c>
      <c r="C37" s="1777"/>
      <c r="D37" s="1698">
        <v>100</v>
      </c>
      <c r="E37" s="1778"/>
      <c r="F37" s="1700" t="e">
        <f>LOOKUP(E37,112:112,113:113)-LOOKUP(C37,112:112,113:113)+100</f>
        <v>#N/A</v>
      </c>
      <c r="G37" s="1779"/>
      <c r="H37" s="1698" t="e">
        <f>LOOKUP(G37,112:112,113:113)-LOOKUP(C37,112:112,113:113)+100</f>
        <v>#N/A</v>
      </c>
      <c r="I37" s="1778"/>
      <c r="J37" s="1698" t="e">
        <f>LOOKUP(I37,112:112,113:113)-LOOKUP(C37,112:112,113:113)+100</f>
        <v>#N/A</v>
      </c>
      <c r="K37" s="1701"/>
      <c r="L37" s="2994"/>
      <c r="M37" s="2967"/>
      <c r="N37" s="2967"/>
      <c r="O37" s="2967"/>
      <c r="P37" s="3453"/>
      <c r="Q37" s="1635" t="str">
        <f t="shared" si="11"/>
        <v>成新度</v>
      </c>
      <c r="R37" s="1681" t="s">
        <v>28</v>
      </c>
      <c r="S37" s="1682" t="e">
        <f t="shared" si="12"/>
        <v>#N/A</v>
      </c>
      <c r="T37" s="1681" t="s">
        <v>28</v>
      </c>
      <c r="U37" s="1682" t="e">
        <f t="shared" si="13"/>
        <v>#N/A</v>
      </c>
      <c r="V37" s="1681" t="s">
        <v>28</v>
      </c>
      <c r="W37" s="1682" t="e">
        <f t="shared" si="14"/>
        <v>#N/A</v>
      </c>
      <c r="X37" s="1683"/>
      <c r="Y37" s="3455"/>
      <c r="Z37" s="1694" t="str">
        <f t="shared" si="15"/>
        <v>成新度</v>
      </c>
      <c r="AA37" s="1684" t="e">
        <f t="shared" si="3"/>
        <v>#N/A</v>
      </c>
      <c r="AB37" s="1684" t="e">
        <f t="shared" si="4"/>
        <v>#N/A</v>
      </c>
      <c r="AC37" s="1684" t="e">
        <f t="shared" si="5"/>
        <v>#N/A</v>
      </c>
    </row>
    <row r="38" spans="1:29" ht="15">
      <c r="A38" s="1773"/>
      <c r="B38" s="1696" t="s">
        <v>2282</v>
      </c>
      <c r="C38" s="1756"/>
      <c r="D38" s="1712">
        <v>100</v>
      </c>
      <c r="E38" s="1754"/>
      <c r="F38" s="1755">
        <f>SUMIF(114:114,E38,115:115)-SUMIF(114:114,C38,115:115)+100</f>
        <v>100</v>
      </c>
      <c r="G38" s="1756"/>
      <c r="H38" s="1712">
        <f>SUMIF(114:114,G38,115:115)-SUMIF(114:114,C38,115:115)+100</f>
        <v>100</v>
      </c>
      <c r="I38" s="1754"/>
      <c r="J38" s="1712">
        <f>SUMIF(114:114,I38,115:115)-SUMIF(114:114,C38,115:115)+100</f>
        <v>100</v>
      </c>
      <c r="K38" s="1701"/>
      <c r="L38" s="2999"/>
      <c r="M38" s="2995"/>
      <c r="N38" s="2995"/>
      <c r="O38" s="2995"/>
      <c r="P38" s="3453" t="s">
        <v>2276</v>
      </c>
      <c r="Q38" s="1616" t="str">
        <f t="shared" si="11"/>
        <v>物业管理</v>
      </c>
      <c r="R38" s="1726" t="s">
        <v>28</v>
      </c>
      <c r="S38" s="1727">
        <f t="shared" si="12"/>
        <v>100</v>
      </c>
      <c r="T38" s="1726" t="s">
        <v>28</v>
      </c>
      <c r="U38" s="1727">
        <f t="shared" si="13"/>
        <v>100</v>
      </c>
      <c r="V38" s="1726" t="s">
        <v>28</v>
      </c>
      <c r="W38" s="1727">
        <f t="shared" si="14"/>
        <v>100</v>
      </c>
      <c r="X38" s="1666"/>
      <c r="Y38" s="3455" t="s">
        <v>2276</v>
      </c>
      <c r="Z38" s="1728" t="str">
        <f t="shared" si="15"/>
        <v>物业管理</v>
      </c>
      <c r="AA38" s="1729">
        <f t="shared" si="3"/>
        <v>1</v>
      </c>
      <c r="AB38" s="1729">
        <f t="shared" si="4"/>
        <v>1</v>
      </c>
      <c r="AC38" s="1729">
        <f t="shared" si="5"/>
        <v>1</v>
      </c>
    </row>
    <row r="39" spans="1:29" ht="15">
      <c r="A39" s="1773"/>
      <c r="B39" s="1696" t="s">
        <v>2283</v>
      </c>
      <c r="C39" s="1756"/>
      <c r="D39" s="1712">
        <v>100</v>
      </c>
      <c r="E39" s="1754"/>
      <c r="F39" s="1755">
        <f>SUMIF(116:116,E39,117:117)-SUMIF(116:116,C39,117:117)+100</f>
        <v>100</v>
      </c>
      <c r="G39" s="1756"/>
      <c r="H39" s="1712">
        <f>SUMIF(116:116,G39,117:117)-SUMIF(116:116,C39,117:117)+100</f>
        <v>100</v>
      </c>
      <c r="I39" s="1754"/>
      <c r="J39" s="1712">
        <f>SUMIF(116:116,I39,117:117)-SUMIF(116:116,C39,117:117)+100</f>
        <v>100</v>
      </c>
      <c r="K39" s="1701"/>
      <c r="L39" s="2999"/>
      <c r="M39" s="2995"/>
      <c r="N39" s="2995"/>
      <c r="O39" s="2995"/>
      <c r="P39" s="3453"/>
      <c r="Q39" s="1616" t="str">
        <f t="shared" si="11"/>
        <v>市政基础设施</v>
      </c>
      <c r="R39" s="1726" t="s">
        <v>28</v>
      </c>
      <c r="S39" s="1727">
        <f t="shared" si="12"/>
        <v>100</v>
      </c>
      <c r="T39" s="1726" t="s">
        <v>28</v>
      </c>
      <c r="U39" s="1727">
        <f t="shared" si="13"/>
        <v>100</v>
      </c>
      <c r="V39" s="1726" t="s">
        <v>28</v>
      </c>
      <c r="W39" s="1727">
        <f t="shared" si="14"/>
        <v>100</v>
      </c>
      <c r="X39" s="1666"/>
      <c r="Y39" s="3455"/>
      <c r="Z39" s="1728" t="str">
        <f t="shared" si="15"/>
        <v>市政基础设施</v>
      </c>
      <c r="AA39" s="1729">
        <f t="shared" si="3"/>
        <v>1</v>
      </c>
      <c r="AB39" s="1729">
        <f t="shared" si="4"/>
        <v>1</v>
      </c>
      <c r="AC39" s="1729">
        <f t="shared" si="5"/>
        <v>1</v>
      </c>
    </row>
    <row r="40" spans="1:29" ht="15">
      <c r="A40" s="1773"/>
      <c r="B40" s="1696" t="s">
        <v>2284</v>
      </c>
      <c r="C40" s="1756"/>
      <c r="D40" s="1712">
        <v>100</v>
      </c>
      <c r="E40" s="1754"/>
      <c r="F40" s="1755">
        <f>SUMIF(118:118,E40,119:119)-SUMIF(118:118,C40,119:119)+100</f>
        <v>100</v>
      </c>
      <c r="G40" s="1756"/>
      <c r="H40" s="1712">
        <f>SUMIF(118:118,G40,119:119)-SUMIF(118:118,C40,119:119)+100</f>
        <v>100</v>
      </c>
      <c r="I40" s="1754"/>
      <c r="J40" s="1712">
        <f>SUMIF(118:118,I40,119:119)-SUMIF(118:118,C40,119:119)+100</f>
        <v>100</v>
      </c>
      <c r="K40" s="1701"/>
      <c r="L40" s="2999"/>
      <c r="M40" s="2995"/>
      <c r="N40" s="2995"/>
      <c r="O40" s="2995"/>
      <c r="P40" s="3453"/>
      <c r="Q40" s="1616" t="str">
        <f t="shared" si="11"/>
        <v>房型</v>
      </c>
      <c r="R40" s="1726" t="s">
        <v>28</v>
      </c>
      <c r="S40" s="1727">
        <f t="shared" si="12"/>
        <v>100</v>
      </c>
      <c r="T40" s="1726" t="s">
        <v>28</v>
      </c>
      <c r="U40" s="1727">
        <f t="shared" si="13"/>
        <v>100</v>
      </c>
      <c r="V40" s="1726" t="s">
        <v>28</v>
      </c>
      <c r="W40" s="1727">
        <f t="shared" si="14"/>
        <v>100</v>
      </c>
      <c r="X40" s="1666"/>
      <c r="Y40" s="3455"/>
      <c r="Z40" s="1728" t="str">
        <f t="shared" si="15"/>
        <v>房型</v>
      </c>
      <c r="AA40" s="1729">
        <f t="shared" si="3"/>
        <v>1</v>
      </c>
      <c r="AB40" s="1729">
        <f t="shared" si="4"/>
        <v>1</v>
      </c>
      <c r="AC40" s="1729">
        <f t="shared" si="5"/>
        <v>1</v>
      </c>
    </row>
    <row r="41" spans="1:29" s="1772" customFormat="1" ht="28.5">
      <c r="A41" s="1765"/>
      <c r="B41" s="1696" t="s">
        <v>2285</v>
      </c>
      <c r="C41" s="1766"/>
      <c r="D41" s="1698">
        <v>100</v>
      </c>
      <c r="E41" s="1705"/>
      <c r="F41" s="1700">
        <f>SUMIF(120:120,E41,121:121)-SUMIF(120:120,C41,121:121)+100</f>
        <v>100</v>
      </c>
      <c r="G41" s="1704"/>
      <c r="H41" s="1698">
        <f>SUMIF(120:120,G41,121:121)-SUMIF(120:120,C41,121:121)+100</f>
        <v>100</v>
      </c>
      <c r="I41" s="1780"/>
      <c r="J41" s="1712">
        <f>SUMIF(120:120,I41,121:121)-SUMIF(120:120,C41,121:121)+100</f>
        <v>100</v>
      </c>
      <c r="K41" s="1710"/>
      <c r="L41" s="2998"/>
      <c r="M41" s="2060"/>
      <c r="N41" s="2060"/>
      <c r="O41" s="2060"/>
      <c r="P41" s="3453"/>
      <c r="Q41" s="1767" t="str">
        <f t="shared" si="11"/>
        <v>单套/主力户型建筑面积</v>
      </c>
      <c r="R41" s="1768" t="s">
        <v>28</v>
      </c>
      <c r="S41" s="1769">
        <f t="shared" si="12"/>
        <v>100</v>
      </c>
      <c r="T41" s="1768" t="s">
        <v>28</v>
      </c>
      <c r="U41" s="1769">
        <f t="shared" si="13"/>
        <v>100</v>
      </c>
      <c r="V41" s="1768" t="s">
        <v>28</v>
      </c>
      <c r="W41" s="1769">
        <f t="shared" si="14"/>
        <v>100</v>
      </c>
      <c r="X41" s="1770"/>
      <c r="Y41" s="3455"/>
      <c r="Z41" s="1771" t="str">
        <f t="shared" si="15"/>
        <v>单套/主力户型建筑面积</v>
      </c>
      <c r="AA41" s="1729">
        <f t="shared" si="3"/>
        <v>1</v>
      </c>
      <c r="AB41" s="1729">
        <f t="shared" si="4"/>
        <v>1</v>
      </c>
      <c r="AC41" s="1729">
        <f t="shared" si="5"/>
        <v>1</v>
      </c>
    </row>
    <row r="42" spans="1:29" ht="15">
      <c r="A42" s="1773"/>
      <c r="B42" s="1696" t="s">
        <v>2286</v>
      </c>
      <c r="C42" s="1756"/>
      <c r="D42" s="1712">
        <v>100</v>
      </c>
      <c r="E42" s="1754"/>
      <c r="F42" s="1755">
        <f>SUMIF(122:122,E42,123:123)-SUMIF(122:122,C42,123:123)+100</f>
        <v>100</v>
      </c>
      <c r="G42" s="1756"/>
      <c r="H42" s="1712">
        <f>SUMIF(122:122,G42,123:123)-SUMIF(122:122,C42,123:123)+100</f>
        <v>100</v>
      </c>
      <c r="I42" s="1754"/>
      <c r="J42" s="1712">
        <f>SUMIF(122:122,I42,123:123)-SUMIF(122:122,C42,123:123)+100</f>
        <v>100</v>
      </c>
      <c r="K42" s="1701"/>
      <c r="L42" s="2999"/>
      <c r="M42" s="2995"/>
      <c r="N42" s="2995"/>
      <c r="O42" s="2995"/>
      <c r="P42" s="3453"/>
      <c r="Q42" s="1616" t="str">
        <f t="shared" si="11"/>
        <v>内部装修</v>
      </c>
      <c r="R42" s="1726" t="s">
        <v>28</v>
      </c>
      <c r="S42" s="1727">
        <f t="shared" si="12"/>
        <v>100</v>
      </c>
      <c r="T42" s="1726" t="s">
        <v>28</v>
      </c>
      <c r="U42" s="1727">
        <f t="shared" si="13"/>
        <v>100</v>
      </c>
      <c r="V42" s="1726" t="s">
        <v>28</v>
      </c>
      <c r="W42" s="1727">
        <f t="shared" si="14"/>
        <v>100</v>
      </c>
      <c r="X42" s="1666"/>
      <c r="Y42" s="3455"/>
      <c r="Z42" s="1728" t="str">
        <f t="shared" si="15"/>
        <v>内部装修</v>
      </c>
      <c r="AA42" s="1729">
        <f t="shared" si="3"/>
        <v>1</v>
      </c>
      <c r="AB42" s="1729">
        <f t="shared" si="4"/>
        <v>1</v>
      </c>
      <c r="AC42" s="1729">
        <f t="shared" si="5"/>
        <v>1</v>
      </c>
    </row>
    <row r="43" spans="1:29" ht="15">
      <c r="A43" s="1773"/>
      <c r="B43" s="1696" t="s">
        <v>2287</v>
      </c>
      <c r="C43" s="1756"/>
      <c r="D43" s="1712">
        <v>100</v>
      </c>
      <c r="E43" s="1754"/>
      <c r="F43" s="1755">
        <f>SUMIF(124:124,E43,125:125)-SUMIF(124:124,C43,125:125)+100</f>
        <v>100</v>
      </c>
      <c r="G43" s="1756"/>
      <c r="H43" s="1712">
        <f>SUMIF(124:124,G43,125:125)-SUMIF(124:124,C43,125:125)+100</f>
        <v>100</v>
      </c>
      <c r="I43" s="1754"/>
      <c r="J43" s="1712">
        <f>SUMIF(124:124,I43,125:125)-SUMIF(124:124,C43,125:125)+100</f>
        <v>100</v>
      </c>
      <c r="K43" s="1701"/>
      <c r="L43" s="2999"/>
      <c r="M43" s="2995"/>
      <c r="N43" s="2995"/>
      <c r="O43" s="2995"/>
      <c r="P43" s="3453"/>
      <c r="Q43" s="1616" t="str">
        <f t="shared" si="11"/>
        <v>内部装修维护情况</v>
      </c>
      <c r="R43" s="1726" t="s">
        <v>28</v>
      </c>
      <c r="S43" s="1727">
        <f t="shared" si="12"/>
        <v>100</v>
      </c>
      <c r="T43" s="1726" t="s">
        <v>28</v>
      </c>
      <c r="U43" s="1727">
        <f t="shared" si="13"/>
        <v>100</v>
      </c>
      <c r="V43" s="1726" t="s">
        <v>28</v>
      </c>
      <c r="W43" s="1727">
        <f t="shared" si="14"/>
        <v>100</v>
      </c>
      <c r="X43" s="1666"/>
      <c r="Y43" s="3455"/>
      <c r="Z43" s="1728" t="str">
        <f t="shared" si="15"/>
        <v>内部装修维护情况</v>
      </c>
      <c r="AA43" s="1729">
        <f t="shared" si="3"/>
        <v>1</v>
      </c>
      <c r="AB43" s="1729">
        <f t="shared" si="4"/>
        <v>1</v>
      </c>
      <c r="AC43" s="1729">
        <f t="shared" si="5"/>
        <v>1</v>
      </c>
    </row>
    <row r="44" spans="1:29" s="1685" customFormat="1" ht="15">
      <c r="A44" s="1776"/>
      <c r="B44" s="1761">
        <v>111</v>
      </c>
      <c r="C44" s="1766"/>
      <c r="D44" s="1698">
        <v>100</v>
      </c>
      <c r="E44" s="1766"/>
      <c r="F44" s="1700">
        <f>SUMIF(126:126,E44,127:127)-SUMIF(126:126,C44,127:127)+100</f>
        <v>100</v>
      </c>
      <c r="G44" s="1766"/>
      <c r="H44" s="1698">
        <f>SUMIF(126:126,G44,127:127)-SUMIF(126:126,C44,127:127)+100</f>
        <v>100</v>
      </c>
      <c r="I44" s="1766"/>
      <c r="J44" s="1698">
        <f>SUMIF(126:126,I44,127:127)-SUMIF(126:126,C44,127:127)+100</f>
        <v>100</v>
      </c>
      <c r="K44" s="1710"/>
      <c r="L44" s="2994"/>
      <c r="M44" s="2967"/>
      <c r="N44" s="2967"/>
      <c r="O44" s="2967"/>
      <c r="P44" s="3453"/>
      <c r="Q44" s="1635">
        <f t="shared" si="11"/>
        <v>111</v>
      </c>
      <c r="R44" s="1681" t="s">
        <v>28</v>
      </c>
      <c r="S44" s="1682">
        <f t="shared" si="12"/>
        <v>100</v>
      </c>
      <c r="T44" s="1681" t="s">
        <v>28</v>
      </c>
      <c r="U44" s="1682">
        <f t="shared" si="13"/>
        <v>100</v>
      </c>
      <c r="V44" s="1681" t="s">
        <v>28</v>
      </c>
      <c r="W44" s="1682">
        <f t="shared" si="14"/>
        <v>100</v>
      </c>
      <c r="X44" s="1683"/>
      <c r="Y44" s="3455"/>
      <c r="Z44" s="1694">
        <f t="shared" si="15"/>
        <v>111</v>
      </c>
      <c r="AA44" s="1684">
        <f t="shared" si="3"/>
        <v>1</v>
      </c>
      <c r="AB44" s="1684">
        <f t="shared" si="4"/>
        <v>1</v>
      </c>
      <c r="AC44" s="1684">
        <f t="shared" si="5"/>
        <v>1</v>
      </c>
    </row>
    <row r="45" spans="1:29" ht="15">
      <c r="A45" s="1773"/>
      <c r="B45" s="1761">
        <v>111</v>
      </c>
      <c r="C45" s="1711"/>
      <c r="D45" s="1712">
        <v>100</v>
      </c>
      <c r="E45" s="1711"/>
      <c r="F45" s="1755">
        <f>SUMIF(128:128,E45,129:129)-SUMIF(128:128,C45,129:129)+100</f>
        <v>100</v>
      </c>
      <c r="G45" s="1711"/>
      <c r="H45" s="1712">
        <f>SUMIF(128:128,G45,129:129)-SUMIF(128:128,C45,129:129)+100</f>
        <v>100</v>
      </c>
      <c r="I45" s="1711"/>
      <c r="J45" s="1712">
        <f>SUMIF(128:128,I45,129:129)-SUMIF(128:128,C45,129:129)+100</f>
        <v>100</v>
      </c>
      <c r="K45" s="1710"/>
      <c r="L45" s="2999"/>
      <c r="M45" s="2995"/>
      <c r="N45" s="2995"/>
      <c r="O45" s="2995"/>
      <c r="P45" s="3453"/>
      <c r="Q45" s="1616">
        <f t="shared" si="11"/>
        <v>111</v>
      </c>
      <c r="R45" s="1726" t="s">
        <v>28</v>
      </c>
      <c r="S45" s="1727">
        <f t="shared" si="12"/>
        <v>100</v>
      </c>
      <c r="T45" s="1726" t="s">
        <v>28</v>
      </c>
      <c r="U45" s="1727">
        <f t="shared" si="13"/>
        <v>100</v>
      </c>
      <c r="V45" s="1726" t="s">
        <v>28</v>
      </c>
      <c r="W45" s="1727">
        <f t="shared" si="14"/>
        <v>100</v>
      </c>
      <c r="X45" s="1666"/>
      <c r="Y45" s="3455"/>
      <c r="Z45" s="1728">
        <f t="shared" si="15"/>
        <v>111</v>
      </c>
      <c r="AA45" s="1729">
        <f t="shared" si="3"/>
        <v>1</v>
      </c>
      <c r="AB45" s="1729">
        <f t="shared" si="4"/>
        <v>1</v>
      </c>
      <c r="AC45" s="1729">
        <f t="shared" si="5"/>
        <v>1</v>
      </c>
    </row>
    <row r="46" spans="1:29" ht="15.75" thickBot="1">
      <c r="A46" s="1781"/>
      <c r="B46" s="1714">
        <v>111</v>
      </c>
      <c r="C46" s="1715"/>
      <c r="D46" s="1716">
        <v>100</v>
      </c>
      <c r="E46" s="1715"/>
      <c r="F46" s="1717">
        <f>SUMIF(130:130,E46,131:131)-SUMIF(130:130,C46,131:131)+100</f>
        <v>100</v>
      </c>
      <c r="G46" s="1715"/>
      <c r="H46" s="1716">
        <f>SUMIF(130:130,G46,131:131)-SUMIF(130:130,C46,131:131)+100</f>
        <v>100</v>
      </c>
      <c r="I46" s="1715"/>
      <c r="J46" s="1716">
        <f>SUMIF(130:130,I46,131:131)-SUMIF(130:130,C46,131:131)+100</f>
        <v>100</v>
      </c>
      <c r="K46" s="1710"/>
      <c r="L46" s="2999"/>
      <c r="M46" s="2995"/>
      <c r="N46" s="2995"/>
      <c r="O46" s="2995"/>
      <c r="P46" s="3454"/>
      <c r="Q46" s="1616">
        <f t="shared" si="11"/>
        <v>111</v>
      </c>
      <c r="R46" s="1726" t="s">
        <v>27</v>
      </c>
      <c r="S46" s="1727">
        <f t="shared" si="12"/>
        <v>100</v>
      </c>
      <c r="T46" s="1726" t="s">
        <v>27</v>
      </c>
      <c r="U46" s="1727">
        <f t="shared" si="13"/>
        <v>100</v>
      </c>
      <c r="V46" s="1726" t="s">
        <v>27</v>
      </c>
      <c r="W46" s="1727">
        <f t="shared" si="14"/>
        <v>100</v>
      </c>
      <c r="X46" s="1666"/>
      <c r="Y46" s="3456"/>
      <c r="Z46" s="1728">
        <f t="shared" si="15"/>
        <v>111</v>
      </c>
      <c r="AA46" s="1729">
        <f t="shared" si="3"/>
        <v>1</v>
      </c>
      <c r="AB46" s="1729">
        <f t="shared" si="4"/>
        <v>1</v>
      </c>
      <c r="AC46" s="1729">
        <f t="shared" si="5"/>
        <v>1</v>
      </c>
    </row>
    <row r="47" spans="1:29" ht="15">
      <c r="A47" s="1782" t="s">
        <v>2288</v>
      </c>
      <c r="B47" s="1783"/>
      <c r="C47" s="1784" t="s">
        <v>26</v>
      </c>
      <c r="D47" s="1785"/>
      <c r="E47" s="1786"/>
      <c r="F47" s="1787"/>
      <c r="G47" s="1788"/>
      <c r="H47" s="1789"/>
      <c r="I47" s="1786"/>
      <c r="J47" s="1789"/>
      <c r="K47" s="1790"/>
      <c r="L47" s="3000"/>
      <c r="N47" s="2995"/>
      <c r="P47" s="3447" t="str">
        <f>A47</f>
        <v>成交单价（元/平方米）</v>
      </c>
      <c r="Q47" s="3447"/>
      <c r="R47" s="3443">
        <f>E47</f>
        <v>0</v>
      </c>
      <c r="S47" s="3443"/>
      <c r="T47" s="3443">
        <f>G47</f>
        <v>0</v>
      </c>
      <c r="U47" s="3443"/>
      <c r="V47" s="3443">
        <f>I47</f>
        <v>0</v>
      </c>
      <c r="W47" s="3443"/>
      <c r="X47" s="1792"/>
      <c r="Y47" s="1793"/>
      <c r="Z47" s="1792"/>
      <c r="AA47" s="1792"/>
      <c r="AB47" s="1792"/>
      <c r="AC47" s="1792"/>
    </row>
    <row r="48" spans="1:29" ht="15.75" thickBot="1">
      <c r="A48" s="1794" t="s">
        <v>2289</v>
      </c>
      <c r="B48" s="1795"/>
      <c r="C48" s="1796" t="e">
        <f>R49</f>
        <v>#DIV/0!</v>
      </c>
      <c r="D48" s="1797" t="s">
        <v>2745</v>
      </c>
      <c r="E48" s="1798" t="e">
        <f>R48</f>
        <v>#DIV/0!</v>
      </c>
      <c r="F48" s="1799"/>
      <c r="G48" s="1796" t="e">
        <f>T48</f>
        <v>#DIV/0!</v>
      </c>
      <c r="H48" s="1799"/>
      <c r="I48" s="1798" t="e">
        <f>V48</f>
        <v>#DIV/0!</v>
      </c>
      <c r="J48" s="1799"/>
      <c r="K48" s="2512">
        <f>F48+H48+J48</f>
        <v>0</v>
      </c>
      <c r="L48" s="3000"/>
      <c r="P48" s="3447" t="str">
        <f>A48</f>
        <v>比较价值（元/平方米）</v>
      </c>
      <c r="Q48" s="3447"/>
      <c r="R48" s="3443" t="e">
        <f>IF(E1="售价",ROUND(PRODUCT(R47,AA7:AA46),0),ROUND(PRODUCT(R47,AA7:AA46),1))</f>
        <v>#DIV/0!</v>
      </c>
      <c r="S48" s="3443"/>
      <c r="T48" s="3441" t="e">
        <f>IF(E1="售价",ROUND(PRODUCT(T47,AB7:AB46),0),ROUND(PRODUCT(T47,AB7:AB46),1))</f>
        <v>#DIV/0!</v>
      </c>
      <c r="U48" s="3442"/>
      <c r="V48" s="3443" t="e">
        <f>IF(E1="售价",ROUND(PRODUCT(V47,AC7:AC46),0),ROUND(PRODUCT(V47,AC7:AC46),1))</f>
        <v>#DIV/0!</v>
      </c>
      <c r="W48" s="3443"/>
      <c r="X48" s="1792"/>
      <c r="Y48" s="1792"/>
      <c r="Z48" s="1792"/>
      <c r="AA48" s="1792"/>
      <c r="AB48" s="1792"/>
      <c r="AC48" s="1792"/>
    </row>
    <row r="49" spans="1:29" ht="15.75" thickBot="1">
      <c r="A49" s="1800" t="s">
        <v>2290</v>
      </c>
      <c r="B49" s="1801"/>
      <c r="C49" s="1802" t="e">
        <f>R49</f>
        <v>#DIV/0!</v>
      </c>
      <c r="D49" s="1803"/>
      <c r="E49" s="1803"/>
      <c r="F49" s="1803"/>
      <c r="G49" s="1803"/>
      <c r="H49" s="1803"/>
      <c r="I49" s="1803"/>
      <c r="J49" s="1803"/>
      <c r="K49" s="1804"/>
      <c r="L49" s="3000"/>
      <c r="P49" s="3444" t="str">
        <f>A49</f>
        <v>估价对象XX用房的比较价值（楼面单价，元/平方米）</v>
      </c>
      <c r="Q49" s="3445"/>
      <c r="R49" s="3446" t="e">
        <f>IF(E1="售价",ROUND(IF(D48="简单平均",AVERAGE(R48:V48),R48*F48+T48*H48+V48*J48),0),ROUND(IF(D48="简单平均",AVERAGE(R48:V48),R48*F48+T48*H48+V48*J48),1))</f>
        <v>#DIV/0!</v>
      </c>
      <c r="S49" s="3446"/>
      <c r="T49" s="3446"/>
      <c r="U49" s="3446"/>
      <c r="V49" s="3446"/>
      <c r="W49" s="3446"/>
      <c r="X49" s="1792"/>
      <c r="Y49" s="1792"/>
      <c r="Z49" s="1792"/>
      <c r="AA49" s="1792"/>
      <c r="AB49" s="1792"/>
      <c r="AC49" s="1792"/>
    </row>
    <row r="50" spans="1:29">
      <c r="G50" s="3004"/>
    </row>
    <row r="52" spans="1:29" ht="13.5" customHeight="1">
      <c r="C52" s="383" t="s">
        <v>2291</v>
      </c>
      <c r="D52" s="1808"/>
      <c r="E52" s="1809" t="e">
        <f>IF(E47&lt;E48,E48/E47-1,E47/E48-1)</f>
        <v>#DIV/0!</v>
      </c>
      <c r="F52" s="1810" t="e">
        <f>IF(OR(E52&gt;=0.3,E52&lt;=-0.3),"超过30%","")</f>
        <v>#DIV/0!</v>
      </c>
      <c r="G52" s="1809" t="e">
        <f>IF(G47&lt;G48,G48/G47-1,G47/G48-1)</f>
        <v>#DIV/0!</v>
      </c>
      <c r="H52" s="1810" t="e">
        <f>IF(OR(G52&gt;=0.3,G52&lt;=-0.3),"超过30%","")</f>
        <v>#DIV/0!</v>
      </c>
      <c r="I52" s="1809" t="e">
        <f>IF(I47&lt;I48,I48/I47-1,I47/I48-1)</f>
        <v>#DIV/0!</v>
      </c>
      <c r="J52" s="1810" t="e">
        <f>IF(OR(I52&gt;=0.3,I52&lt;=-0.3),"超过30%","")</f>
        <v>#DIV/0!</v>
      </c>
    </row>
    <row r="53" spans="1:29" ht="13.5" customHeight="1">
      <c r="C53" s="383" t="s">
        <v>2292</v>
      </c>
      <c r="D53" s="1811"/>
      <c r="E53" s="1809" t="e">
        <f>IF(E48&lt;G48,G48/E48-1,E48/G48-1)</f>
        <v>#DIV/0!</v>
      </c>
      <c r="F53" s="1810" t="e">
        <f>IF(OR(E53&gt;=0.2,E53&lt;=-0.2),"超过20%","")</f>
        <v>#DIV/0!</v>
      </c>
      <c r="G53" s="1809" t="e">
        <f>IF(G48&lt;I48,I48/G48-1,G48/I48-1)</f>
        <v>#DIV/0!</v>
      </c>
      <c r="H53" s="1810" t="e">
        <f>IF(OR(G53&gt;=0.2,G53&lt;=-0.2),"超过20%","")</f>
        <v>#DIV/0!</v>
      </c>
      <c r="I53" s="1809" t="e">
        <f>IF(I48&lt;E48,E48/I48-1,I48/E48-1)</f>
        <v>#DIV/0!</v>
      </c>
      <c r="J53" s="1810" t="e">
        <f>IF(OR(I53&gt;=0.2,I53&lt;=-0.2),"超过20%","")</f>
        <v>#DIV/0!</v>
      </c>
    </row>
    <row r="54" spans="1:29" s="1814" customFormat="1" ht="13.5" customHeight="1">
      <c r="C54" s="383" t="s">
        <v>2293</v>
      </c>
      <c r="D54" s="1811"/>
      <c r="E54" s="1809" t="e">
        <f>IF(E47&lt;G47,G47/E47-1,E47/G47-1)</f>
        <v>#DIV/0!</v>
      </c>
      <c r="F54" s="1810" t="e">
        <f>IF(OR(E54&gt;=0.3,E54&lt;=-0.3),"超过30%","")</f>
        <v>#DIV/0!</v>
      </c>
      <c r="G54" s="1809" t="e">
        <f>IF(G47&lt;I47,I47/G47-1,G47/I47-1)</f>
        <v>#DIV/0!</v>
      </c>
      <c r="H54" s="1810" t="e">
        <f>IF(OR(G54&gt;=0.3,G54&lt;=-0.3),"超过30%","")</f>
        <v>#DIV/0!</v>
      </c>
      <c r="I54" s="1809" t="e">
        <f>IF(I47&lt;E47,E47/I47-1,I47/E47-1)</f>
        <v>#DIV/0!</v>
      </c>
      <c r="J54" s="1810" t="e">
        <f>IF(OR(I54&gt;=0.3,I54&lt;=-0.3),"超过30%","")</f>
        <v>#DIV/0!</v>
      </c>
      <c r="K54" s="3007"/>
      <c r="L54" s="3001"/>
      <c r="P54" s="1813"/>
    </row>
    <row r="55" spans="1:29" s="1814" customFormat="1">
      <c r="B55" s="3005"/>
      <c r="C55" s="3006"/>
      <c r="K55" s="3007"/>
      <c r="L55" s="3001"/>
      <c r="P55" s="1813"/>
    </row>
    <row r="56" spans="1:29">
      <c r="B56" s="3005"/>
      <c r="C56" s="3006"/>
    </row>
    <row r="57" spans="1:29" ht="21.75" thickBot="1">
      <c r="A57" s="1817" t="s">
        <v>2294</v>
      </c>
      <c r="B57" s="1792"/>
      <c r="C57" s="1818"/>
      <c r="D57" s="1818"/>
      <c r="E57" s="1818"/>
      <c r="F57" s="1818"/>
      <c r="G57" s="1818"/>
      <c r="H57" s="1818"/>
      <c r="I57" s="1818"/>
      <c r="J57" s="1818"/>
      <c r="K57" s="1819"/>
      <c r="L57" s="3002"/>
      <c r="M57" s="3003"/>
      <c r="N57" s="3003"/>
      <c r="O57" s="3003"/>
      <c r="P57" s="1821"/>
      <c r="Q57" s="1822"/>
    </row>
    <row r="58" spans="1:29" s="1828" customFormat="1" ht="15">
      <c r="A58" s="1823" t="s">
        <v>2295</v>
      </c>
      <c r="B58" s="1824"/>
      <c r="C58" s="1825" t="str">
        <f>YEAR(C7)&amp;"-"&amp;MONTH(C7)</f>
        <v>2021-5</v>
      </c>
      <c r="D58" s="1826">
        <f>EDATE(C58,-1)</f>
        <v>44287</v>
      </c>
      <c r="E58" s="1826">
        <f t="shared" ref="E58:O58" si="16">EDATE(D58,-1)</f>
        <v>44256</v>
      </c>
      <c r="F58" s="1826">
        <f t="shared" si="16"/>
        <v>44228</v>
      </c>
      <c r="G58" s="1826">
        <f t="shared" si="16"/>
        <v>44197</v>
      </c>
      <c r="H58" s="1826">
        <f t="shared" si="16"/>
        <v>44166</v>
      </c>
      <c r="I58" s="1826">
        <f t="shared" si="16"/>
        <v>44136</v>
      </c>
      <c r="J58" s="1826">
        <f t="shared" si="16"/>
        <v>44105</v>
      </c>
      <c r="K58" s="1826">
        <f t="shared" si="16"/>
        <v>44075</v>
      </c>
      <c r="L58" s="1826">
        <f t="shared" si="16"/>
        <v>44044</v>
      </c>
      <c r="M58" s="1826">
        <f t="shared" si="16"/>
        <v>44013</v>
      </c>
      <c r="N58" s="1826">
        <f t="shared" si="16"/>
        <v>43983</v>
      </c>
      <c r="O58" s="1826">
        <f t="shared" si="16"/>
        <v>43952</v>
      </c>
      <c r="P58" s="1827"/>
    </row>
    <row r="59" spans="1:29" s="1685" customFormat="1" ht="15">
      <c r="A59" s="1829"/>
      <c r="B59" s="1830"/>
      <c r="C59" s="1831">
        <v>100</v>
      </c>
      <c r="D59" s="1832"/>
      <c r="E59" s="1832"/>
      <c r="F59" s="1832"/>
      <c r="G59" s="1832"/>
      <c r="H59" s="1832"/>
      <c r="I59" s="1832"/>
      <c r="J59" s="1832"/>
      <c r="K59" s="1832"/>
      <c r="L59" s="1832"/>
      <c r="M59" s="1833"/>
      <c r="N59" s="1832"/>
      <c r="O59" s="1833"/>
      <c r="P59" s="1834"/>
    </row>
    <row r="60" spans="1:29" s="1685" customFormat="1" ht="15.75" thickBot="1">
      <c r="A60" s="1835" t="s">
        <v>2296</v>
      </c>
      <c r="B60" s="1836"/>
      <c r="C60" s="1837"/>
      <c r="D60" s="1838"/>
      <c r="E60" s="1838"/>
      <c r="F60" s="1838"/>
      <c r="G60" s="1838"/>
      <c r="H60" s="1838"/>
      <c r="I60" s="1838"/>
      <c r="J60" s="1838"/>
      <c r="K60" s="1838"/>
      <c r="L60" s="1838"/>
      <c r="M60" s="1839"/>
      <c r="N60" s="1838"/>
      <c r="O60" s="1839"/>
      <c r="P60" s="1834"/>
      <c r="Q60" s="1822"/>
    </row>
    <row r="61" spans="1:29" s="1685" customFormat="1" ht="15">
      <c r="A61" s="1840" t="s">
        <v>2297</v>
      </c>
      <c r="B61" s="1830"/>
      <c r="C61" s="1841" t="s">
        <v>2298</v>
      </c>
      <c r="D61" s="409"/>
      <c r="E61" s="409"/>
      <c r="F61" s="409"/>
      <c r="G61" s="409"/>
      <c r="H61" s="409"/>
      <c r="I61" s="409"/>
      <c r="J61" s="409"/>
      <c r="K61" s="409"/>
      <c r="L61" s="409"/>
      <c r="M61" s="1842"/>
      <c r="N61" s="1843"/>
      <c r="O61" s="1843"/>
      <c r="P61" s="1844"/>
      <c r="Q61" s="1822"/>
    </row>
    <row r="62" spans="1:29" s="1685" customFormat="1" ht="15.75" thickBot="1">
      <c r="A62" s="1840"/>
      <c r="B62" s="1830"/>
      <c r="C62" s="1845">
        <v>100</v>
      </c>
      <c r="D62" s="1832"/>
      <c r="E62" s="1832"/>
      <c r="F62" s="1832"/>
      <c r="G62" s="1832"/>
      <c r="H62" s="1832"/>
      <c r="I62" s="1832"/>
      <c r="J62" s="1832"/>
      <c r="K62" s="1832"/>
      <c r="L62" s="1832"/>
      <c r="M62" s="1846"/>
      <c r="N62" s="1843"/>
      <c r="O62" s="1843"/>
      <c r="P62" s="1834"/>
      <c r="Q62" s="1822"/>
    </row>
    <row r="63" spans="1:29">
      <c r="A63" s="1847" t="s">
        <v>2299</v>
      </c>
      <c r="B63" s="1848" t="s">
        <v>2264</v>
      </c>
      <c r="C63" s="1849">
        <f>C9</f>
        <v>0</v>
      </c>
      <c r="D63" s="1850"/>
      <c r="E63" s="1850"/>
      <c r="F63" s="1850"/>
      <c r="G63" s="1850"/>
      <c r="H63" s="1850"/>
      <c r="I63" s="1850"/>
      <c r="J63" s="1850"/>
      <c r="K63" s="417"/>
      <c r="L63" s="417"/>
      <c r="M63" s="1851"/>
      <c r="N63" s="1852"/>
      <c r="O63" s="1852"/>
      <c r="P63" s="1853"/>
      <c r="Q63" s="1822"/>
    </row>
    <row r="64" spans="1:29" ht="15.75" thickBot="1">
      <c r="A64" s="1854"/>
      <c r="B64" s="1855"/>
      <c r="C64" s="1856">
        <v>100</v>
      </c>
      <c r="D64" s="1856"/>
      <c r="E64" s="1856"/>
      <c r="F64" s="1856"/>
      <c r="G64" s="1856"/>
      <c r="H64" s="1856"/>
      <c r="I64" s="1856"/>
      <c r="J64" s="1856"/>
      <c r="K64" s="1856"/>
      <c r="L64" s="1856"/>
      <c r="M64" s="1857"/>
      <c r="N64" s="1858"/>
      <c r="O64" s="1858"/>
      <c r="P64" s="1853"/>
      <c r="Q64" s="1822"/>
    </row>
    <row r="65" spans="1:17" ht="27.75" thickTop="1">
      <c r="A65" s="1854"/>
      <c r="B65" s="1859" t="s">
        <v>2267</v>
      </c>
      <c r="C65" s="1860" t="s">
        <v>2300</v>
      </c>
      <c r="D65" s="1860" t="s">
        <v>2301</v>
      </c>
      <c r="E65" s="1860" t="s">
        <v>2302</v>
      </c>
      <c r="F65" s="1860" t="s">
        <v>2303</v>
      </c>
      <c r="G65" s="1860" t="s">
        <v>2304</v>
      </c>
      <c r="H65" s="1860" t="s">
        <v>2305</v>
      </c>
      <c r="I65" s="1860" t="s">
        <v>2306</v>
      </c>
      <c r="J65" s="1860"/>
      <c r="K65" s="428"/>
      <c r="L65" s="428"/>
      <c r="M65" s="1861"/>
      <c r="N65" s="1852"/>
      <c r="O65" s="1852"/>
      <c r="P65" s="1853"/>
      <c r="Q65" s="1822"/>
    </row>
    <row r="66" spans="1:17" ht="15.75" thickBot="1">
      <c r="A66" s="1854"/>
      <c r="B66" s="1862"/>
      <c r="C66" s="1863">
        <v>100</v>
      </c>
      <c r="D66" s="1863">
        <f t="shared" ref="D66:I66" si="17">C66-$K10</f>
        <v>100</v>
      </c>
      <c r="E66" s="1863">
        <f t="shared" si="17"/>
        <v>100</v>
      </c>
      <c r="F66" s="1863">
        <f t="shared" si="17"/>
        <v>100</v>
      </c>
      <c r="G66" s="1863">
        <f t="shared" si="17"/>
        <v>100</v>
      </c>
      <c r="H66" s="1863">
        <f t="shared" si="17"/>
        <v>100</v>
      </c>
      <c r="I66" s="1863">
        <f t="shared" si="17"/>
        <v>100</v>
      </c>
      <c r="J66" s="1863"/>
      <c r="K66" s="1863"/>
      <c r="L66" s="1863"/>
      <c r="M66" s="1864"/>
      <c r="N66" s="1858"/>
      <c r="O66" s="1858"/>
      <c r="P66" s="1853"/>
      <c r="Q66" s="1822"/>
    </row>
    <row r="67" spans="1:17" ht="15.75" thickTop="1">
      <c r="A67" s="1854"/>
      <c r="B67" s="1865" t="s">
        <v>2268</v>
      </c>
      <c r="C67" s="1866" t="str">
        <f>C68&amp;"（含）"&amp;"-"&amp;D68</f>
        <v>（含）-</v>
      </c>
      <c r="D67" s="1866" t="str">
        <f t="shared" ref="D67:L67" si="18">D68&amp;"（含）"&amp;"-"&amp;E68</f>
        <v>（含）-</v>
      </c>
      <c r="E67" s="1866" t="str">
        <f t="shared" si="18"/>
        <v>（含）-</v>
      </c>
      <c r="F67" s="1866" t="str">
        <f t="shared" si="18"/>
        <v>（含）-</v>
      </c>
      <c r="G67" s="1866" t="str">
        <f t="shared" si="18"/>
        <v>（含）-</v>
      </c>
      <c r="H67" s="1866" t="str">
        <f t="shared" si="18"/>
        <v>（含）-</v>
      </c>
      <c r="I67" s="1866" t="str">
        <f t="shared" si="18"/>
        <v>（含）-</v>
      </c>
      <c r="J67" s="1866" t="str">
        <f t="shared" si="18"/>
        <v>（含）-</v>
      </c>
      <c r="K67" s="1866" t="str">
        <f t="shared" si="18"/>
        <v>（含）-</v>
      </c>
      <c r="L67" s="1866" t="str">
        <f t="shared" si="18"/>
        <v>（含）-</v>
      </c>
      <c r="M67" s="1732" t="str">
        <f>M68&amp;"（含）"&amp;"-"&amp;P68</f>
        <v>（含）-</v>
      </c>
      <c r="N67" s="1858"/>
      <c r="O67" s="1858"/>
      <c r="P67" s="1853"/>
      <c r="Q67" s="1822"/>
    </row>
    <row r="68" spans="1:17" ht="15">
      <c r="A68" s="1854"/>
      <c r="B68" s="1867"/>
      <c r="C68" s="1868"/>
      <c r="D68" s="1868"/>
      <c r="E68" s="1868"/>
      <c r="F68" s="1868"/>
      <c r="G68" s="1868"/>
      <c r="H68" s="1868"/>
      <c r="I68" s="1868"/>
      <c r="J68" s="1868"/>
      <c r="K68" s="438"/>
      <c r="L68" s="438"/>
      <c r="M68" s="1869"/>
      <c r="N68" s="1852"/>
      <c r="O68" s="1852"/>
      <c r="P68" s="1853"/>
      <c r="Q68" s="1822"/>
    </row>
    <row r="69" spans="1:17" ht="15.75" thickBot="1">
      <c r="A69" s="1854"/>
      <c r="B69" s="1855"/>
      <c r="C69" s="1863">
        <v>100</v>
      </c>
      <c r="D69" s="1863">
        <f t="shared" ref="D69:M69" si="19">C69-$K11</f>
        <v>100</v>
      </c>
      <c r="E69" s="1863">
        <f t="shared" si="19"/>
        <v>100</v>
      </c>
      <c r="F69" s="1863">
        <f t="shared" si="19"/>
        <v>100</v>
      </c>
      <c r="G69" s="1863">
        <f t="shared" si="19"/>
        <v>100</v>
      </c>
      <c r="H69" s="1863">
        <f t="shared" si="19"/>
        <v>100</v>
      </c>
      <c r="I69" s="1863">
        <f t="shared" si="19"/>
        <v>100</v>
      </c>
      <c r="J69" s="1863">
        <f t="shared" si="19"/>
        <v>100</v>
      </c>
      <c r="K69" s="1863">
        <f t="shared" si="19"/>
        <v>100</v>
      </c>
      <c r="L69" s="1863">
        <f t="shared" si="19"/>
        <v>100</v>
      </c>
      <c r="M69" s="1864">
        <f t="shared" si="19"/>
        <v>100</v>
      </c>
      <c r="N69" s="1858"/>
      <c r="O69" s="1858"/>
      <c r="P69" s="1853"/>
      <c r="Q69" s="1822"/>
    </row>
    <row r="70" spans="1:17" s="1772" customFormat="1" ht="15.75" thickTop="1">
      <c r="A70" s="1870"/>
      <c r="B70" s="1859">
        <f>B12</f>
        <v>111</v>
      </c>
      <c r="C70" s="468"/>
      <c r="D70" s="468"/>
      <c r="E70" s="468"/>
      <c r="F70" s="468"/>
      <c r="G70" s="468"/>
      <c r="H70" s="443"/>
      <c r="I70" s="443"/>
      <c r="J70" s="443"/>
      <c r="K70" s="443"/>
      <c r="L70" s="443"/>
      <c r="M70" s="1871"/>
      <c r="N70" s="1872"/>
      <c r="O70" s="1872"/>
      <c r="P70" s="1873"/>
      <c r="Q70" s="1874"/>
    </row>
    <row r="71" spans="1:17" s="1772" customFormat="1" ht="15.75" thickBot="1">
      <c r="A71" s="1870"/>
      <c r="B71" s="1862"/>
      <c r="C71" s="1875"/>
      <c r="D71" s="1856"/>
      <c r="E71" s="1856"/>
      <c r="F71" s="1856"/>
      <c r="G71" s="1856"/>
      <c r="H71" s="1856"/>
      <c r="I71" s="1856"/>
      <c r="J71" s="1856"/>
      <c r="K71" s="1856"/>
      <c r="L71" s="1856"/>
      <c r="M71" s="1857"/>
      <c r="N71" s="1858"/>
      <c r="O71" s="1858"/>
      <c r="P71" s="1873"/>
      <c r="Q71" s="1874"/>
    </row>
    <row r="72" spans="1:17" s="1772" customFormat="1" ht="15.75" thickTop="1">
      <c r="A72" s="1870"/>
      <c r="B72" s="1859">
        <f>B13</f>
        <v>111</v>
      </c>
      <c r="C72" s="468"/>
      <c r="D72" s="468"/>
      <c r="E72" s="468"/>
      <c r="F72" s="468"/>
      <c r="G72" s="468"/>
      <c r="H72" s="443"/>
      <c r="I72" s="443"/>
      <c r="J72" s="443"/>
      <c r="K72" s="443"/>
      <c r="L72" s="443"/>
      <c r="M72" s="1871"/>
      <c r="N72" s="1872"/>
      <c r="O72" s="1872"/>
      <c r="P72" s="1876"/>
      <c r="Q72" s="1877"/>
    </row>
    <row r="73" spans="1:17" s="1772" customFormat="1" ht="15.75" thickBot="1">
      <c r="A73" s="1870"/>
      <c r="B73" s="1862"/>
      <c r="C73" s="1875"/>
      <c r="D73" s="1875"/>
      <c r="E73" s="1875"/>
      <c r="F73" s="1875"/>
      <c r="G73" s="1875"/>
      <c r="H73" s="1878"/>
      <c r="I73" s="1878"/>
      <c r="J73" s="1878"/>
      <c r="K73" s="1878"/>
      <c r="L73" s="1878"/>
      <c r="M73" s="1879"/>
      <c r="N73" s="1872"/>
      <c r="O73" s="1872"/>
      <c r="P73" s="1873"/>
      <c r="Q73" s="1874"/>
    </row>
    <row r="74" spans="1:17" s="1772" customFormat="1" ht="15.75" thickTop="1">
      <c r="A74" s="1870"/>
      <c r="B74" s="1865">
        <f>B14</f>
        <v>111</v>
      </c>
      <c r="C74" s="468"/>
      <c r="D74" s="468"/>
      <c r="E74" s="468"/>
      <c r="F74" s="468"/>
      <c r="G74" s="409"/>
      <c r="H74" s="453"/>
      <c r="I74" s="453"/>
      <c r="J74" s="453"/>
      <c r="K74" s="453"/>
      <c r="L74" s="453"/>
      <c r="M74" s="1880"/>
      <c r="N74" s="1872"/>
      <c r="O74" s="1872"/>
      <c r="P74" s="1873"/>
      <c r="Q74" s="1874"/>
    </row>
    <row r="75" spans="1:17" s="1772" customFormat="1" ht="15.75" thickBot="1">
      <c r="A75" s="1881"/>
      <c r="B75" s="1882"/>
      <c r="C75" s="1883"/>
      <c r="D75" s="1883"/>
      <c r="E75" s="1883"/>
      <c r="F75" s="1883"/>
      <c r="G75" s="1883"/>
      <c r="H75" s="1884"/>
      <c r="I75" s="1884"/>
      <c r="J75" s="1884"/>
      <c r="K75" s="1884"/>
      <c r="L75" s="1884"/>
      <c r="M75" s="1885"/>
      <c r="N75" s="1872"/>
      <c r="O75" s="1872"/>
      <c r="P75" s="1873"/>
      <c r="Q75" s="1874"/>
    </row>
    <row r="76" spans="1:17">
      <c r="A76" s="1847" t="s">
        <v>2269</v>
      </c>
      <c r="B76" s="1848" t="s">
        <v>2307</v>
      </c>
      <c r="C76" s="1886" t="s">
        <v>2308</v>
      </c>
      <c r="D76" s="1886" t="s">
        <v>2309</v>
      </c>
      <c r="E76" s="1886" t="s">
        <v>2310</v>
      </c>
      <c r="F76" s="1886" t="s">
        <v>2311</v>
      </c>
      <c r="G76" s="1886" t="s">
        <v>2312</v>
      </c>
      <c r="H76" s="1849"/>
      <c r="I76" s="1849"/>
      <c r="J76" s="1849"/>
      <c r="K76" s="463"/>
      <c r="L76" s="463"/>
      <c r="M76" s="1887"/>
      <c r="N76" s="1852"/>
      <c r="O76" s="1852"/>
      <c r="P76" s="1853"/>
      <c r="Q76" s="1822"/>
    </row>
    <row r="77" spans="1:17" ht="15.75" thickBot="1">
      <c r="A77" s="1854"/>
      <c r="B77" s="1862"/>
      <c r="C77" s="1863">
        <v>100</v>
      </c>
      <c r="D77" s="1863">
        <f>C77-$K15</f>
        <v>100</v>
      </c>
      <c r="E77" s="1863">
        <f>D77-$K15</f>
        <v>100</v>
      </c>
      <c r="F77" s="1863">
        <f>E77-$K15</f>
        <v>100</v>
      </c>
      <c r="G77" s="1863">
        <f>F77-$K15</f>
        <v>100</v>
      </c>
      <c r="H77" s="1863"/>
      <c r="I77" s="1863"/>
      <c r="J77" s="1863"/>
      <c r="K77" s="1863"/>
      <c r="L77" s="1863"/>
      <c r="M77" s="1864"/>
      <c r="N77" s="1858"/>
      <c r="O77" s="1858"/>
      <c r="P77" s="1853"/>
      <c r="Q77" s="1822"/>
    </row>
    <row r="78" spans="1:17" ht="15.75" thickTop="1">
      <c r="A78" s="1854"/>
      <c r="B78" s="1859" t="s">
        <v>2313</v>
      </c>
      <c r="C78" s="579" t="s">
        <v>2308</v>
      </c>
      <c r="D78" s="579" t="s">
        <v>2309</v>
      </c>
      <c r="E78" s="579" t="s">
        <v>2310</v>
      </c>
      <c r="F78" s="579" t="s">
        <v>2311</v>
      </c>
      <c r="G78" s="579" t="s">
        <v>2312</v>
      </c>
      <c r="H78" s="1860"/>
      <c r="I78" s="1860"/>
      <c r="J78" s="1860"/>
      <c r="K78" s="428"/>
      <c r="L78" s="428"/>
      <c r="M78" s="1861"/>
      <c r="N78" s="1852"/>
      <c r="O78" s="1852"/>
      <c r="P78" s="1853"/>
      <c r="Q78" s="1822"/>
    </row>
    <row r="79" spans="1:17" ht="15.75" thickBot="1">
      <c r="A79" s="1854"/>
      <c r="B79" s="1862"/>
      <c r="C79" s="1863">
        <v>100</v>
      </c>
      <c r="D79" s="1863">
        <f>C79-$K17</f>
        <v>100</v>
      </c>
      <c r="E79" s="1863">
        <f>D79-$K17</f>
        <v>100</v>
      </c>
      <c r="F79" s="1863">
        <f>E79-$K17</f>
        <v>100</v>
      </c>
      <c r="G79" s="1863">
        <f>F79-$K17</f>
        <v>100</v>
      </c>
      <c r="H79" s="1863"/>
      <c r="I79" s="1863"/>
      <c r="J79" s="1863"/>
      <c r="K79" s="1863"/>
      <c r="L79" s="1863"/>
      <c r="M79" s="1864"/>
      <c r="N79" s="1858"/>
      <c r="O79" s="1858"/>
      <c r="P79" s="1853"/>
      <c r="Q79" s="1822"/>
    </row>
    <row r="80" spans="1:17" ht="15.75" thickTop="1">
      <c r="A80" s="1854"/>
      <c r="B80" s="1859" t="s">
        <v>2314</v>
      </c>
      <c r="C80" s="579" t="s">
        <v>2308</v>
      </c>
      <c r="D80" s="579" t="s">
        <v>2309</v>
      </c>
      <c r="E80" s="579" t="s">
        <v>2310</v>
      </c>
      <c r="F80" s="579" t="s">
        <v>2311</v>
      </c>
      <c r="G80" s="579" t="s">
        <v>2312</v>
      </c>
      <c r="H80" s="1860"/>
      <c r="I80" s="1860"/>
      <c r="J80" s="1860"/>
      <c r="K80" s="428"/>
      <c r="L80" s="428"/>
      <c r="M80" s="1861"/>
      <c r="N80" s="1852"/>
      <c r="O80" s="1852"/>
      <c r="P80" s="1853"/>
      <c r="Q80" s="1822"/>
    </row>
    <row r="81" spans="1:17" ht="15.75" thickBot="1">
      <c r="A81" s="1854"/>
      <c r="B81" s="1862"/>
      <c r="C81" s="1863">
        <v>100</v>
      </c>
      <c r="D81" s="1863">
        <f>C81-$K19</f>
        <v>100</v>
      </c>
      <c r="E81" s="1863">
        <f>D81-$K19</f>
        <v>100</v>
      </c>
      <c r="F81" s="1863">
        <f>E81-$K19</f>
        <v>100</v>
      </c>
      <c r="G81" s="1863">
        <f>F81-$K19</f>
        <v>100</v>
      </c>
      <c r="H81" s="1863"/>
      <c r="I81" s="1863"/>
      <c r="J81" s="1863"/>
      <c r="K81" s="1863"/>
      <c r="L81" s="1863"/>
      <c r="M81" s="1864"/>
      <c r="N81" s="1858"/>
      <c r="O81" s="1858"/>
      <c r="P81" s="1853"/>
      <c r="Q81" s="1822"/>
    </row>
    <row r="82" spans="1:17" ht="15.75" thickTop="1">
      <c r="A82" s="1854"/>
      <c r="B82" s="1865" t="s">
        <v>1707</v>
      </c>
      <c r="C82" s="1860" t="s">
        <v>2315</v>
      </c>
      <c r="D82" s="1860" t="s">
        <v>2316</v>
      </c>
      <c r="E82" s="1860" t="s">
        <v>2317</v>
      </c>
      <c r="F82" s="1860" t="s">
        <v>2318</v>
      </c>
      <c r="G82" s="1860" t="s">
        <v>2319</v>
      </c>
      <c r="H82" s="1860"/>
      <c r="I82" s="1860"/>
      <c r="J82" s="1860"/>
      <c r="K82" s="1860"/>
      <c r="L82" s="1860"/>
      <c r="M82" s="1888"/>
      <c r="N82" s="1858"/>
      <c r="O82" s="1858"/>
      <c r="P82" s="1853"/>
      <c r="Q82" s="1822"/>
    </row>
    <row r="83" spans="1:17" ht="15.75" thickBot="1">
      <c r="A83" s="1854"/>
      <c r="B83" s="1865"/>
      <c r="C83" s="1863">
        <v>100</v>
      </c>
      <c r="D83" s="1863">
        <f>C83-$K21</f>
        <v>100</v>
      </c>
      <c r="E83" s="1863">
        <f>D83-$K21</f>
        <v>100</v>
      </c>
      <c r="F83" s="1863">
        <f>E83-$K21</f>
        <v>100</v>
      </c>
      <c r="G83" s="1863">
        <f>F83-$K21</f>
        <v>100</v>
      </c>
      <c r="H83" s="1889"/>
      <c r="I83" s="1889"/>
      <c r="J83" s="1889"/>
      <c r="K83" s="1889"/>
      <c r="L83" s="1889"/>
      <c r="M83" s="1736"/>
      <c r="N83" s="1858"/>
      <c r="O83" s="1858"/>
      <c r="P83" s="1853"/>
      <c r="Q83" s="1822"/>
    </row>
    <row r="84" spans="1:17" ht="15.75" thickTop="1">
      <c r="A84" s="1854"/>
      <c r="B84" s="1859" t="s">
        <v>2320</v>
      </c>
      <c r="C84" s="579" t="s">
        <v>2308</v>
      </c>
      <c r="D84" s="579" t="s">
        <v>2309</v>
      </c>
      <c r="E84" s="579" t="s">
        <v>2310</v>
      </c>
      <c r="F84" s="579" t="s">
        <v>2311</v>
      </c>
      <c r="G84" s="579" t="s">
        <v>2312</v>
      </c>
      <c r="H84" s="1860"/>
      <c r="I84" s="1860"/>
      <c r="J84" s="1860"/>
      <c r="K84" s="428"/>
      <c r="L84" s="428"/>
      <c r="M84" s="1861"/>
      <c r="N84" s="1852"/>
      <c r="O84" s="1852"/>
      <c r="P84" s="1853"/>
      <c r="Q84" s="1822"/>
    </row>
    <row r="85" spans="1:17" ht="15.75" thickBot="1">
      <c r="A85" s="1854"/>
      <c r="B85" s="1862"/>
      <c r="C85" s="1863">
        <v>100</v>
      </c>
      <c r="D85" s="1863">
        <f>C85-$K23</f>
        <v>100</v>
      </c>
      <c r="E85" s="1863">
        <f>D85-$K23</f>
        <v>100</v>
      </c>
      <c r="F85" s="1863">
        <f>E85-$K23</f>
        <v>100</v>
      </c>
      <c r="G85" s="1863">
        <f>F85-$K23</f>
        <v>100</v>
      </c>
      <c r="H85" s="1863"/>
      <c r="I85" s="1863"/>
      <c r="J85" s="1863"/>
      <c r="K85" s="1863"/>
      <c r="L85" s="1863"/>
      <c r="M85" s="1864"/>
      <c r="N85" s="1858"/>
      <c r="O85" s="1858"/>
      <c r="P85" s="1853"/>
      <c r="Q85" s="1822"/>
    </row>
    <row r="86" spans="1:17" s="1685" customFormat="1" ht="15.75" thickTop="1">
      <c r="A86" s="1890"/>
      <c r="B86" s="1859" t="s">
        <v>2321</v>
      </c>
      <c r="C86" s="468"/>
      <c r="D86" s="468"/>
      <c r="E86" s="468"/>
      <c r="F86" s="468"/>
      <c r="G86" s="468"/>
      <c r="H86" s="468"/>
      <c r="I86" s="468"/>
      <c r="J86" s="468"/>
      <c r="K86" s="468"/>
      <c r="L86" s="468"/>
      <c r="M86" s="1891"/>
      <c r="N86" s="1843"/>
      <c r="O86" s="1843"/>
      <c r="P86" s="1853"/>
      <c r="Q86" s="1822"/>
    </row>
    <row r="87" spans="1:17" s="1685" customFormat="1" ht="15.75" thickBot="1">
      <c r="A87" s="1890"/>
      <c r="B87" s="1862"/>
      <c r="C87" s="1892">
        <v>100</v>
      </c>
      <c r="D87" s="1863">
        <f>$C$87-($C$86-D86)*$K$25</f>
        <v>100</v>
      </c>
      <c r="E87" s="1863">
        <f t="shared" ref="E87:M87" si="20">$C$87-($C$86-E86)*$K$25</f>
        <v>100</v>
      </c>
      <c r="F87" s="1863">
        <f t="shared" si="20"/>
        <v>100</v>
      </c>
      <c r="G87" s="1863">
        <f t="shared" si="20"/>
        <v>100</v>
      </c>
      <c r="H87" s="1863">
        <f t="shared" si="20"/>
        <v>100</v>
      </c>
      <c r="I87" s="1863">
        <f t="shared" si="20"/>
        <v>100</v>
      </c>
      <c r="J87" s="1863">
        <f t="shared" si="20"/>
        <v>100</v>
      </c>
      <c r="K87" s="1863">
        <f t="shared" si="20"/>
        <v>100</v>
      </c>
      <c r="L87" s="1863">
        <f t="shared" si="20"/>
        <v>100</v>
      </c>
      <c r="M87" s="1863">
        <f t="shared" si="20"/>
        <v>100</v>
      </c>
      <c r="N87" s="1858"/>
      <c r="O87" s="1858"/>
      <c r="P87" s="1853"/>
      <c r="Q87" s="1822"/>
    </row>
    <row r="88" spans="1:17" s="1685" customFormat="1" ht="15.75" thickTop="1">
      <c r="A88" s="1890"/>
      <c r="B88" s="1859" t="s">
        <v>2322</v>
      </c>
      <c r="C88" s="468"/>
      <c r="D88" s="468"/>
      <c r="E88" s="468"/>
      <c r="F88" s="1893"/>
      <c r="G88" s="468"/>
      <c r="H88" s="468"/>
      <c r="I88" s="468"/>
      <c r="J88" s="468"/>
      <c r="K88" s="468"/>
      <c r="L88" s="468"/>
      <c r="M88" s="1891"/>
      <c r="N88" s="1843"/>
      <c r="O88" s="1843"/>
      <c r="P88" s="1853"/>
      <c r="Q88" s="1822"/>
    </row>
    <row r="89" spans="1:17" s="1685" customFormat="1" ht="15.75" thickBot="1">
      <c r="A89" s="1890"/>
      <c r="B89" s="1862"/>
      <c r="C89" s="1892">
        <v>100</v>
      </c>
      <c r="D89" s="1863">
        <f t="shared" ref="D89:M89" si="21">C89-$K26</f>
        <v>100</v>
      </c>
      <c r="E89" s="1863">
        <f t="shared" si="21"/>
        <v>100</v>
      </c>
      <c r="F89" s="1863">
        <f t="shared" si="21"/>
        <v>100</v>
      </c>
      <c r="G89" s="1863">
        <f t="shared" si="21"/>
        <v>100</v>
      </c>
      <c r="H89" s="1863">
        <f t="shared" si="21"/>
        <v>100</v>
      </c>
      <c r="I89" s="1863">
        <f t="shared" si="21"/>
        <v>100</v>
      </c>
      <c r="J89" s="1863">
        <f t="shared" si="21"/>
        <v>100</v>
      </c>
      <c r="K89" s="1863">
        <f t="shared" si="21"/>
        <v>100</v>
      </c>
      <c r="L89" s="1863">
        <f t="shared" si="21"/>
        <v>100</v>
      </c>
      <c r="M89" s="1863">
        <f t="shared" si="21"/>
        <v>100</v>
      </c>
      <c r="N89" s="1858"/>
      <c r="O89" s="1858"/>
      <c r="P89" s="1853"/>
      <c r="Q89" s="1822"/>
    </row>
    <row r="90" spans="1:17" s="1772" customFormat="1" ht="15.75" thickTop="1">
      <c r="A90" s="1870"/>
      <c r="B90" s="1859" t="str">
        <f>B27</f>
        <v>道路级别</v>
      </c>
      <c r="C90" s="468"/>
      <c r="D90" s="468"/>
      <c r="E90" s="468"/>
      <c r="F90" s="468"/>
      <c r="G90" s="468"/>
      <c r="H90" s="443"/>
      <c r="I90" s="443"/>
      <c r="J90" s="443"/>
      <c r="K90" s="443"/>
      <c r="L90" s="443"/>
      <c r="M90" s="1871"/>
      <c r="N90" s="1872"/>
      <c r="O90" s="1872"/>
      <c r="P90" s="1873"/>
      <c r="Q90" s="1874"/>
    </row>
    <row r="91" spans="1:17" s="1772" customFormat="1" ht="15.75" thickBot="1">
      <c r="A91" s="1870"/>
      <c r="B91" s="1862"/>
      <c r="C91" s="1875"/>
      <c r="D91" s="1875"/>
      <c r="E91" s="1875"/>
      <c r="F91" s="1875"/>
      <c r="G91" s="1875"/>
      <c r="H91" s="1878"/>
      <c r="I91" s="1878"/>
      <c r="J91" s="1878"/>
      <c r="K91" s="1878"/>
      <c r="L91" s="1878"/>
      <c r="M91" s="1879"/>
      <c r="N91" s="1872"/>
      <c r="O91" s="1872"/>
      <c r="P91" s="1873"/>
      <c r="Q91" s="1874"/>
    </row>
    <row r="92" spans="1:17" ht="15.75" thickTop="1">
      <c r="A92" s="1854"/>
      <c r="B92" s="1859">
        <f>B28</f>
        <v>111</v>
      </c>
      <c r="C92" s="468"/>
      <c r="D92" s="468"/>
      <c r="E92" s="468"/>
      <c r="F92" s="468"/>
      <c r="G92" s="1578"/>
      <c r="H92" s="1578"/>
      <c r="I92" s="1578"/>
      <c r="J92" s="1578"/>
      <c r="K92" s="473"/>
      <c r="L92" s="473"/>
      <c r="M92" s="1894"/>
      <c r="N92" s="1852"/>
      <c r="O92" s="1852"/>
      <c r="P92" s="1853"/>
      <c r="Q92" s="1822"/>
    </row>
    <row r="93" spans="1:17" ht="15.75" thickBot="1">
      <c r="A93" s="1854"/>
      <c r="B93" s="1862"/>
      <c r="C93" s="1875"/>
      <c r="D93" s="1856"/>
      <c r="E93" s="1856"/>
      <c r="F93" s="1856"/>
      <c r="G93" s="1856"/>
      <c r="H93" s="1856"/>
      <c r="I93" s="1856"/>
      <c r="J93" s="1856"/>
      <c r="K93" s="1856"/>
      <c r="L93" s="1856"/>
      <c r="M93" s="1857"/>
      <c r="N93" s="1858"/>
      <c r="O93" s="1858"/>
      <c r="P93" s="1853"/>
      <c r="Q93" s="1822"/>
    </row>
    <row r="94" spans="1:17" ht="15.75" thickTop="1">
      <c r="A94" s="1854"/>
      <c r="B94" s="1859">
        <f>B29</f>
        <v>111</v>
      </c>
      <c r="C94" s="468"/>
      <c r="D94" s="468"/>
      <c r="E94" s="468"/>
      <c r="F94" s="468"/>
      <c r="G94" s="1578"/>
      <c r="H94" s="1578"/>
      <c r="I94" s="1578"/>
      <c r="J94" s="1578"/>
      <c r="K94" s="473"/>
      <c r="L94" s="473"/>
      <c r="M94" s="1894"/>
      <c r="N94" s="1852"/>
      <c r="O94" s="1852"/>
      <c r="P94" s="1853"/>
      <c r="Q94" s="1822"/>
    </row>
    <row r="95" spans="1:17" ht="15.75" thickBot="1">
      <c r="A95" s="1854"/>
      <c r="B95" s="1862"/>
      <c r="C95" s="1875"/>
      <c r="D95" s="1875"/>
      <c r="E95" s="1875"/>
      <c r="F95" s="1875"/>
      <c r="G95" s="1856"/>
      <c r="H95" s="1856"/>
      <c r="I95" s="1856"/>
      <c r="J95" s="1856"/>
      <c r="K95" s="1856"/>
      <c r="L95" s="1856"/>
      <c r="M95" s="1857"/>
      <c r="N95" s="1858"/>
      <c r="O95" s="1858"/>
      <c r="P95" s="1853"/>
      <c r="Q95" s="1822"/>
    </row>
    <row r="96" spans="1:17" ht="15.75" thickTop="1">
      <c r="A96" s="1854"/>
      <c r="B96" s="1859">
        <f>B30</f>
        <v>111</v>
      </c>
      <c r="C96" s="468"/>
      <c r="D96" s="468"/>
      <c r="E96" s="468"/>
      <c r="F96" s="468"/>
      <c r="G96" s="1578"/>
      <c r="H96" s="1578"/>
      <c r="I96" s="1578"/>
      <c r="J96" s="1578"/>
      <c r="K96" s="473"/>
      <c r="L96" s="473"/>
      <c r="M96" s="1894"/>
      <c r="N96" s="1852"/>
      <c r="O96" s="1852"/>
      <c r="P96" s="1853"/>
      <c r="Q96" s="1822"/>
    </row>
    <row r="97" spans="1:17" ht="15.75" thickBot="1">
      <c r="A97" s="1854"/>
      <c r="B97" s="1862"/>
      <c r="C97" s="1883"/>
      <c r="D97" s="1883"/>
      <c r="E97" s="1883"/>
      <c r="F97" s="1883"/>
      <c r="G97" s="1856"/>
      <c r="H97" s="1856"/>
      <c r="I97" s="1856"/>
      <c r="J97" s="1856"/>
      <c r="K97" s="1856"/>
      <c r="L97" s="1856"/>
      <c r="M97" s="1857"/>
      <c r="N97" s="1858"/>
      <c r="O97" s="1858"/>
      <c r="P97" s="1853"/>
      <c r="Q97" s="1822"/>
    </row>
    <row r="98" spans="1:17" ht="15.75" thickTop="1">
      <c r="A98" s="1854"/>
      <c r="B98" s="1865">
        <f>B31</f>
        <v>111</v>
      </c>
      <c r="C98" s="1895"/>
      <c r="D98" s="1895"/>
      <c r="E98" s="1895"/>
      <c r="F98" s="1895"/>
      <c r="G98" s="1895"/>
      <c r="H98" s="1895"/>
      <c r="I98" s="1895"/>
      <c r="J98" s="1895"/>
      <c r="K98" s="477"/>
      <c r="L98" s="477"/>
      <c r="M98" s="1896"/>
      <c r="N98" s="1852"/>
      <c r="O98" s="1852"/>
      <c r="P98" s="1853"/>
      <c r="Q98" s="1822"/>
    </row>
    <row r="99" spans="1:17" ht="15.75" thickBot="1">
      <c r="A99" s="1897"/>
      <c r="B99" s="1882"/>
      <c r="C99" s="1898"/>
      <c r="D99" s="1898"/>
      <c r="E99" s="1898"/>
      <c r="F99" s="1898"/>
      <c r="G99" s="1898"/>
      <c r="H99" s="1898"/>
      <c r="I99" s="1898"/>
      <c r="J99" s="1898"/>
      <c r="K99" s="1898"/>
      <c r="L99" s="1898"/>
      <c r="M99" s="1899"/>
      <c r="N99" s="1858"/>
      <c r="O99" s="1858"/>
      <c r="P99" s="1853"/>
      <c r="Q99" s="1822"/>
    </row>
    <row r="100" spans="1:17">
      <c r="A100" s="1847" t="s">
        <v>2274</v>
      </c>
      <c r="B100" s="1848" t="s">
        <v>2323</v>
      </c>
      <c r="C100" s="1850"/>
      <c r="D100" s="1850"/>
      <c r="E100" s="1850"/>
      <c r="F100" s="1850"/>
      <c r="G100" s="1850"/>
      <c r="H100" s="1850"/>
      <c r="I100" s="1850"/>
      <c r="J100" s="1850"/>
      <c r="K100" s="417"/>
      <c r="L100" s="417"/>
      <c r="M100" s="1851"/>
      <c r="N100" s="1852"/>
      <c r="O100" s="1852"/>
      <c r="P100" s="1853"/>
      <c r="Q100" s="1822"/>
    </row>
    <row r="101" spans="1:17" ht="15.75" thickBot="1">
      <c r="A101" s="1854"/>
      <c r="B101" s="1862"/>
      <c r="C101" s="1863">
        <v>100</v>
      </c>
      <c r="D101" s="1863">
        <f t="shared" ref="D101:M101" si="22">C101-$K32</f>
        <v>100</v>
      </c>
      <c r="E101" s="1863">
        <f t="shared" si="22"/>
        <v>100</v>
      </c>
      <c r="F101" s="1863">
        <f t="shared" si="22"/>
        <v>100</v>
      </c>
      <c r="G101" s="1863">
        <f t="shared" si="22"/>
        <v>100</v>
      </c>
      <c r="H101" s="1863">
        <f t="shared" si="22"/>
        <v>100</v>
      </c>
      <c r="I101" s="1863">
        <f t="shared" si="22"/>
        <v>100</v>
      </c>
      <c r="J101" s="1863">
        <f t="shared" si="22"/>
        <v>100</v>
      </c>
      <c r="K101" s="1863">
        <f t="shared" si="22"/>
        <v>100</v>
      </c>
      <c r="L101" s="1863">
        <f t="shared" si="22"/>
        <v>100</v>
      </c>
      <c r="M101" s="1863">
        <f t="shared" si="22"/>
        <v>100</v>
      </c>
      <c r="N101" s="1858"/>
      <c r="O101" s="1858"/>
      <c r="P101" s="1853"/>
      <c r="Q101" s="1822"/>
    </row>
    <row r="102" spans="1:17" ht="15.75" thickTop="1">
      <c r="A102" s="1854"/>
      <c r="B102" s="1859" t="s">
        <v>2324</v>
      </c>
      <c r="C102" s="579" t="str">
        <f>C103&amp;"(含)"&amp;"-"&amp;D103</f>
        <v>(含)-</v>
      </c>
      <c r="D102" s="579" t="str">
        <f t="shared" ref="D102:L102" si="23">D103&amp;"(含)"&amp;"-"&amp;E103</f>
        <v>(含)-</v>
      </c>
      <c r="E102" s="579" t="str">
        <f t="shared" si="23"/>
        <v>(含)-</v>
      </c>
      <c r="F102" s="579" t="str">
        <f t="shared" si="23"/>
        <v>(含)-</v>
      </c>
      <c r="G102" s="579" t="str">
        <f t="shared" si="23"/>
        <v>(含)-</v>
      </c>
      <c r="H102" s="579" t="str">
        <f t="shared" si="23"/>
        <v>(含)-</v>
      </c>
      <c r="I102" s="579" t="str">
        <f t="shared" si="23"/>
        <v>(含)-</v>
      </c>
      <c r="J102" s="579" t="str">
        <f t="shared" si="23"/>
        <v>(含)-</v>
      </c>
      <c r="K102" s="579" t="str">
        <f t="shared" si="23"/>
        <v>(含)-</v>
      </c>
      <c r="L102" s="579" t="str">
        <f t="shared" si="23"/>
        <v>(含)-</v>
      </c>
      <c r="M102" s="579" t="str">
        <f>M103&amp;"(含)"&amp;"-"&amp;P103</f>
        <v>(含)-</v>
      </c>
      <c r="N102" s="1843"/>
      <c r="O102" s="1843"/>
      <c r="P102" s="1853"/>
      <c r="Q102" s="1822"/>
    </row>
    <row r="103" spans="1:17" s="1772" customFormat="1">
      <c r="A103" s="1900"/>
      <c r="B103" s="1901"/>
      <c r="C103" s="1902"/>
      <c r="D103" s="1902"/>
      <c r="E103" s="1902"/>
      <c r="F103" s="1902"/>
      <c r="G103" s="1902"/>
      <c r="H103" s="1902"/>
      <c r="I103" s="1902"/>
      <c r="J103" s="485"/>
      <c r="K103" s="485"/>
      <c r="L103" s="485"/>
      <c r="M103" s="1903"/>
      <c r="N103" s="1872"/>
      <c r="O103" s="1872"/>
      <c r="P103" s="1873"/>
      <c r="Q103" s="1874"/>
    </row>
    <row r="104" spans="1:17" s="1772" customFormat="1" ht="15.75" thickBot="1">
      <c r="A104" s="1870"/>
      <c r="B104" s="1862"/>
      <c r="C104" s="1875"/>
      <c r="D104" s="1856"/>
      <c r="E104" s="1856"/>
      <c r="F104" s="1856"/>
      <c r="G104" s="1856"/>
      <c r="H104" s="1856"/>
      <c r="I104" s="1856"/>
      <c r="J104" s="1856"/>
      <c r="K104" s="1856"/>
      <c r="L104" s="1856"/>
      <c r="M104" s="1856"/>
      <c r="N104" s="1858"/>
      <c r="O104" s="1858"/>
      <c r="P104" s="1873"/>
      <c r="Q104" s="1874"/>
    </row>
    <row r="105" spans="1:17" ht="15" thickTop="1">
      <c r="A105" s="1904"/>
      <c r="B105" s="1859" t="s">
        <v>2325</v>
      </c>
      <c r="C105" s="468"/>
      <c r="D105" s="468"/>
      <c r="E105" s="1578"/>
      <c r="F105" s="1578"/>
      <c r="G105" s="1578"/>
      <c r="H105" s="1578"/>
      <c r="I105" s="1578"/>
      <c r="J105" s="1578"/>
      <c r="K105" s="473"/>
      <c r="L105" s="473"/>
      <c r="M105" s="1894"/>
      <c r="N105" s="1852"/>
      <c r="O105" s="1852"/>
      <c r="P105" s="1853"/>
      <c r="Q105" s="1822"/>
    </row>
    <row r="106" spans="1:17" ht="15.75" thickBot="1">
      <c r="A106" s="1854"/>
      <c r="B106" s="1862"/>
      <c r="C106" s="1863">
        <v>100</v>
      </c>
      <c r="D106" s="1863">
        <f t="shared" ref="D106:M106" si="24">C106-$K34</f>
        <v>100</v>
      </c>
      <c r="E106" s="1863">
        <f t="shared" si="24"/>
        <v>100</v>
      </c>
      <c r="F106" s="1863">
        <f t="shared" si="24"/>
        <v>100</v>
      </c>
      <c r="G106" s="1863">
        <f t="shared" si="24"/>
        <v>100</v>
      </c>
      <c r="H106" s="1863">
        <f t="shared" si="24"/>
        <v>100</v>
      </c>
      <c r="I106" s="1863">
        <f t="shared" si="24"/>
        <v>100</v>
      </c>
      <c r="J106" s="1863">
        <f t="shared" si="24"/>
        <v>100</v>
      </c>
      <c r="K106" s="1863">
        <f t="shared" si="24"/>
        <v>100</v>
      </c>
      <c r="L106" s="1863">
        <f t="shared" si="24"/>
        <v>100</v>
      </c>
      <c r="M106" s="1863">
        <f t="shared" si="24"/>
        <v>100</v>
      </c>
      <c r="N106" s="1858"/>
      <c r="O106" s="1858"/>
      <c r="P106" s="1853"/>
      <c r="Q106" s="1822"/>
    </row>
    <row r="107" spans="1:17" ht="15" thickTop="1">
      <c r="A107" s="1904"/>
      <c r="B107" s="1859" t="s">
        <v>2326</v>
      </c>
      <c r="C107" s="1578"/>
      <c r="D107" s="1578"/>
      <c r="E107" s="1578"/>
      <c r="F107" s="1578"/>
      <c r="G107" s="1578"/>
      <c r="H107" s="1578"/>
      <c r="I107" s="1578"/>
      <c r="J107" s="1578"/>
      <c r="K107" s="473"/>
      <c r="L107" s="473"/>
      <c r="M107" s="1894"/>
      <c r="N107" s="1852"/>
      <c r="O107" s="1852"/>
      <c r="P107" s="1853"/>
      <c r="Q107" s="1822"/>
    </row>
    <row r="108" spans="1:17" ht="15.75" thickBot="1">
      <c r="A108" s="1854"/>
      <c r="B108" s="1862"/>
      <c r="C108" s="1863">
        <v>100</v>
      </c>
      <c r="D108" s="1863">
        <f t="shared" ref="D108:M108" si="25">C108-$K35</f>
        <v>100</v>
      </c>
      <c r="E108" s="1863">
        <f t="shared" si="25"/>
        <v>100</v>
      </c>
      <c r="F108" s="1863">
        <f t="shared" si="25"/>
        <v>100</v>
      </c>
      <c r="G108" s="1863">
        <f t="shared" si="25"/>
        <v>100</v>
      </c>
      <c r="H108" s="1863">
        <f t="shared" si="25"/>
        <v>100</v>
      </c>
      <c r="I108" s="1863">
        <f t="shared" si="25"/>
        <v>100</v>
      </c>
      <c r="J108" s="1863">
        <f t="shared" si="25"/>
        <v>100</v>
      </c>
      <c r="K108" s="1863">
        <f t="shared" si="25"/>
        <v>100</v>
      </c>
      <c r="L108" s="1863">
        <f t="shared" si="25"/>
        <v>100</v>
      </c>
      <c r="M108" s="1863">
        <f t="shared" si="25"/>
        <v>100</v>
      </c>
      <c r="N108" s="1858"/>
      <c r="O108" s="1858"/>
      <c r="P108" s="1853"/>
      <c r="Q108" s="1822"/>
    </row>
    <row r="109" spans="1:17" ht="15" thickTop="1">
      <c r="A109" s="1904"/>
      <c r="B109" s="1859" t="s">
        <v>2327</v>
      </c>
      <c r="C109" s="468"/>
      <c r="D109" s="468"/>
      <c r="E109" s="468"/>
      <c r="F109" s="1578"/>
      <c r="G109" s="1578"/>
      <c r="H109" s="1578"/>
      <c r="I109" s="1578"/>
      <c r="J109" s="1578"/>
      <c r="K109" s="473"/>
      <c r="L109" s="473"/>
      <c r="M109" s="1894"/>
      <c r="N109" s="1852"/>
      <c r="O109" s="1852"/>
      <c r="P109" s="1853"/>
      <c r="Q109" s="1822"/>
    </row>
    <row r="110" spans="1:17" ht="15.75" thickBot="1">
      <c r="A110" s="1854"/>
      <c r="B110" s="1862"/>
      <c r="C110" s="1863">
        <v>100</v>
      </c>
      <c r="D110" s="1863">
        <f t="shared" ref="D110:M110" si="26">C110-$K36</f>
        <v>100</v>
      </c>
      <c r="E110" s="1863">
        <f t="shared" si="26"/>
        <v>100</v>
      </c>
      <c r="F110" s="1863">
        <f t="shared" si="26"/>
        <v>100</v>
      </c>
      <c r="G110" s="1863">
        <f t="shared" si="26"/>
        <v>100</v>
      </c>
      <c r="H110" s="1863">
        <f t="shared" si="26"/>
        <v>100</v>
      </c>
      <c r="I110" s="1863">
        <f t="shared" si="26"/>
        <v>100</v>
      </c>
      <c r="J110" s="1863">
        <f t="shared" si="26"/>
        <v>100</v>
      </c>
      <c r="K110" s="1863">
        <f t="shared" si="26"/>
        <v>100</v>
      </c>
      <c r="L110" s="1863">
        <f t="shared" si="26"/>
        <v>100</v>
      </c>
      <c r="M110" s="1863">
        <f t="shared" si="26"/>
        <v>100</v>
      </c>
      <c r="N110" s="1858"/>
      <c r="O110" s="1858"/>
      <c r="P110" s="1853"/>
      <c r="Q110" s="1822"/>
    </row>
    <row r="111" spans="1:17" s="1772" customFormat="1" ht="15" thickTop="1">
      <c r="A111" s="1900"/>
      <c r="B111" s="1859" t="s">
        <v>2328</v>
      </c>
      <c r="C111" s="579" t="str">
        <f>C112&amp;"(含)"&amp;"-"&amp;D112</f>
        <v>0.5(含)-0.6</v>
      </c>
      <c r="D111" s="579" t="str">
        <f>D112&amp;"(含)"&amp;"-"&amp;E112</f>
        <v>0.6(含)-0.7</v>
      </c>
      <c r="E111" s="579" t="str">
        <f>E112&amp;"(含)"&amp;"-"&amp;F112</f>
        <v>0.7(含)-0.8</v>
      </c>
      <c r="F111" s="579" t="str">
        <f>F112&amp;"(含)"&amp;"-"&amp;G112</f>
        <v>0.8(含)-0.9</v>
      </c>
      <c r="G111" s="579" t="str">
        <f>G112&amp;"(含)"&amp;"-"&amp;ROUND(H112,0)</f>
        <v>0.9(含)-1</v>
      </c>
      <c r="H111" s="579" t="str">
        <f>ROUND(H112,0)&amp;"(含)"&amp;"-"&amp;I112</f>
        <v>1(含)-</v>
      </c>
      <c r="I111" s="579"/>
      <c r="J111" s="489"/>
      <c r="K111" s="489"/>
      <c r="L111" s="489"/>
      <c r="M111" s="1905"/>
      <c r="N111" s="1872"/>
      <c r="O111" s="1872"/>
      <c r="P111" s="1873"/>
      <c r="Q111" s="1874"/>
    </row>
    <row r="112" spans="1:17" s="1772" customFormat="1">
      <c r="A112" s="1900"/>
      <c r="B112" s="1865"/>
      <c r="C112" s="1906">
        <v>0.5</v>
      </c>
      <c r="D112" s="1906">
        <v>0.6</v>
      </c>
      <c r="E112" s="1906">
        <v>0.7</v>
      </c>
      <c r="F112" s="1906">
        <v>0.8</v>
      </c>
      <c r="G112" s="1906">
        <v>0.9</v>
      </c>
      <c r="H112" s="1906">
        <v>1.0001</v>
      </c>
      <c r="I112" s="1906"/>
      <c r="J112" s="492"/>
      <c r="K112" s="492"/>
      <c r="L112" s="492"/>
      <c r="M112" s="1907"/>
      <c r="N112" s="1872"/>
      <c r="O112" s="1872"/>
      <c r="P112" s="1873"/>
      <c r="Q112" s="1874"/>
    </row>
    <row r="113" spans="1:17" s="1772" customFormat="1" ht="15.75" thickBot="1">
      <c r="A113" s="1870"/>
      <c r="B113" s="1862"/>
      <c r="C113" s="1892">
        <v>100</v>
      </c>
      <c r="D113" s="1863">
        <f>C113+$K37</f>
        <v>100</v>
      </c>
      <c r="E113" s="1863">
        <f>D113+$K37</f>
        <v>100</v>
      </c>
      <c r="F113" s="1863">
        <f>E113+$K37</f>
        <v>100</v>
      </c>
      <c r="G113" s="1863">
        <f>F113+$K37</f>
        <v>100</v>
      </c>
      <c r="H113" s="1863">
        <f>G113+$K37</f>
        <v>100</v>
      </c>
      <c r="I113" s="1892"/>
      <c r="J113" s="1908"/>
      <c r="K113" s="1908"/>
      <c r="L113" s="1908"/>
      <c r="M113" s="1909"/>
      <c r="N113" s="1872"/>
      <c r="O113" s="1872"/>
      <c r="P113" s="1873"/>
      <c r="Q113" s="1874"/>
    </row>
    <row r="114" spans="1:17" ht="15" thickTop="1">
      <c r="A114" s="1904"/>
      <c r="B114" s="1859" t="s">
        <v>2329</v>
      </c>
      <c r="C114" s="468"/>
      <c r="D114" s="468"/>
      <c r="E114" s="1578"/>
      <c r="F114" s="1578"/>
      <c r="G114" s="1578"/>
      <c r="H114" s="1578"/>
      <c r="I114" s="1578"/>
      <c r="J114" s="1578"/>
      <c r="K114" s="473"/>
      <c r="L114" s="473"/>
      <c r="M114" s="1894"/>
      <c r="N114" s="1852"/>
      <c r="O114" s="1852"/>
      <c r="P114" s="1853"/>
      <c r="Q114" s="1822"/>
    </row>
    <row r="115" spans="1:17" ht="15.75" thickBot="1">
      <c r="A115" s="1854"/>
      <c r="B115" s="1862"/>
      <c r="C115" s="1863">
        <v>100</v>
      </c>
      <c r="D115" s="1863">
        <f t="shared" ref="D115:M115" si="27">C115-$K38</f>
        <v>100</v>
      </c>
      <c r="E115" s="1863">
        <f t="shared" si="27"/>
        <v>100</v>
      </c>
      <c r="F115" s="1863">
        <f t="shared" si="27"/>
        <v>100</v>
      </c>
      <c r="G115" s="1863">
        <f t="shared" si="27"/>
        <v>100</v>
      </c>
      <c r="H115" s="1863">
        <f t="shared" si="27"/>
        <v>100</v>
      </c>
      <c r="I115" s="1863">
        <f t="shared" si="27"/>
        <v>100</v>
      </c>
      <c r="J115" s="1863">
        <f t="shared" si="27"/>
        <v>100</v>
      </c>
      <c r="K115" s="1863">
        <f t="shared" si="27"/>
        <v>100</v>
      </c>
      <c r="L115" s="1863">
        <f t="shared" si="27"/>
        <v>100</v>
      </c>
      <c r="M115" s="1863">
        <f t="shared" si="27"/>
        <v>100</v>
      </c>
      <c r="N115" s="1858"/>
      <c r="O115" s="1858"/>
      <c r="P115" s="1853"/>
      <c r="Q115" s="1822"/>
    </row>
    <row r="116" spans="1:17" ht="15" thickTop="1">
      <c r="A116" s="1904"/>
      <c r="B116" s="1859" t="s">
        <v>2330</v>
      </c>
      <c r="C116" s="468"/>
      <c r="D116" s="468"/>
      <c r="E116" s="468"/>
      <c r="F116" s="468"/>
      <c r="G116" s="468"/>
      <c r="H116" s="1578"/>
      <c r="I116" s="1578"/>
      <c r="J116" s="1578"/>
      <c r="K116" s="473"/>
      <c r="L116" s="473"/>
      <c r="M116" s="1894"/>
      <c r="N116" s="1852"/>
      <c r="O116" s="1852"/>
      <c r="P116" s="1853"/>
      <c r="Q116" s="1822"/>
    </row>
    <row r="117" spans="1:17" ht="15.75" thickBot="1">
      <c r="A117" s="1854"/>
      <c r="B117" s="1862"/>
      <c r="C117" s="1863">
        <v>100</v>
      </c>
      <c r="D117" s="1863">
        <f>C117-$K39</f>
        <v>100</v>
      </c>
      <c r="E117" s="1863">
        <f>D117-$K39</f>
        <v>100</v>
      </c>
      <c r="F117" s="1863">
        <f>E117-$K39</f>
        <v>100</v>
      </c>
      <c r="G117" s="1863">
        <f>F117-$K39</f>
        <v>100</v>
      </c>
      <c r="H117" s="1863"/>
      <c r="I117" s="1863"/>
      <c r="J117" s="1863"/>
      <c r="K117" s="1863"/>
      <c r="L117" s="1863"/>
      <c r="M117" s="1864"/>
      <c r="N117" s="1858"/>
      <c r="O117" s="1858"/>
      <c r="P117" s="1853"/>
      <c r="Q117" s="1822"/>
    </row>
    <row r="118" spans="1:17" ht="15" thickTop="1">
      <c r="A118" s="1904"/>
      <c r="B118" s="1859" t="s">
        <v>2331</v>
      </c>
      <c r="C118" s="1578"/>
      <c r="D118" s="1578"/>
      <c r="E118" s="1578"/>
      <c r="F118" s="1578"/>
      <c r="G118" s="1578"/>
      <c r="H118" s="1578"/>
      <c r="I118" s="1578"/>
      <c r="J118" s="1578"/>
      <c r="K118" s="473"/>
      <c r="L118" s="473"/>
      <c r="M118" s="1894"/>
      <c r="N118" s="1852"/>
      <c r="O118" s="1852"/>
      <c r="P118" s="1853"/>
      <c r="Q118" s="1822"/>
    </row>
    <row r="119" spans="1:17" ht="15.75" thickBot="1">
      <c r="A119" s="1854"/>
      <c r="B119" s="1862"/>
      <c r="C119" s="1863">
        <v>100</v>
      </c>
      <c r="D119" s="1863">
        <f t="shared" ref="D119:M119" si="28">C119-$K40</f>
        <v>100</v>
      </c>
      <c r="E119" s="1863">
        <f t="shared" si="28"/>
        <v>100</v>
      </c>
      <c r="F119" s="1863">
        <f t="shared" si="28"/>
        <v>100</v>
      </c>
      <c r="G119" s="1863">
        <f t="shared" si="28"/>
        <v>100</v>
      </c>
      <c r="H119" s="1863">
        <f t="shared" si="28"/>
        <v>100</v>
      </c>
      <c r="I119" s="1863">
        <f t="shared" si="28"/>
        <v>100</v>
      </c>
      <c r="J119" s="1863">
        <f t="shared" si="28"/>
        <v>100</v>
      </c>
      <c r="K119" s="1863">
        <f t="shared" si="28"/>
        <v>100</v>
      </c>
      <c r="L119" s="1863">
        <f t="shared" si="28"/>
        <v>100</v>
      </c>
      <c r="M119" s="1863">
        <f t="shared" si="28"/>
        <v>100</v>
      </c>
      <c r="N119" s="1858"/>
      <c r="O119" s="1858"/>
      <c r="P119" s="1853"/>
      <c r="Q119" s="1822"/>
    </row>
    <row r="120" spans="1:17" s="1772" customFormat="1" ht="28.5" thickTop="1">
      <c r="A120" s="1900"/>
      <c r="B120" s="1859" t="s">
        <v>2285</v>
      </c>
      <c r="C120" s="468"/>
      <c r="D120" s="468"/>
      <c r="E120" s="468"/>
      <c r="F120" s="468"/>
      <c r="G120" s="468"/>
      <c r="H120" s="468"/>
      <c r="I120" s="468"/>
      <c r="J120" s="468"/>
      <c r="K120" s="468"/>
      <c r="L120" s="468"/>
      <c r="M120" s="1891"/>
      <c r="N120" s="1872"/>
      <c r="O120" s="1872"/>
      <c r="P120" s="1873"/>
      <c r="Q120" s="1874"/>
    </row>
    <row r="121" spans="1:17" s="1772" customFormat="1" ht="15.75" thickBot="1">
      <c r="A121" s="1870"/>
      <c r="B121" s="1855"/>
      <c r="C121" s="1875"/>
      <c r="D121" s="1856"/>
      <c r="E121" s="1856"/>
      <c r="F121" s="1856"/>
      <c r="G121" s="1856"/>
      <c r="H121" s="1856"/>
      <c r="I121" s="1856"/>
      <c r="J121" s="1856"/>
      <c r="K121" s="1856"/>
      <c r="L121" s="1856"/>
      <c r="M121" s="1856"/>
      <c r="N121" s="1872"/>
      <c r="O121" s="1872"/>
      <c r="P121" s="1873"/>
      <c r="Q121" s="1874"/>
    </row>
    <row r="122" spans="1:17" ht="15" thickTop="1">
      <c r="A122" s="1904"/>
      <c r="B122" s="1859" t="s">
        <v>2332</v>
      </c>
      <c r="C122" s="468"/>
      <c r="D122" s="468"/>
      <c r="E122" s="468"/>
      <c r="F122" s="1578"/>
      <c r="G122" s="1578"/>
      <c r="H122" s="1578"/>
      <c r="I122" s="1578"/>
      <c r="J122" s="1578"/>
      <c r="K122" s="473"/>
      <c r="L122" s="473"/>
      <c r="M122" s="1894"/>
      <c r="N122" s="1852"/>
      <c r="O122" s="1852"/>
      <c r="P122" s="1853"/>
      <c r="Q122" s="1822"/>
    </row>
    <row r="123" spans="1:17" ht="15.75" thickBot="1">
      <c r="A123" s="1854"/>
      <c r="B123" s="1862"/>
      <c r="C123" s="1863">
        <v>100</v>
      </c>
      <c r="D123" s="1863">
        <f t="shared" ref="D123:M123" si="29">C123-$K42</f>
        <v>100</v>
      </c>
      <c r="E123" s="1863">
        <f t="shared" si="29"/>
        <v>100</v>
      </c>
      <c r="F123" s="1863">
        <f t="shared" si="29"/>
        <v>100</v>
      </c>
      <c r="G123" s="1863">
        <f t="shared" si="29"/>
        <v>100</v>
      </c>
      <c r="H123" s="1863">
        <f t="shared" si="29"/>
        <v>100</v>
      </c>
      <c r="I123" s="1863">
        <f t="shared" si="29"/>
        <v>100</v>
      </c>
      <c r="J123" s="1863">
        <f t="shared" si="29"/>
        <v>100</v>
      </c>
      <c r="K123" s="1863">
        <f t="shared" si="29"/>
        <v>100</v>
      </c>
      <c r="L123" s="1863">
        <f t="shared" si="29"/>
        <v>100</v>
      </c>
      <c r="M123" s="1863">
        <f t="shared" si="29"/>
        <v>100</v>
      </c>
      <c r="N123" s="1858"/>
      <c r="O123" s="1858"/>
      <c r="P123" s="1853"/>
      <c r="Q123" s="1822"/>
    </row>
    <row r="124" spans="1:17" ht="15" thickTop="1">
      <c r="A124" s="1904"/>
      <c r="B124" s="1859" t="s">
        <v>2333</v>
      </c>
      <c r="C124" s="579" t="s">
        <v>2308</v>
      </c>
      <c r="D124" s="579" t="s">
        <v>2309</v>
      </c>
      <c r="E124" s="579" t="s">
        <v>2310</v>
      </c>
      <c r="F124" s="579" t="s">
        <v>2311</v>
      </c>
      <c r="G124" s="579" t="s">
        <v>2312</v>
      </c>
      <c r="H124" s="1860"/>
      <c r="I124" s="1860"/>
      <c r="J124" s="1860"/>
      <c r="K124" s="428"/>
      <c r="L124" s="428"/>
      <c r="M124" s="1861"/>
      <c r="N124" s="1852"/>
      <c r="O124" s="1852"/>
      <c r="P124" s="1873"/>
      <c r="Q124" s="1822"/>
    </row>
    <row r="125" spans="1:17" ht="15.75" thickBot="1">
      <c r="A125" s="1854"/>
      <c r="B125" s="1862"/>
      <c r="C125" s="1863">
        <v>100</v>
      </c>
      <c r="D125" s="1863">
        <f>C125-$K43</f>
        <v>100</v>
      </c>
      <c r="E125" s="1863">
        <f>D125-$K43</f>
        <v>100</v>
      </c>
      <c r="F125" s="1863">
        <f>E125-$K43</f>
        <v>100</v>
      </c>
      <c r="G125" s="1863">
        <f>F125-$K43</f>
        <v>100</v>
      </c>
      <c r="H125" s="1863"/>
      <c r="I125" s="1863"/>
      <c r="J125" s="1863"/>
      <c r="K125" s="1863"/>
      <c r="L125" s="1863"/>
      <c r="M125" s="1864"/>
      <c r="N125" s="1858"/>
      <c r="O125" s="1858"/>
      <c r="P125" s="1853"/>
      <c r="Q125" s="1822"/>
    </row>
    <row r="126" spans="1:17" s="1772" customFormat="1" ht="15" thickTop="1">
      <c r="A126" s="1900"/>
      <c r="B126" s="1859">
        <f>B44</f>
        <v>111</v>
      </c>
      <c r="C126" s="468"/>
      <c r="D126" s="468"/>
      <c r="E126" s="468"/>
      <c r="F126" s="468"/>
      <c r="G126" s="468"/>
      <c r="H126" s="443"/>
      <c r="I126" s="443"/>
      <c r="J126" s="443"/>
      <c r="K126" s="443"/>
      <c r="L126" s="443"/>
      <c r="M126" s="1871"/>
      <c r="N126" s="1872"/>
      <c r="O126" s="1872"/>
      <c r="P126" s="1873"/>
      <c r="Q126" s="1874"/>
    </row>
    <row r="127" spans="1:17" s="1772" customFormat="1" ht="15.75" thickBot="1">
      <c r="A127" s="1870"/>
      <c r="B127" s="1862"/>
      <c r="C127" s="1875"/>
      <c r="D127" s="1856"/>
      <c r="E127" s="1856"/>
      <c r="F127" s="1856"/>
      <c r="G127" s="1875"/>
      <c r="H127" s="1878"/>
      <c r="I127" s="1878"/>
      <c r="J127" s="1878"/>
      <c r="K127" s="1878"/>
      <c r="L127" s="1878"/>
      <c r="M127" s="1879"/>
      <c r="N127" s="1872"/>
      <c r="O127" s="1872"/>
      <c r="P127" s="1873"/>
      <c r="Q127" s="1874"/>
    </row>
    <row r="128" spans="1:17" ht="15" thickTop="1">
      <c r="A128" s="1904"/>
      <c r="B128" s="1859">
        <f>B45</f>
        <v>111</v>
      </c>
      <c r="C128" s="468"/>
      <c r="D128" s="468"/>
      <c r="E128" s="468"/>
      <c r="F128" s="468"/>
      <c r="G128" s="1578"/>
      <c r="H128" s="1578"/>
      <c r="I128" s="1578"/>
      <c r="J128" s="1578"/>
      <c r="K128" s="473"/>
      <c r="L128" s="473"/>
      <c r="M128" s="1894"/>
      <c r="N128" s="1852"/>
      <c r="O128" s="1852"/>
      <c r="P128" s="1853"/>
      <c r="Q128" s="1822"/>
    </row>
    <row r="129" spans="1:17" ht="15.75" thickBot="1">
      <c r="A129" s="1854"/>
      <c r="B129" s="1862"/>
      <c r="C129" s="1875"/>
      <c r="D129" s="1875"/>
      <c r="E129" s="1875"/>
      <c r="F129" s="1875"/>
      <c r="G129" s="1856"/>
      <c r="H129" s="1856"/>
      <c r="I129" s="1856"/>
      <c r="J129" s="1856"/>
      <c r="K129" s="1856"/>
      <c r="L129" s="1856"/>
      <c r="M129" s="1857"/>
      <c r="N129" s="1858"/>
      <c r="O129" s="1858"/>
      <c r="P129" s="1853"/>
      <c r="Q129" s="1822"/>
    </row>
    <row r="130" spans="1:17" ht="15" thickTop="1">
      <c r="A130" s="1904"/>
      <c r="B130" s="1865">
        <f>B46</f>
        <v>111</v>
      </c>
      <c r="C130" s="468"/>
      <c r="D130" s="468"/>
      <c r="E130" s="468"/>
      <c r="F130" s="468"/>
      <c r="G130" s="1895"/>
      <c r="H130" s="1895"/>
      <c r="I130" s="1895"/>
      <c r="J130" s="1895"/>
      <c r="K130" s="409"/>
      <c r="L130" s="409"/>
      <c r="M130" s="1896"/>
      <c r="N130" s="1852"/>
      <c r="O130" s="1852"/>
      <c r="P130" s="1853"/>
      <c r="Q130" s="1822"/>
    </row>
    <row r="131" spans="1:17" ht="15.75" thickBot="1">
      <c r="A131" s="1897"/>
      <c r="B131" s="1882"/>
      <c r="C131" s="1883"/>
      <c r="D131" s="1883"/>
      <c r="E131" s="1883"/>
      <c r="F131" s="1883"/>
      <c r="G131" s="1898"/>
      <c r="H131" s="1898"/>
      <c r="I131" s="1898"/>
      <c r="J131" s="1898"/>
      <c r="K131" s="1898"/>
      <c r="L131" s="1898"/>
      <c r="M131" s="1899"/>
      <c r="N131" s="1858"/>
      <c r="O131" s="1858"/>
      <c r="P131" s="1853"/>
      <c r="Q131" s="1822"/>
    </row>
    <row r="136" spans="1:17" ht="15" thickBot="1">
      <c r="B136" s="1573" t="s">
        <v>2334</v>
      </c>
    </row>
    <row r="137" spans="1:17" ht="15">
      <c r="B137" s="1912" t="s">
        <v>2335</v>
      </c>
      <c r="C137" s="1913"/>
      <c r="D137" s="1913"/>
      <c r="E137" s="1913"/>
      <c r="F137" s="1913"/>
      <c r="G137" s="1914"/>
      <c r="H137" s="1915"/>
      <c r="I137" s="1916" t="s">
        <v>2336</v>
      </c>
      <c r="J137" s="1913"/>
      <c r="K137" s="1917"/>
    </row>
    <row r="138" spans="1:17" ht="15">
      <c r="B138" s="1918"/>
      <c r="C138" s="1919" t="s">
        <v>2337</v>
      </c>
      <c r="D138" s="1919" t="s">
        <v>2338</v>
      </c>
      <c r="E138" s="1920" t="s">
        <v>2339</v>
      </c>
      <c r="F138" s="1921" t="s">
        <v>2340</v>
      </c>
      <c r="G138" s="1919" t="s">
        <v>2338</v>
      </c>
      <c r="H138" s="1922" t="s">
        <v>2339</v>
      </c>
      <c r="I138" s="1923"/>
      <c r="J138" s="1919" t="s">
        <v>2341</v>
      </c>
      <c r="K138" s="1922" t="s">
        <v>2342</v>
      </c>
    </row>
    <row r="139" spans="1:17" ht="15">
      <c r="B139" s="1924">
        <v>6</v>
      </c>
      <c r="C139" s="1925">
        <v>96</v>
      </c>
      <c r="D139" s="1926" t="s">
        <v>2343</v>
      </c>
      <c r="E139" s="1927">
        <v>100</v>
      </c>
      <c r="F139" s="1928">
        <v>102.5</v>
      </c>
      <c r="G139" s="1926" t="s">
        <v>2343</v>
      </c>
      <c r="H139" s="1929">
        <v>105</v>
      </c>
      <c r="I139" s="1930" t="s">
        <v>2344</v>
      </c>
      <c r="J139" s="1925">
        <v>20</v>
      </c>
      <c r="K139" s="1931">
        <f>C145/(J139-2)</f>
        <v>4.0555555555555553E-3</v>
      </c>
    </row>
    <row r="140" spans="1:17" ht="15">
      <c r="B140" s="1932">
        <v>5</v>
      </c>
      <c r="C140" s="1933">
        <v>100</v>
      </c>
      <c r="D140" s="1933"/>
      <c r="E140" s="1934"/>
      <c r="F140" s="1935">
        <v>102</v>
      </c>
      <c r="G140" s="1933"/>
      <c r="H140" s="1936"/>
      <c r="I140" s="1937" t="s">
        <v>2345</v>
      </c>
      <c r="J140" s="1938">
        <f>ROUNDUP((J139-1)/2,0)</f>
        <v>10</v>
      </c>
      <c r="K140" s="1939">
        <v>100</v>
      </c>
    </row>
    <row r="141" spans="1:17" ht="15">
      <c r="B141" s="1932">
        <v>4</v>
      </c>
      <c r="C141" s="1933">
        <v>102</v>
      </c>
      <c r="D141" s="1933"/>
      <c r="E141" s="1934"/>
      <c r="F141" s="1935">
        <v>101.5</v>
      </c>
      <c r="G141" s="1933"/>
      <c r="H141" s="1936"/>
      <c r="I141" s="1937" t="s">
        <v>2346</v>
      </c>
      <c r="J141" s="1938">
        <v>1</v>
      </c>
      <c r="K141" s="1940">
        <f>ROUND(100+(J141-J140)*K139*100,1)</f>
        <v>96.4</v>
      </c>
    </row>
    <row r="142" spans="1:17" ht="15">
      <c r="B142" s="1932">
        <v>3</v>
      </c>
      <c r="C142" s="1933">
        <v>103</v>
      </c>
      <c r="D142" s="1933"/>
      <c r="E142" s="1934"/>
      <c r="F142" s="1935">
        <v>101</v>
      </c>
      <c r="G142" s="1933"/>
      <c r="H142" s="1936"/>
      <c r="I142" s="1937" t="s">
        <v>2347</v>
      </c>
      <c r="J142" s="1938">
        <f>J139</f>
        <v>20</v>
      </c>
      <c r="K142" s="1941">
        <v>95</v>
      </c>
    </row>
    <row r="143" spans="1:17" ht="15">
      <c r="B143" s="1932">
        <v>2</v>
      </c>
      <c r="C143" s="1933">
        <v>100</v>
      </c>
      <c r="D143" s="1933"/>
      <c r="E143" s="1934"/>
      <c r="F143" s="1935">
        <v>100.5</v>
      </c>
      <c r="G143" s="1933"/>
      <c r="H143" s="1936"/>
      <c r="I143" s="1937" t="s">
        <v>2348</v>
      </c>
      <c r="J143" s="1933">
        <v>15</v>
      </c>
      <c r="K143" s="1940">
        <f>ROUND(100+(J143-J140)*K139*100,1)</f>
        <v>102</v>
      </c>
    </row>
    <row r="144" spans="1:17" ht="15">
      <c r="B144" s="1932">
        <v>1</v>
      </c>
      <c r="C144" s="1933">
        <v>98</v>
      </c>
      <c r="D144" s="1420" t="s">
        <v>2349</v>
      </c>
      <c r="E144" s="1934">
        <v>102</v>
      </c>
      <c r="F144" s="1942">
        <v>100</v>
      </c>
      <c r="G144" s="1420" t="s">
        <v>2349</v>
      </c>
      <c r="H144" s="1936">
        <v>105</v>
      </c>
      <c r="I144" s="1937" t="s">
        <v>2348</v>
      </c>
      <c r="J144" s="1933">
        <v>18</v>
      </c>
      <c r="K144" s="1940">
        <f>ROUND(100+(J144-J140)*K139*100,1)</f>
        <v>103.2</v>
      </c>
    </row>
    <row r="145" spans="2:11" ht="15.75" thickBot="1">
      <c r="B145" s="1943" t="s">
        <v>2350</v>
      </c>
      <c r="C145" s="1944">
        <f>ROUND(MAX(C139:C144)/MIN(C139:C144)-1,3)</f>
        <v>7.2999999999999995E-2</v>
      </c>
      <c r="D145" s="1945"/>
      <c r="E145" s="1945"/>
      <c r="F145" s="1574" t="s">
        <v>2351</v>
      </c>
      <c r="G145" s="1946"/>
      <c r="H145" s="1947"/>
      <c r="I145" s="1948" t="s">
        <v>2348</v>
      </c>
      <c r="J145" s="1949">
        <v>8</v>
      </c>
      <c r="K145" s="1950">
        <f>ROUND(100+(J145-J140)*K139*100,1)</f>
        <v>99.2</v>
      </c>
    </row>
    <row r="147" spans="2:11">
      <c r="B147" s="1573" t="s">
        <v>2352</v>
      </c>
    </row>
    <row r="148" spans="2:11">
      <c r="B148" s="1573" t="s">
        <v>2353</v>
      </c>
    </row>
  </sheetData>
  <sheetProtection password="CEE9" sheet="1" objects="1" scenarios="1" formatCells="0" formatColumns="0" formatRows="0"/>
  <mergeCells count="40">
    <mergeCell ref="AC4:AC6"/>
    <mergeCell ref="C4:D4"/>
    <mergeCell ref="E4:F4"/>
    <mergeCell ref="G4:H4"/>
    <mergeCell ref="I4:J4"/>
    <mergeCell ref="P4:Q6"/>
    <mergeCell ref="T4:U6"/>
    <mergeCell ref="V4:W6"/>
    <mergeCell ref="AA4:AA6"/>
    <mergeCell ref="AB4:AB6"/>
    <mergeCell ref="R4:S6"/>
    <mergeCell ref="E5:F5"/>
    <mergeCell ref="C5:D5"/>
    <mergeCell ref="C6:D6"/>
    <mergeCell ref="I5:J5"/>
    <mergeCell ref="E6:F6"/>
    <mergeCell ref="Y15:Y31"/>
    <mergeCell ref="P32:P46"/>
    <mergeCell ref="Y32:Y46"/>
    <mergeCell ref="I6:J6"/>
    <mergeCell ref="G5:H5"/>
    <mergeCell ref="P8:Q8"/>
    <mergeCell ref="Y8:Z8"/>
    <mergeCell ref="Y4:Z6"/>
    <mergeCell ref="P7:Q7"/>
    <mergeCell ref="P9:P14"/>
    <mergeCell ref="Y9:Y14"/>
    <mergeCell ref="Y7:Z7"/>
    <mergeCell ref="G6:H6"/>
    <mergeCell ref="P47:Q47"/>
    <mergeCell ref="R47:S47"/>
    <mergeCell ref="T47:U47"/>
    <mergeCell ref="V47:W47"/>
    <mergeCell ref="P15:P31"/>
    <mergeCell ref="T48:U48"/>
    <mergeCell ref="V48:W48"/>
    <mergeCell ref="P49:Q49"/>
    <mergeCell ref="R49:W49"/>
    <mergeCell ref="P48:Q48"/>
    <mergeCell ref="R48:S48"/>
  </mergeCells>
  <phoneticPr fontId="20" type="noConversion"/>
  <conditionalFormatting sqref="F52 H52 J52">
    <cfRule type="containsText" dxfId="154" priority="20" stopIfTrue="1" operator="containsText" text="超过">
      <formula>NOT(ISERROR(SEARCH("超过",F52)))</formula>
    </cfRule>
  </conditionalFormatting>
  <conditionalFormatting sqref="J54">
    <cfRule type="containsText" dxfId="153" priority="19" stopIfTrue="1" operator="containsText" text="超过">
      <formula>NOT(ISERROR(SEARCH("超过",J54)))</formula>
    </cfRule>
  </conditionalFormatting>
  <conditionalFormatting sqref="H54">
    <cfRule type="containsText" dxfId="152" priority="18" stopIfTrue="1" operator="containsText" text="超过">
      <formula>NOT(ISERROR(SEARCH("超过",H54)))</formula>
    </cfRule>
  </conditionalFormatting>
  <conditionalFormatting sqref="F54">
    <cfRule type="containsText" dxfId="151" priority="17" stopIfTrue="1" operator="containsText" text="超过">
      <formula>NOT(ISERROR(SEARCH("超过",F54)))</formula>
    </cfRule>
  </conditionalFormatting>
  <conditionalFormatting sqref="F53 H53 J53">
    <cfRule type="containsText" dxfId="150" priority="16" stopIfTrue="1" operator="containsText" text="超过">
      <formula>NOT(ISERROR(SEARCH("超过",F53)))</formula>
    </cfRule>
  </conditionalFormatting>
  <conditionalFormatting sqref="E52">
    <cfRule type="expression" dxfId="149" priority="15" stopIfTrue="1">
      <formula>$F$52="超过30%"</formula>
    </cfRule>
  </conditionalFormatting>
  <conditionalFormatting sqref="G54">
    <cfRule type="expression" dxfId="148" priority="13" stopIfTrue="1">
      <formula>$H$54="超过30%"</formula>
    </cfRule>
  </conditionalFormatting>
  <conditionalFormatting sqref="E53">
    <cfRule type="expression" dxfId="147" priority="12" stopIfTrue="1">
      <formula>$F$53="超过20%"</formula>
    </cfRule>
  </conditionalFormatting>
  <conditionalFormatting sqref="E54">
    <cfRule type="expression" dxfId="146" priority="11" stopIfTrue="1">
      <formula>$F$54="超过30%"</formula>
    </cfRule>
  </conditionalFormatting>
  <conditionalFormatting sqref="G52">
    <cfRule type="expression" dxfId="145" priority="10" stopIfTrue="1">
      <formula>$H$52="超过30%"</formula>
    </cfRule>
  </conditionalFormatting>
  <conditionalFormatting sqref="G53">
    <cfRule type="expression" dxfId="144" priority="9" stopIfTrue="1">
      <formula>$H$53="超过20%"</formula>
    </cfRule>
  </conditionalFormatting>
  <conditionalFormatting sqref="I52">
    <cfRule type="expression" dxfId="143" priority="8" stopIfTrue="1">
      <formula>$J$52="超过30%"</formula>
    </cfRule>
  </conditionalFormatting>
  <conditionalFormatting sqref="I53">
    <cfRule type="expression" dxfId="142" priority="7" stopIfTrue="1">
      <formula>$J$53="超过20%"</formula>
    </cfRule>
  </conditionalFormatting>
  <conditionalFormatting sqref="I54">
    <cfRule type="expression" dxfId="141" priority="6" stopIfTrue="1">
      <formula>$J$54="超过30%"</formula>
    </cfRule>
  </conditionalFormatting>
  <conditionalFormatting sqref="F48">
    <cfRule type="expression" dxfId="140" priority="4">
      <formula>$D$48="简单平均"</formula>
    </cfRule>
  </conditionalFormatting>
  <conditionalFormatting sqref="H48">
    <cfRule type="expression" dxfId="139" priority="3">
      <formula>$D$48="简单平均"</formula>
    </cfRule>
  </conditionalFormatting>
  <conditionalFormatting sqref="J48">
    <cfRule type="expression" dxfId="138" priority="2">
      <formula>$D$48="简单平均"</formula>
    </cfRule>
  </conditionalFormatting>
  <conditionalFormatting sqref="F7:F46 H7:H46 J7:J46">
    <cfRule type="cellIs" dxfId="137" priority="1" operator="notEqual">
      <formula>100</formula>
    </cfRule>
  </conditionalFormatting>
  <dataValidations count="24">
    <dataValidation type="list" allowBlank="1" showInputMessage="1" showErrorMessage="1" sqref="E24 G24 I24 C24">
      <formula1>环境</formula1>
    </dataValidation>
    <dataValidation type="list" allowBlank="1" showInputMessage="1" showErrorMessage="1" sqref="E16 G16 I16 C16">
      <formula1>居住社区成熟度</formula1>
    </dataValidation>
    <dataValidation type="list" allowBlank="1" showInputMessage="1" showErrorMessage="1" sqref="E18 G18 I18 C18">
      <formula1>交通便捷度</formula1>
    </dataValidation>
    <dataValidation type="list" allowBlank="1" showInputMessage="1" showErrorMessage="1" sqref="C20 G20 I20 E20">
      <formula1>公共配套设施</formula1>
    </dataValidation>
    <dataValidation type="list" allowBlank="1" showInputMessage="1" showErrorMessage="1" sqref="E25 G25 I25 C25">
      <formula1>住宅楼层</formula1>
    </dataValidation>
    <dataValidation type="list" allowBlank="1" showInputMessage="1" showErrorMessage="1" sqref="E26 G26 I26 C26">
      <formula1>住宅朝向</formula1>
    </dataValidation>
    <dataValidation type="list" allowBlank="1" showInputMessage="1" showErrorMessage="1" sqref="E32 G32 I32 C32">
      <formula1>住宅建筑类型</formula1>
    </dataValidation>
    <dataValidation type="list" allowBlank="1" showInputMessage="1" showErrorMessage="1" sqref="E34 G34 I34 C34">
      <formula1>住宅建筑结构</formula1>
    </dataValidation>
    <dataValidation type="list" allowBlank="1" showInputMessage="1" showErrorMessage="1" sqref="E35 G35 I35 C35">
      <formula1>住宅建筑品质</formula1>
    </dataValidation>
    <dataValidation type="list" allowBlank="1" showInputMessage="1" showErrorMessage="1" sqref="E36 G36 I36 C36">
      <formula1>住宅公共部分装修</formula1>
    </dataValidation>
    <dataValidation type="list" allowBlank="1" showInputMessage="1" showErrorMessage="1" sqref="E38 G38 I38 C38">
      <formula1>住宅物业管理</formula1>
    </dataValidation>
    <dataValidation type="list" allowBlank="1" showInputMessage="1" showErrorMessage="1" sqref="E39 G39 I39 C39">
      <formula1>住宅基础设施水平</formula1>
    </dataValidation>
    <dataValidation type="list" allowBlank="1" showInputMessage="1" showErrorMessage="1" sqref="E40 G40 I40 C40">
      <formula1>住宅房型</formula1>
    </dataValidation>
    <dataValidation type="list" allowBlank="1" showInputMessage="1" showErrorMessage="1" sqref="E42 G42 I42 C42">
      <formula1>住宅内部装修</formula1>
    </dataValidation>
    <dataValidation type="list" allowBlank="1" showInputMessage="1" showErrorMessage="1" sqref="E43 G43 I43 C43">
      <formula1>内部装修维护情况</formula1>
    </dataValidation>
    <dataValidation type="list" allowBlank="1" showInputMessage="1" showErrorMessage="1" sqref="E8 G8 I8 C8">
      <formula1>住宅交易情况</formula1>
    </dataValidation>
    <dataValidation type="list" allowBlank="1" showInputMessage="1" showErrorMessage="1" sqref="C10 E10 G10 I10">
      <formula1>土地年限区间</formula1>
    </dataValidation>
    <dataValidation type="list" allowBlank="1" showInputMessage="1" showErrorMessage="1" sqref="E9 G9 I9">
      <formula1>住宅用途</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92D050"/>
    <pageSetUpPr fitToPage="1"/>
  </sheetPr>
  <dimension ref="A1:AC131"/>
  <sheetViews>
    <sheetView view="pageBreakPreview" zoomScale="60" zoomScaleNormal="70" workbookViewId="0">
      <selection activeCell="L23" sqref="L23"/>
    </sheetView>
  </sheetViews>
  <sheetFormatPr defaultColWidth="9" defaultRowHeight="14.25"/>
  <cols>
    <col min="1" max="1" width="10.5" style="1667" customWidth="1"/>
    <col min="2" max="2" width="15.75" style="1667" customWidth="1"/>
    <col min="3" max="3" width="14.375" style="1667" customWidth="1"/>
    <col min="4" max="4" width="12.25" style="1667" customWidth="1"/>
    <col min="5" max="5" width="14.375" style="1667" customWidth="1"/>
    <col min="6" max="6" width="12.25" style="1667" customWidth="1"/>
    <col min="7" max="7" width="14.5" style="1667" customWidth="1"/>
    <col min="8" max="8" width="12.25" style="1667" customWidth="1"/>
    <col min="9" max="9" width="14.5" style="1667" customWidth="1"/>
    <col min="10" max="10" width="12.25" style="1667" customWidth="1"/>
    <col min="11" max="11" width="12.25" style="1910" customWidth="1"/>
    <col min="12" max="12" width="12.25" style="1911" customWidth="1"/>
    <col min="13" max="15" width="12.25" style="1667" customWidth="1"/>
    <col min="16" max="16" width="4.75" style="1807" customWidth="1"/>
    <col min="17" max="17" width="19.5" style="1667" customWidth="1"/>
    <col min="18" max="22" width="6.125" style="1667" customWidth="1"/>
    <col min="23" max="23" width="5.75" style="1667" customWidth="1"/>
    <col min="24" max="24" width="4.25" style="1667" customWidth="1"/>
    <col min="25" max="25" width="3.5" style="1667" customWidth="1"/>
    <col min="26" max="26" width="19.75" style="1667" customWidth="1"/>
    <col min="27" max="28" width="9.375" style="1667" customWidth="1"/>
    <col min="29" max="16384" width="9" style="1667"/>
  </cols>
  <sheetData>
    <row r="1" spans="1:29" s="1648" customFormat="1" ht="28.5" customHeight="1" thickBot="1">
      <c r="A1" s="1637" t="s">
        <v>2241</v>
      </c>
      <c r="B1" s="1638" t="s">
        <v>2354</v>
      </c>
      <c r="C1" s="1639"/>
      <c r="D1" s="2470"/>
      <c r="E1" s="1641"/>
      <c r="F1" s="1642" t="s">
        <v>2243</v>
      </c>
      <c r="G1" s="1638"/>
      <c r="H1" s="1638"/>
      <c r="I1" s="1638"/>
      <c r="J1" s="1638"/>
      <c r="K1" s="1643"/>
      <c r="L1" s="1644"/>
      <c r="M1" s="1638"/>
      <c r="N1" s="1638"/>
      <c r="O1" s="1638"/>
      <c r="P1" s="1645"/>
      <c r="Q1" s="1646"/>
      <c r="R1" s="1646"/>
      <c r="S1" s="1646"/>
      <c r="T1" s="1646"/>
      <c r="U1" s="1646"/>
      <c r="V1" s="1646"/>
      <c r="W1" s="1646"/>
      <c r="X1" s="1646"/>
      <c r="Y1" s="1646"/>
      <c r="Z1" s="1646"/>
      <c r="AA1" s="1646"/>
      <c r="AB1" s="1646"/>
      <c r="AC1" s="1647"/>
    </row>
    <row r="2" spans="1:29" s="1960" customFormat="1" ht="28.5" customHeight="1" thickTop="1">
      <c r="A2" s="1649" t="s">
        <v>1914</v>
      </c>
      <c r="B2" s="1650" t="e">
        <f ca="1">IF(D2="——",IF(C2="元",ROUND(C49*D3,0),ROUND(C49*D3/10000,0)),IF(C2="元",ROUND(C49*D3,0),ROUND(C49*D3/10000,0))-E2)</f>
        <v>#DIV/0!</v>
      </c>
      <c r="C2" s="1651" t="str">
        <f>'数据-取费表'!B3</f>
        <v>万元</v>
      </c>
      <c r="D2" s="1652"/>
      <c r="E2" s="2471" t="e">
        <f ca="1">SUMIF(INDIRECT("'"&amp;G2&amp;"'"&amp;"!A:A"),"承租人权益价值",INDIRECT("'"&amp;G2&amp;"'"&amp;"!c:c"))</f>
        <v>#REF!</v>
      </c>
      <c r="F2" s="1654" t="str">
        <f>C2</f>
        <v>万元</v>
      </c>
      <c r="G2" s="1655"/>
      <c r="H2" s="3009"/>
      <c r="I2" s="3009"/>
      <c r="J2" s="3009"/>
      <c r="K2" s="3009"/>
      <c r="L2" s="3011"/>
      <c r="M2" s="3009"/>
      <c r="N2" s="3009"/>
      <c r="O2" s="3009"/>
      <c r="P2" s="2472"/>
      <c r="Q2" s="1957"/>
      <c r="R2" s="1957"/>
      <c r="S2" s="1957"/>
      <c r="T2" s="1957"/>
      <c r="U2" s="1957"/>
      <c r="V2" s="1957"/>
      <c r="W2" s="1957"/>
      <c r="X2" s="1957"/>
      <c r="Y2" s="1957"/>
      <c r="Z2" s="1957"/>
      <c r="AA2" s="1957"/>
      <c r="AB2" s="1957"/>
      <c r="AC2" s="1958"/>
    </row>
    <row r="3" spans="1:29" s="1960" customFormat="1" ht="28.5" customHeight="1" thickBot="1">
      <c r="A3" s="1659" t="s">
        <v>1915</v>
      </c>
      <c r="B3" s="1963" t="e">
        <f ca="1">ROUND(IF(D2="——",C49,IF(C2="万元",B2*10000/D3,B2/D3)),0)</f>
        <v>#DIV/0!</v>
      </c>
      <c r="C3" s="1660" t="s">
        <v>2244</v>
      </c>
      <c r="D3" s="1660">
        <f>IF(C1="仅计算典型户型",'数据-取费表'!E5,'数据-取费表'!B5)</f>
        <v>841.27</v>
      </c>
      <c r="F3" s="3008"/>
      <c r="G3" s="3009"/>
      <c r="H3" s="3009"/>
      <c r="I3" s="3009"/>
      <c r="J3" s="3009"/>
      <c r="K3" s="3010"/>
      <c r="L3" s="3011"/>
      <c r="M3" s="3009"/>
      <c r="N3" s="3009"/>
      <c r="O3" s="3009"/>
      <c r="P3" s="2472"/>
      <c r="Q3" s="1957"/>
      <c r="R3" s="1957"/>
      <c r="S3" s="1957"/>
      <c r="T3" s="1957"/>
      <c r="U3" s="1957"/>
      <c r="V3" s="1957"/>
      <c r="W3" s="1957"/>
      <c r="X3" s="1957"/>
      <c r="Y3" s="1957"/>
      <c r="Z3" s="1957"/>
      <c r="AA3" s="1957"/>
      <c r="AB3" s="1957"/>
      <c r="AC3" s="1965"/>
    </row>
    <row r="4" spans="1:29" ht="15">
      <c r="A4" s="1663" t="s">
        <v>2245</v>
      </c>
      <c r="B4" s="1664"/>
      <c r="C4" s="3474" t="s">
        <v>2246</v>
      </c>
      <c r="D4" s="3475"/>
      <c r="E4" s="3476" t="s">
        <v>2247</v>
      </c>
      <c r="F4" s="3477"/>
      <c r="G4" s="3474" t="s">
        <v>2248</v>
      </c>
      <c r="H4" s="3475"/>
      <c r="I4" s="3474" t="s">
        <v>2249</v>
      </c>
      <c r="J4" s="3475"/>
      <c r="K4" s="1966" t="s">
        <v>2250</v>
      </c>
      <c r="L4" s="2994"/>
      <c r="M4" s="2995"/>
      <c r="N4" s="2995"/>
      <c r="O4" s="2995"/>
      <c r="P4" s="3478" t="s">
        <v>2251</v>
      </c>
      <c r="Q4" s="3479"/>
      <c r="R4" s="3463" t="s">
        <v>2247</v>
      </c>
      <c r="S4" s="3464"/>
      <c r="T4" s="3463" t="s">
        <v>2248</v>
      </c>
      <c r="U4" s="3464"/>
      <c r="V4" s="3484" t="s">
        <v>2249</v>
      </c>
      <c r="W4" s="3484"/>
      <c r="X4" s="2075"/>
      <c r="Y4" s="3463" t="s">
        <v>2251</v>
      </c>
      <c r="Z4" s="3464"/>
      <c r="AA4" s="3471" t="s">
        <v>2247</v>
      </c>
      <c r="AB4" s="3484" t="s">
        <v>2248</v>
      </c>
      <c r="AC4" s="3471" t="s">
        <v>2249</v>
      </c>
    </row>
    <row r="5" spans="1:29" ht="15">
      <c r="A5" s="1668"/>
      <c r="B5" s="1669"/>
      <c r="C5" s="3459" t="s">
        <v>2252</v>
      </c>
      <c r="D5" s="3460"/>
      <c r="E5" s="3485" t="s">
        <v>2253</v>
      </c>
      <c r="F5" s="3486"/>
      <c r="G5" s="3459" t="s">
        <v>2254</v>
      </c>
      <c r="H5" s="3460"/>
      <c r="I5" s="3459" t="s">
        <v>2255</v>
      </c>
      <c r="J5" s="3460"/>
      <c r="K5" s="1966"/>
      <c r="L5" s="2994"/>
      <c r="M5" s="2995"/>
      <c r="N5" s="2995"/>
      <c r="O5" s="2995"/>
      <c r="P5" s="3480"/>
      <c r="Q5" s="3481"/>
      <c r="R5" s="3465"/>
      <c r="S5" s="3466"/>
      <c r="T5" s="3465"/>
      <c r="U5" s="3466"/>
      <c r="V5" s="3484"/>
      <c r="W5" s="3484"/>
      <c r="X5" s="2075"/>
      <c r="Y5" s="3465"/>
      <c r="Z5" s="3466"/>
      <c r="AA5" s="3472"/>
      <c r="AB5" s="3484"/>
      <c r="AC5" s="3472"/>
    </row>
    <row r="6" spans="1:29" ht="15.75" thickBot="1">
      <c r="A6" s="1671"/>
      <c r="B6" s="1672"/>
      <c r="C6" s="3457" t="s">
        <v>2256</v>
      </c>
      <c r="D6" s="3458"/>
      <c r="E6" s="3487" t="s">
        <v>2256</v>
      </c>
      <c r="F6" s="3488"/>
      <c r="G6" s="3457" t="s">
        <v>2256</v>
      </c>
      <c r="H6" s="3458"/>
      <c r="I6" s="3457" t="s">
        <v>2256</v>
      </c>
      <c r="J6" s="3458"/>
      <c r="K6" s="1966" t="s">
        <v>2257</v>
      </c>
      <c r="L6" s="2994"/>
      <c r="M6" s="2995"/>
      <c r="N6" s="2995"/>
      <c r="O6" s="2995"/>
      <c r="P6" s="3482"/>
      <c r="Q6" s="3483"/>
      <c r="R6" s="3465"/>
      <c r="S6" s="3466"/>
      <c r="T6" s="3467"/>
      <c r="U6" s="3468"/>
      <c r="V6" s="3484"/>
      <c r="W6" s="3484"/>
      <c r="X6" s="2075"/>
      <c r="Y6" s="3467"/>
      <c r="Z6" s="3468"/>
      <c r="AA6" s="3473"/>
      <c r="AB6" s="3484"/>
      <c r="AC6" s="3473"/>
    </row>
    <row r="7" spans="1:29" s="1685" customFormat="1" ht="15.75" thickBot="1">
      <c r="A7" s="1673" t="s">
        <v>2258</v>
      </c>
      <c r="B7" s="1674"/>
      <c r="C7" s="1675">
        <f>'数据-取费表'!B2</f>
        <v>44334</v>
      </c>
      <c r="D7" s="1676">
        <v>100</v>
      </c>
      <c r="E7" s="1677"/>
      <c r="F7" s="1678">
        <f>SUMIF(58:58,YEAR(E7)&amp;"-"&amp;MONTH(E7),59:59)</f>
        <v>0</v>
      </c>
      <c r="G7" s="1677"/>
      <c r="H7" s="1676">
        <f>SUMIF(58:58,YEAR(G7)&amp;"-"&amp;MONTH(G7),59:59)</f>
        <v>0</v>
      </c>
      <c r="I7" s="1677"/>
      <c r="J7" s="1676">
        <f>SUMIF(58:58,YEAR(I7)&amp;"-"&amp;MONTH(I7),59:59)</f>
        <v>0</v>
      </c>
      <c r="K7" s="1968"/>
      <c r="L7" s="2994"/>
      <c r="M7" s="2967"/>
      <c r="N7" s="2967"/>
      <c r="O7" s="2967"/>
      <c r="P7" s="3461" t="s">
        <v>2259</v>
      </c>
      <c r="Q7" s="3469"/>
      <c r="R7" s="1681" t="s">
        <v>25</v>
      </c>
      <c r="S7" s="1682">
        <f t="shared" ref="S7:S15" si="0">F7</f>
        <v>0</v>
      </c>
      <c r="T7" s="1681" t="s">
        <v>25</v>
      </c>
      <c r="U7" s="1682">
        <f t="shared" ref="U7:U15" si="1">H7</f>
        <v>0</v>
      </c>
      <c r="V7" s="1681" t="s">
        <v>25</v>
      </c>
      <c r="W7" s="1682">
        <f t="shared" ref="W7:W15" si="2">J7</f>
        <v>0</v>
      </c>
      <c r="X7" s="1683"/>
      <c r="Y7" s="3461" t="s">
        <v>2259</v>
      </c>
      <c r="Z7" s="3462"/>
      <c r="AA7" s="1684" t="e">
        <f>D7/F7</f>
        <v>#DIV/0!</v>
      </c>
      <c r="AB7" s="1684" t="e">
        <f>D7/H7</f>
        <v>#DIV/0!</v>
      </c>
      <c r="AC7" s="1684" t="e">
        <f>D7/J7</f>
        <v>#DIV/0!</v>
      </c>
    </row>
    <row r="8" spans="1:29" s="1685" customFormat="1" ht="15.75" thickBot="1">
      <c r="A8" s="1673" t="s">
        <v>2260</v>
      </c>
      <c r="B8" s="1674"/>
      <c r="C8" s="1686" t="s">
        <v>2261</v>
      </c>
      <c r="D8" s="1676">
        <v>100</v>
      </c>
      <c r="E8" s="1686"/>
      <c r="F8" s="1678">
        <f>SUMIF(61:61,E8,62:62)-SUMIF(61:61,C8,62:62)+100</f>
        <v>0</v>
      </c>
      <c r="G8" s="1686"/>
      <c r="H8" s="1676">
        <f>SUMIF(61:61,G8,62:62)-SUMIF(61:61,C8,62:62)+100</f>
        <v>0</v>
      </c>
      <c r="I8" s="1686"/>
      <c r="J8" s="1676">
        <f>SUMIF(61:61,I8,62:62)-SUMIF(61:61,C8,62:62)+100</f>
        <v>0</v>
      </c>
      <c r="K8" s="1968"/>
      <c r="L8" s="2994"/>
      <c r="M8" s="2967"/>
      <c r="N8" s="2967"/>
      <c r="O8" s="2967"/>
      <c r="P8" s="3461" t="s">
        <v>2262</v>
      </c>
      <c r="Q8" s="3462"/>
      <c r="R8" s="1681" t="s">
        <v>25</v>
      </c>
      <c r="S8" s="1682">
        <f t="shared" si="0"/>
        <v>0</v>
      </c>
      <c r="T8" s="1681" t="s">
        <v>25</v>
      </c>
      <c r="U8" s="1682">
        <f t="shared" si="1"/>
        <v>0</v>
      </c>
      <c r="V8" s="1681" t="s">
        <v>25</v>
      </c>
      <c r="W8" s="1682">
        <f t="shared" si="2"/>
        <v>0</v>
      </c>
      <c r="X8" s="1683"/>
      <c r="Y8" s="3461" t="s">
        <v>2262</v>
      </c>
      <c r="Z8" s="3462"/>
      <c r="AA8" s="1684" t="e">
        <f t="shared" ref="AA8:AA46" si="3">D8/F8</f>
        <v>#DIV/0!</v>
      </c>
      <c r="AB8" s="1684" t="e">
        <f t="shared" ref="AB8:AB46" si="4">D8/H8</f>
        <v>#DIV/0!</v>
      </c>
      <c r="AC8" s="1684" t="e">
        <f t="shared" ref="AC8:AC46" si="5">D8/J8</f>
        <v>#DIV/0!</v>
      </c>
    </row>
    <row r="9" spans="1:29" s="1685" customFormat="1">
      <c r="A9" s="2067" t="s">
        <v>2263</v>
      </c>
      <c r="B9" s="1688" t="s">
        <v>2264</v>
      </c>
      <c r="C9" s="1689"/>
      <c r="D9" s="1690">
        <v>100</v>
      </c>
      <c r="E9" s="1691"/>
      <c r="F9" s="1692">
        <f>SUMIF(63:63,E9,64:64)-SUMIF(63:63,C9,64:64)+100</f>
        <v>100</v>
      </c>
      <c r="G9" s="1691"/>
      <c r="H9" s="1690">
        <f>SUMIF(63:63,G9,64:64)-SUMIF(63:63,C9,64:64)+100</f>
        <v>100</v>
      </c>
      <c r="I9" s="1691"/>
      <c r="J9" s="1690">
        <f>SUMIF(63:63,I9,64:64)-SUMIF(63:63,C9,64:64)+100</f>
        <v>100</v>
      </c>
      <c r="K9" s="1968"/>
      <c r="L9" s="2994"/>
      <c r="M9" s="2967"/>
      <c r="N9" s="2967"/>
      <c r="O9" s="2967"/>
      <c r="P9" s="3470" t="s">
        <v>2265</v>
      </c>
      <c r="Q9" s="2066" t="str">
        <f t="shared" ref="Q9:Q15" si="6">B9</f>
        <v>用途</v>
      </c>
      <c r="R9" s="1681" t="s">
        <v>25</v>
      </c>
      <c r="S9" s="1682">
        <f t="shared" si="0"/>
        <v>100</v>
      </c>
      <c r="T9" s="1681" t="s">
        <v>25</v>
      </c>
      <c r="U9" s="1682">
        <f t="shared" si="1"/>
        <v>100</v>
      </c>
      <c r="V9" s="1681" t="s">
        <v>25</v>
      </c>
      <c r="W9" s="1682">
        <f t="shared" si="2"/>
        <v>100</v>
      </c>
      <c r="X9" s="1683"/>
      <c r="Y9" s="3286" t="s">
        <v>2266</v>
      </c>
      <c r="Z9" s="1694" t="str">
        <f t="shared" ref="Z9:Z15" si="7">Q9</f>
        <v>用途</v>
      </c>
      <c r="AA9" s="1684">
        <f t="shared" si="3"/>
        <v>1</v>
      </c>
      <c r="AB9" s="1684">
        <f t="shared" si="4"/>
        <v>1</v>
      </c>
      <c r="AC9" s="1684">
        <f t="shared" si="5"/>
        <v>1</v>
      </c>
    </row>
    <row r="10" spans="1:29" s="1702" customFormat="1" ht="27">
      <c r="A10" s="1695"/>
      <c r="B10" s="1696" t="s">
        <v>2267</v>
      </c>
      <c r="C10" s="1697"/>
      <c r="D10" s="1698">
        <v>100</v>
      </c>
      <c r="E10" s="1699"/>
      <c r="F10" s="1700">
        <f>SUMIF(65:65,E10,66:66)-SUMIF(65:65,C10,66:66)+100</f>
        <v>100</v>
      </c>
      <c r="G10" s="1697"/>
      <c r="H10" s="1698">
        <f>SUMIF(65:65,G10,66:66)-SUMIF(65:65,C10,66:66)+100</f>
        <v>100</v>
      </c>
      <c r="I10" s="1697"/>
      <c r="J10" s="1698">
        <f>SUMIF(65:65,I10,66:66)-SUMIF(65:65,C10,66:66)+100</f>
        <v>100</v>
      </c>
      <c r="K10" s="1993"/>
      <c r="L10" s="2996"/>
      <c r="M10" s="2997"/>
      <c r="N10" s="2997"/>
      <c r="O10" s="2997"/>
      <c r="P10" s="3470"/>
      <c r="Q10" s="2066" t="str">
        <f t="shared" si="6"/>
        <v>土地使用年限（年）</v>
      </c>
      <c r="R10" s="1681" t="s">
        <v>25</v>
      </c>
      <c r="S10" s="1682">
        <f t="shared" si="0"/>
        <v>100</v>
      </c>
      <c r="T10" s="1681" t="s">
        <v>25</v>
      </c>
      <c r="U10" s="1682">
        <f t="shared" si="1"/>
        <v>100</v>
      </c>
      <c r="V10" s="1681" t="s">
        <v>25</v>
      </c>
      <c r="W10" s="1682">
        <f t="shared" si="2"/>
        <v>100</v>
      </c>
      <c r="X10" s="1683"/>
      <c r="Y10" s="3286"/>
      <c r="Z10" s="1694" t="str">
        <f t="shared" si="7"/>
        <v>土地使用年限（年）</v>
      </c>
      <c r="AA10" s="1684">
        <f t="shared" si="3"/>
        <v>1</v>
      </c>
      <c r="AB10" s="1684">
        <f t="shared" si="4"/>
        <v>1</v>
      </c>
      <c r="AC10" s="1684">
        <f t="shared" si="5"/>
        <v>1</v>
      </c>
    </row>
    <row r="11" spans="1:29" ht="15">
      <c r="A11" s="1703"/>
      <c r="B11" s="1696" t="s">
        <v>2268</v>
      </c>
      <c r="C11" s="1704"/>
      <c r="D11" s="1698">
        <v>100</v>
      </c>
      <c r="E11" s="1705"/>
      <c r="F11" s="1700" t="e">
        <f>LOOKUP(E11,68:68,69:69)-LOOKUP(C11,68:68,69:69)+100</f>
        <v>#N/A</v>
      </c>
      <c r="G11" s="1704"/>
      <c r="H11" s="1698" t="e">
        <f>LOOKUP(G11,68:68,69:69)-LOOKUP(C11,68:68,69:69)+100</f>
        <v>#N/A</v>
      </c>
      <c r="I11" s="1704"/>
      <c r="J11" s="1698" t="e">
        <f>LOOKUP(I11,68:68,69:69)-LOOKUP(C11,68:68,69:69)+100</f>
        <v>#N/A</v>
      </c>
      <c r="K11" s="1993"/>
      <c r="L11" s="2998"/>
      <c r="M11" s="2995"/>
      <c r="N11" s="2995"/>
      <c r="O11" s="2995"/>
      <c r="P11" s="3470"/>
      <c r="Q11" s="2066" t="str">
        <f t="shared" si="6"/>
        <v>容积率</v>
      </c>
      <c r="R11" s="1681" t="s">
        <v>25</v>
      </c>
      <c r="S11" s="1682" t="e">
        <f t="shared" si="0"/>
        <v>#N/A</v>
      </c>
      <c r="T11" s="1681" t="s">
        <v>25</v>
      </c>
      <c r="U11" s="1682" t="e">
        <f t="shared" si="1"/>
        <v>#N/A</v>
      </c>
      <c r="V11" s="1681" t="s">
        <v>25</v>
      </c>
      <c r="W11" s="1682" t="e">
        <f t="shared" si="2"/>
        <v>#N/A</v>
      </c>
      <c r="X11" s="1683"/>
      <c r="Y11" s="3286"/>
      <c r="Z11" s="1694" t="str">
        <f t="shared" si="7"/>
        <v>容积率</v>
      </c>
      <c r="AA11" s="1684" t="e">
        <f t="shared" si="3"/>
        <v>#N/A</v>
      </c>
      <c r="AB11" s="1684" t="e">
        <f t="shared" si="4"/>
        <v>#N/A</v>
      </c>
      <c r="AC11" s="1684" t="e">
        <f t="shared" si="5"/>
        <v>#N/A</v>
      </c>
    </row>
    <row r="12" spans="1:29" s="1685" customFormat="1" ht="15">
      <c r="A12" s="1706"/>
      <c r="B12" s="1707">
        <v>111</v>
      </c>
      <c r="C12" s="1708"/>
      <c r="D12" s="1709">
        <v>100</v>
      </c>
      <c r="E12" s="1711"/>
      <c r="F12" s="1700">
        <f>SUMIF(70:70,E12,71:71)-SUMIF(70:70,C12,71:71)+100</f>
        <v>100</v>
      </c>
      <c r="G12" s="1711"/>
      <c r="H12" s="1698">
        <f>SUMIF(70:70,G12,71:71)-SUMIF(70:70,C12,71:71)+100</f>
        <v>100</v>
      </c>
      <c r="I12" s="1711"/>
      <c r="J12" s="1698">
        <f>SUMIF(70:70,I12,71:71)-SUMIF(70:70,C12,71:71)+100</f>
        <v>100</v>
      </c>
      <c r="K12" s="1990"/>
      <c r="L12" s="2994"/>
      <c r="M12" s="2967"/>
      <c r="N12" s="2967"/>
      <c r="O12" s="2967"/>
      <c r="P12" s="3470"/>
      <c r="Q12" s="2066">
        <f t="shared" si="6"/>
        <v>111</v>
      </c>
      <c r="R12" s="1681" t="s">
        <v>25</v>
      </c>
      <c r="S12" s="1682">
        <f t="shared" si="0"/>
        <v>100</v>
      </c>
      <c r="T12" s="1681" t="s">
        <v>25</v>
      </c>
      <c r="U12" s="1682">
        <f t="shared" si="1"/>
        <v>100</v>
      </c>
      <c r="V12" s="1681" t="s">
        <v>25</v>
      </c>
      <c r="W12" s="1682">
        <f t="shared" si="2"/>
        <v>100</v>
      </c>
      <c r="X12" s="1683"/>
      <c r="Y12" s="3286"/>
      <c r="Z12" s="1694">
        <f t="shared" si="7"/>
        <v>111</v>
      </c>
      <c r="AA12" s="1684">
        <f>D12/F12</f>
        <v>1</v>
      </c>
      <c r="AB12" s="1684">
        <f>D12/H12</f>
        <v>1</v>
      </c>
      <c r="AC12" s="1684">
        <f>D12/J12</f>
        <v>1</v>
      </c>
    </row>
    <row r="13" spans="1:29" ht="15">
      <c r="A13" s="1703"/>
      <c r="B13" s="1707">
        <v>111</v>
      </c>
      <c r="C13" s="1711"/>
      <c r="D13" s="1712">
        <v>100</v>
      </c>
      <c r="E13" s="1711"/>
      <c r="F13" s="1700">
        <f>SUMIF(72:72,E13,73:73)-SUMIF(72:72,C13,73:73)+100</f>
        <v>100</v>
      </c>
      <c r="G13" s="1711"/>
      <c r="H13" s="1712">
        <f>SUMIF(72:72,G13,73:73)-SUMIF(72:72,C13,73:73)+100</f>
        <v>100</v>
      </c>
      <c r="I13" s="1711"/>
      <c r="J13" s="1712">
        <f>SUMIF(72:72,I13,73:73)-SUMIF(72:72,C13,73:73)+100</f>
        <v>100</v>
      </c>
      <c r="K13" s="1990"/>
      <c r="L13" s="2999"/>
      <c r="M13" s="2995"/>
      <c r="N13" s="2995"/>
      <c r="O13" s="2995"/>
      <c r="P13" s="3470"/>
      <c r="Q13" s="2066">
        <f t="shared" si="6"/>
        <v>111</v>
      </c>
      <c r="R13" s="1681" t="s">
        <v>25</v>
      </c>
      <c r="S13" s="1682">
        <f t="shared" si="0"/>
        <v>100</v>
      </c>
      <c r="T13" s="1681" t="s">
        <v>25</v>
      </c>
      <c r="U13" s="1682">
        <f t="shared" si="1"/>
        <v>100</v>
      </c>
      <c r="V13" s="1681" t="s">
        <v>25</v>
      </c>
      <c r="W13" s="1682">
        <f t="shared" si="2"/>
        <v>100</v>
      </c>
      <c r="X13" s="1683"/>
      <c r="Y13" s="3286"/>
      <c r="Z13" s="1694">
        <f t="shared" si="7"/>
        <v>111</v>
      </c>
      <c r="AA13" s="1684">
        <f t="shared" si="3"/>
        <v>1</v>
      </c>
      <c r="AB13" s="1684">
        <f t="shared" si="4"/>
        <v>1</v>
      </c>
      <c r="AC13" s="1684">
        <f t="shared" si="5"/>
        <v>1</v>
      </c>
    </row>
    <row r="14" spans="1:29" ht="15.75" thickBot="1">
      <c r="A14" s="1713"/>
      <c r="B14" s="1714">
        <v>111</v>
      </c>
      <c r="C14" s="1715"/>
      <c r="D14" s="1716">
        <v>100</v>
      </c>
      <c r="E14" s="1711"/>
      <c r="F14" s="1717">
        <f>SUMIF(74:74,E14,75:75)-SUMIF(74:74,C14,75:75)+100</f>
        <v>100</v>
      </c>
      <c r="G14" s="1711"/>
      <c r="H14" s="1716">
        <f>SUMIF(74:74,G14,75:75)-SUMIF(74:74,C14,75:75)+100</f>
        <v>100</v>
      </c>
      <c r="I14" s="1711"/>
      <c r="J14" s="1716">
        <f>SUMIF(74:74,I14,75:75)-SUMIF(74:74,C14,75:75)+100</f>
        <v>100</v>
      </c>
      <c r="K14" s="1990"/>
      <c r="L14" s="2999"/>
      <c r="M14" s="2995"/>
      <c r="N14" s="2995"/>
      <c r="O14" s="2995"/>
      <c r="P14" s="3470"/>
      <c r="Q14" s="2066">
        <f t="shared" si="6"/>
        <v>111</v>
      </c>
      <c r="R14" s="1681" t="s">
        <v>25</v>
      </c>
      <c r="S14" s="1682">
        <f t="shared" si="0"/>
        <v>100</v>
      </c>
      <c r="T14" s="1681" t="s">
        <v>25</v>
      </c>
      <c r="U14" s="1682">
        <f t="shared" si="1"/>
        <v>100</v>
      </c>
      <c r="V14" s="1681" t="s">
        <v>25</v>
      </c>
      <c r="W14" s="1682">
        <f t="shared" si="2"/>
        <v>100</v>
      </c>
      <c r="X14" s="1683"/>
      <c r="Y14" s="3286"/>
      <c r="Z14" s="1694">
        <f t="shared" si="7"/>
        <v>111</v>
      </c>
      <c r="AA14" s="1684">
        <f t="shared" si="3"/>
        <v>1</v>
      </c>
      <c r="AB14" s="1684">
        <f t="shared" si="4"/>
        <v>1</v>
      </c>
      <c r="AC14" s="1684">
        <f t="shared" si="5"/>
        <v>1</v>
      </c>
    </row>
    <row r="15" spans="1:29" ht="71.25">
      <c r="A15" s="1718" t="s">
        <v>2269</v>
      </c>
      <c r="B15" s="1719" t="s">
        <v>2355</v>
      </c>
      <c r="C15" s="1720" t="str">
        <f>估价对象房地状况!C4</f>
        <v>估价对象位于XX商圈，周边商业氛围成熟，人流量大，商业繁华度好</v>
      </c>
      <c r="D15" s="1721">
        <v>100</v>
      </c>
      <c r="E15" s="1722"/>
      <c r="F15" s="1723">
        <f>SUMIF(76:76,E16,77:77)-SUMIF(76:76,C16,77:77)+100</f>
        <v>100</v>
      </c>
      <c r="G15" s="1724"/>
      <c r="H15" s="1721">
        <f>SUMIF(76:76,G16,77:77)-SUMIF(76:76,C16,77:77)+100</f>
        <v>100</v>
      </c>
      <c r="I15" s="1722"/>
      <c r="J15" s="1721">
        <f>SUMIF(76:76,I16,77:77)-SUMIF(76:76,C16,77:77)+100</f>
        <v>100</v>
      </c>
      <c r="K15" s="2473"/>
      <c r="L15" s="2999"/>
      <c r="M15" s="2995"/>
      <c r="N15" s="2995"/>
      <c r="O15" s="2995"/>
      <c r="P15" s="3448" t="s">
        <v>2270</v>
      </c>
      <c r="Q15" s="2072" t="str">
        <f t="shared" si="6"/>
        <v>商业繁华度</v>
      </c>
      <c r="R15" s="1726" t="s">
        <v>25</v>
      </c>
      <c r="S15" s="1727">
        <f t="shared" si="0"/>
        <v>100</v>
      </c>
      <c r="T15" s="1726" t="s">
        <v>25</v>
      </c>
      <c r="U15" s="1727">
        <f t="shared" si="1"/>
        <v>100</v>
      </c>
      <c r="V15" s="1726" t="s">
        <v>25</v>
      </c>
      <c r="W15" s="1727">
        <f t="shared" si="2"/>
        <v>100</v>
      </c>
      <c r="X15" s="2075"/>
      <c r="Y15" s="3450" t="s">
        <v>2270</v>
      </c>
      <c r="Z15" s="2079" t="str">
        <f t="shared" si="7"/>
        <v>商业繁华度</v>
      </c>
      <c r="AA15" s="2070">
        <f t="shared" si="3"/>
        <v>1</v>
      </c>
      <c r="AB15" s="2070">
        <f t="shared" si="4"/>
        <v>1</v>
      </c>
      <c r="AC15" s="2070">
        <f t="shared" si="5"/>
        <v>1</v>
      </c>
    </row>
    <row r="16" spans="1:29" ht="15">
      <c r="A16" s="1703"/>
      <c r="B16" s="1730"/>
      <c r="C16" s="1731"/>
      <c r="D16" s="1732"/>
      <c r="E16" s="1731"/>
      <c r="F16" s="1734"/>
      <c r="G16" s="1731"/>
      <c r="H16" s="1736"/>
      <c r="I16" s="1731"/>
      <c r="J16" s="1732"/>
      <c r="K16" s="2474"/>
      <c r="L16" s="2999"/>
      <c r="M16" s="2995"/>
      <c r="N16" s="2995"/>
      <c r="O16" s="2995"/>
      <c r="P16" s="3449"/>
      <c r="Q16" s="2072"/>
      <c r="R16" s="1726"/>
      <c r="S16" s="1727"/>
      <c r="T16" s="1726"/>
      <c r="U16" s="1727"/>
      <c r="V16" s="1726"/>
      <c r="W16" s="1727"/>
      <c r="X16" s="2075"/>
      <c r="Y16" s="3451"/>
      <c r="Z16" s="2079"/>
      <c r="AA16" s="2070">
        <v>1</v>
      </c>
      <c r="AB16" s="2070">
        <v>1</v>
      </c>
      <c r="AC16" s="2070">
        <v>1</v>
      </c>
    </row>
    <row r="17" spans="1:29" ht="85.5">
      <c r="A17" s="1703"/>
      <c r="B17" s="1738" t="s">
        <v>1706</v>
      </c>
      <c r="C17" s="1739" t="str">
        <f>估价对象房地状况!C6</f>
        <v>估价对象周边道路状况、公共交通通达情况、停车便捷程度，综合评价交通便捷度较好</v>
      </c>
      <c r="D17" s="1736">
        <v>100</v>
      </c>
      <c r="E17" s="1740"/>
      <c r="F17" s="1741">
        <f>SUMIF(78:78,E18,79:79)-SUMIF(78:78,C18,79:79)+100</f>
        <v>100</v>
      </c>
      <c r="G17" s="1742"/>
      <c r="H17" s="1743">
        <f>SUMIF(78:78,G18,79:79)-SUMIF(78:78,C18,79:79)+100</f>
        <v>100</v>
      </c>
      <c r="I17" s="1740"/>
      <c r="J17" s="1743">
        <f>SUMIF(78:78,I18,79:79)-SUMIF(78:78,C18,79:79)+100</f>
        <v>100</v>
      </c>
      <c r="K17" s="2473"/>
      <c r="L17" s="2999"/>
      <c r="M17" s="2995"/>
      <c r="N17" s="2995"/>
      <c r="O17" s="2995"/>
      <c r="P17" s="3449"/>
      <c r="Q17" s="2072" t="str">
        <f>B17</f>
        <v>交通便捷度</v>
      </c>
      <c r="R17" s="1726" t="s">
        <v>25</v>
      </c>
      <c r="S17" s="1727">
        <f>F17</f>
        <v>100</v>
      </c>
      <c r="T17" s="1726" t="s">
        <v>25</v>
      </c>
      <c r="U17" s="1727">
        <f>H17</f>
        <v>100</v>
      </c>
      <c r="V17" s="1726" t="s">
        <v>25</v>
      </c>
      <c r="W17" s="1727">
        <f>J17</f>
        <v>100</v>
      </c>
      <c r="X17" s="2075"/>
      <c r="Y17" s="3451"/>
      <c r="Z17" s="2079" t="str">
        <f>Q17</f>
        <v>交通便捷度</v>
      </c>
      <c r="AA17" s="2070">
        <f t="shared" si="3"/>
        <v>1</v>
      </c>
      <c r="AB17" s="2070">
        <f t="shared" si="4"/>
        <v>1</v>
      </c>
      <c r="AC17" s="2070">
        <f t="shared" si="5"/>
        <v>1</v>
      </c>
    </row>
    <row r="18" spans="1:29" ht="15">
      <c r="A18" s="1703"/>
      <c r="B18" s="1744"/>
      <c r="C18" s="1745"/>
      <c r="D18" s="1736"/>
      <c r="E18" s="1746"/>
      <c r="F18" s="1741"/>
      <c r="G18" s="1747"/>
      <c r="H18" s="1732"/>
      <c r="I18" s="1746"/>
      <c r="J18" s="1732"/>
      <c r="K18" s="2474"/>
      <c r="L18" s="2999"/>
      <c r="M18" s="2995"/>
      <c r="N18" s="2995"/>
      <c r="O18" s="2995"/>
      <c r="P18" s="3449"/>
      <c r="Q18" s="2072"/>
      <c r="R18" s="1726"/>
      <c r="S18" s="1727"/>
      <c r="T18" s="1726"/>
      <c r="U18" s="1727"/>
      <c r="V18" s="1726"/>
      <c r="W18" s="1727"/>
      <c r="X18" s="2075"/>
      <c r="Y18" s="3451"/>
      <c r="Z18" s="2079"/>
      <c r="AA18" s="2070">
        <v>1</v>
      </c>
      <c r="AB18" s="2070">
        <v>1</v>
      </c>
      <c r="AC18" s="2070">
        <v>1</v>
      </c>
    </row>
    <row r="19" spans="1:29" ht="42.75">
      <c r="A19" s="1703"/>
      <c r="B19" s="1738" t="s">
        <v>2356</v>
      </c>
      <c r="C19" s="1739" t="str">
        <f>估价对象房地状况!C7</f>
        <v>估价对象所在区域公共配套设施齐备情况</v>
      </c>
      <c r="D19" s="1743">
        <v>100</v>
      </c>
      <c r="E19" s="1748"/>
      <c r="F19" s="1749">
        <f>SUMIF(80:80,E20,81:81)-SUMIF(80:80,C20,81:81)+100</f>
        <v>100</v>
      </c>
      <c r="G19" s="1750"/>
      <c r="H19" s="1736">
        <f>SUMIF(80:80,G20,81:81)-SUMIF(80:80,C20,81:81)+100</f>
        <v>100</v>
      </c>
      <c r="I19" s="1748"/>
      <c r="J19" s="1736">
        <f>SUMIF(80:80,I20,81:81)-SUMIF(80:80,C20,81:81)+100</f>
        <v>100</v>
      </c>
      <c r="K19" s="2473"/>
      <c r="L19" s="2999"/>
      <c r="M19" s="2995"/>
      <c r="N19" s="2995"/>
      <c r="O19" s="2995"/>
      <c r="P19" s="3449"/>
      <c r="Q19" s="2072" t="str">
        <f>B19</f>
        <v>公共配套设施</v>
      </c>
      <c r="R19" s="1726" t="s">
        <v>25</v>
      </c>
      <c r="S19" s="1727">
        <f>F19</f>
        <v>100</v>
      </c>
      <c r="T19" s="1726" t="s">
        <v>25</v>
      </c>
      <c r="U19" s="1727">
        <f>H19</f>
        <v>100</v>
      </c>
      <c r="V19" s="1726" t="s">
        <v>25</v>
      </c>
      <c r="W19" s="1727">
        <f>J19</f>
        <v>100</v>
      </c>
      <c r="X19" s="2075"/>
      <c r="Y19" s="3451"/>
      <c r="Z19" s="2079" t="str">
        <f>Q19</f>
        <v>公共配套设施</v>
      </c>
      <c r="AA19" s="2070">
        <f t="shared" si="3"/>
        <v>1</v>
      </c>
      <c r="AB19" s="2070">
        <f t="shared" si="4"/>
        <v>1</v>
      </c>
      <c r="AC19" s="2070">
        <f t="shared" si="5"/>
        <v>1</v>
      </c>
    </row>
    <row r="20" spans="1:29" ht="15">
      <c r="A20" s="1703"/>
      <c r="B20" s="1744"/>
      <c r="C20" s="1731"/>
      <c r="D20" s="1732"/>
      <c r="E20" s="1733"/>
      <c r="F20" s="1734"/>
      <c r="G20" s="1735"/>
      <c r="H20" s="1732"/>
      <c r="I20" s="1733"/>
      <c r="J20" s="1732"/>
      <c r="K20" s="2474"/>
      <c r="L20" s="2999"/>
      <c r="M20" s="2995"/>
      <c r="N20" s="2995"/>
      <c r="O20" s="2995"/>
      <c r="P20" s="3449"/>
      <c r="Q20" s="2072"/>
      <c r="R20" s="1726"/>
      <c r="S20" s="1727"/>
      <c r="T20" s="1726"/>
      <c r="U20" s="1727"/>
      <c r="V20" s="1726"/>
      <c r="W20" s="1727"/>
      <c r="X20" s="2075"/>
      <c r="Y20" s="3451"/>
      <c r="Z20" s="2079"/>
      <c r="AA20" s="2070">
        <v>1</v>
      </c>
      <c r="AB20" s="2070">
        <v>1</v>
      </c>
      <c r="AC20" s="2070">
        <v>1</v>
      </c>
    </row>
    <row r="21" spans="1:29" ht="28.5">
      <c r="A21" s="1703"/>
      <c r="B21" s="1751" t="s">
        <v>2357</v>
      </c>
      <c r="C21" s="1739" t="str">
        <f>估价对象房地状况!C8</f>
        <v>估价对象所在区域基础设施水平</v>
      </c>
      <c r="D21" s="1743">
        <v>100</v>
      </c>
      <c r="E21" s="1748"/>
      <c r="F21" s="1749">
        <f>SUMIF(82:82,E22,83:83)-SUMIF(82:82,C22,83:83)+100</f>
        <v>100</v>
      </c>
      <c r="G21" s="1750"/>
      <c r="H21" s="1736">
        <f>SUMIF(82:82,G22,83:83)-SUMIF(82:82,C22,83:83)+100</f>
        <v>100</v>
      </c>
      <c r="I21" s="1748"/>
      <c r="J21" s="1736">
        <f>SUMIF(82:82,I22,83:83)-SUMIF(82:82,C22,83:83)+100</f>
        <v>100</v>
      </c>
      <c r="K21" s="2473"/>
      <c r="L21" s="2999"/>
      <c r="M21" s="2995"/>
      <c r="N21" s="2995"/>
      <c r="O21" s="2995"/>
      <c r="P21" s="3449"/>
      <c r="Q21" s="2072" t="str">
        <f>B21</f>
        <v>基础设施水平</v>
      </c>
      <c r="R21" s="1726" t="s">
        <v>25</v>
      </c>
      <c r="S21" s="1727">
        <f>F21</f>
        <v>100</v>
      </c>
      <c r="T21" s="1726" t="s">
        <v>25</v>
      </c>
      <c r="U21" s="1727">
        <f>H21</f>
        <v>100</v>
      </c>
      <c r="V21" s="1726" t="s">
        <v>25</v>
      </c>
      <c r="W21" s="1727">
        <f>J21</f>
        <v>100</v>
      </c>
      <c r="X21" s="2075"/>
      <c r="Y21" s="3451"/>
      <c r="Z21" s="2079" t="str">
        <f>Q21</f>
        <v>基础设施水平</v>
      </c>
      <c r="AA21" s="2070">
        <f t="shared" ref="AA21" si="8">D21/F21</f>
        <v>1</v>
      </c>
      <c r="AB21" s="2070">
        <f t="shared" ref="AB21" si="9">D21/H21</f>
        <v>1</v>
      </c>
      <c r="AC21" s="2070">
        <f t="shared" ref="AC21" si="10">D21/J21</f>
        <v>1</v>
      </c>
    </row>
    <row r="22" spans="1:29" ht="15">
      <c r="A22" s="1703"/>
      <c r="B22" s="1751"/>
      <c r="C22" s="1745"/>
      <c r="D22" s="1732"/>
      <c r="E22" s="1731"/>
      <c r="F22" s="1734"/>
      <c r="G22" s="1731"/>
      <c r="H22" s="1732"/>
      <c r="I22" s="1731"/>
      <c r="J22" s="1732"/>
      <c r="K22" s="2475"/>
      <c r="L22" s="2999"/>
      <c r="M22" s="2995"/>
      <c r="N22" s="2995"/>
      <c r="O22" s="2995"/>
      <c r="P22" s="3449"/>
      <c r="Q22" s="2072"/>
      <c r="R22" s="1726"/>
      <c r="S22" s="1727"/>
      <c r="T22" s="1726"/>
      <c r="U22" s="1727"/>
      <c r="V22" s="1726"/>
      <c r="W22" s="1727"/>
      <c r="X22" s="2075"/>
      <c r="Y22" s="3451"/>
      <c r="Z22" s="2079"/>
      <c r="AA22" s="2070">
        <v>1</v>
      </c>
      <c r="AB22" s="2070">
        <v>1</v>
      </c>
      <c r="AC22" s="2070">
        <v>1</v>
      </c>
    </row>
    <row r="23" spans="1:29" ht="57">
      <c r="A23" s="1703"/>
      <c r="B23" s="1738" t="s">
        <v>1708</v>
      </c>
      <c r="C23" s="2476" t="str">
        <f>估价对象房地状况!C9</f>
        <v>区域自然环境：；人文环境；综合评价环境状况一般</v>
      </c>
      <c r="D23" s="1736">
        <v>100</v>
      </c>
      <c r="E23" s="1740"/>
      <c r="F23" s="1741">
        <f>SUMIF(84:84,E24,85:85)-SUMIF(84:84,C24,85:85)+100</f>
        <v>100</v>
      </c>
      <c r="G23" s="1742"/>
      <c r="H23" s="1736">
        <f>SUMIF(84:84,G24,85:85)-SUMIF(84:84,C24,85:85)+100</f>
        <v>100</v>
      </c>
      <c r="I23" s="1740"/>
      <c r="J23" s="1736">
        <f>SUMIF(84:84,I24,85:85)-SUMIF(84:84,C24,85:85)+100</f>
        <v>100</v>
      </c>
      <c r="K23" s="2473"/>
      <c r="L23" s="2999"/>
      <c r="M23" s="2995"/>
      <c r="N23" s="2995"/>
      <c r="O23" s="2995"/>
      <c r="P23" s="3449"/>
      <c r="Q23" s="2072" t="str">
        <f>B23</f>
        <v>自然及人文环境</v>
      </c>
      <c r="R23" s="1726" t="s">
        <v>25</v>
      </c>
      <c r="S23" s="1727">
        <f>F23</f>
        <v>100</v>
      </c>
      <c r="T23" s="1726" t="s">
        <v>25</v>
      </c>
      <c r="U23" s="1727">
        <f>H23</f>
        <v>100</v>
      </c>
      <c r="V23" s="1726" t="s">
        <v>25</v>
      </c>
      <c r="W23" s="1727">
        <f>J23</f>
        <v>100</v>
      </c>
      <c r="X23" s="2075"/>
      <c r="Y23" s="3451"/>
      <c r="Z23" s="2079" t="str">
        <f>Q23</f>
        <v>自然及人文环境</v>
      </c>
      <c r="AA23" s="2070">
        <f t="shared" si="3"/>
        <v>1</v>
      </c>
      <c r="AB23" s="2070">
        <f t="shared" si="4"/>
        <v>1</v>
      </c>
      <c r="AC23" s="2070">
        <f t="shared" si="5"/>
        <v>1</v>
      </c>
    </row>
    <row r="24" spans="1:29" ht="15">
      <c r="A24" s="1703"/>
      <c r="B24" s="1744"/>
      <c r="C24" s="1731"/>
      <c r="D24" s="1732"/>
      <c r="E24" s="1733"/>
      <c r="F24" s="1734"/>
      <c r="G24" s="1735"/>
      <c r="H24" s="1732"/>
      <c r="I24" s="1733"/>
      <c r="J24" s="1732"/>
      <c r="K24" s="2474"/>
      <c r="L24" s="2999"/>
      <c r="M24" s="2995"/>
      <c r="N24" s="2995"/>
      <c r="O24" s="2995"/>
      <c r="P24" s="3449"/>
      <c r="Q24" s="2072"/>
      <c r="R24" s="1726"/>
      <c r="S24" s="1727"/>
      <c r="T24" s="1726"/>
      <c r="U24" s="1727"/>
      <c r="V24" s="1726"/>
      <c r="W24" s="1727"/>
      <c r="X24" s="2075"/>
      <c r="Y24" s="3451"/>
      <c r="Z24" s="2079"/>
      <c r="AA24" s="2070">
        <v>1</v>
      </c>
      <c r="AB24" s="2070">
        <v>1</v>
      </c>
      <c r="AC24" s="2070">
        <v>1</v>
      </c>
    </row>
    <row r="25" spans="1:29" ht="15">
      <c r="A25" s="1703"/>
      <c r="B25" s="1696" t="s">
        <v>2358</v>
      </c>
      <c r="C25" s="1992"/>
      <c r="D25" s="1712">
        <v>100</v>
      </c>
      <c r="E25" s="1992"/>
      <c r="F25" s="1755">
        <f>SUMIF(86:86,E25,87:87)-SUMIF(86:86,C25,87:87)+100</f>
        <v>100</v>
      </c>
      <c r="G25" s="1992"/>
      <c r="H25" s="1712">
        <f>SUMIF(86:86,G25,87:87)-SUMIF(86:86,C25,87:87)+100</f>
        <v>100</v>
      </c>
      <c r="I25" s="1992"/>
      <c r="J25" s="1712">
        <f>SUMIF(86:86,I25,87:87)-SUMIF(86:86,C25,87:87)+100</f>
        <v>100</v>
      </c>
      <c r="K25" s="1993"/>
      <c r="L25" s="2999"/>
      <c r="M25" s="2995"/>
      <c r="N25" s="2995"/>
      <c r="O25" s="2995"/>
      <c r="P25" s="3449"/>
      <c r="Q25" s="2072" t="str">
        <f t="shared" ref="Q25:Q46" si="11">B25</f>
        <v>临街状况</v>
      </c>
      <c r="R25" s="1726" t="s">
        <v>25</v>
      </c>
      <c r="S25" s="1727">
        <f>F25</f>
        <v>100</v>
      </c>
      <c r="T25" s="1726" t="s">
        <v>25</v>
      </c>
      <c r="U25" s="1727">
        <f>H25</f>
        <v>100</v>
      </c>
      <c r="V25" s="1726" t="s">
        <v>25</v>
      </c>
      <c r="W25" s="1727">
        <f>J25</f>
        <v>100</v>
      </c>
      <c r="X25" s="2075"/>
      <c r="Y25" s="3451"/>
      <c r="Z25" s="2079" t="str">
        <f>Q25</f>
        <v>临街状况</v>
      </c>
      <c r="AA25" s="2070">
        <f t="shared" si="3"/>
        <v>1</v>
      </c>
      <c r="AB25" s="2070">
        <f t="shared" si="4"/>
        <v>1</v>
      </c>
      <c r="AC25" s="2070">
        <f t="shared" si="5"/>
        <v>1</v>
      </c>
    </row>
    <row r="26" spans="1:29" ht="15">
      <c r="A26" s="1703"/>
      <c r="B26" s="1761" t="s">
        <v>2359</v>
      </c>
      <c r="C26" s="1711"/>
      <c r="D26" s="1712">
        <v>100</v>
      </c>
      <c r="E26" s="1711"/>
      <c r="F26" s="1755">
        <f>SUMIF(88:88,E26,89:89)-SUMIF(88:88,C26,89:89)+100</f>
        <v>100</v>
      </c>
      <c r="G26" s="1711"/>
      <c r="H26" s="1712">
        <f>SUMIF(88:88,G26,89:89)-SUMIF(88:88,C26,89:89)+100</f>
        <v>100</v>
      </c>
      <c r="I26" s="1711"/>
      <c r="J26" s="1712">
        <f>SUMIF(88:88,I26,89:89)-SUMIF(88:88,C26,89:89)+100</f>
        <v>100</v>
      </c>
      <c r="K26" s="1990"/>
      <c r="L26" s="2999"/>
      <c r="M26" s="2995"/>
      <c r="N26" s="2995"/>
      <c r="O26" s="2995"/>
      <c r="P26" s="3449"/>
      <c r="Q26" s="2072" t="str">
        <f t="shared" si="11"/>
        <v>平面位置/可视性</v>
      </c>
      <c r="R26" s="1726" t="s">
        <v>25</v>
      </c>
      <c r="S26" s="1727">
        <f>F26</f>
        <v>100</v>
      </c>
      <c r="T26" s="1726" t="s">
        <v>25</v>
      </c>
      <c r="U26" s="1727">
        <f>H26</f>
        <v>100</v>
      </c>
      <c r="V26" s="1726" t="s">
        <v>25</v>
      </c>
      <c r="W26" s="1727">
        <f>J26</f>
        <v>100</v>
      </c>
      <c r="X26" s="2075"/>
      <c r="Y26" s="3451"/>
      <c r="Z26" s="2079" t="str">
        <f>Q26</f>
        <v>平面位置/可视性</v>
      </c>
      <c r="AA26" s="2070">
        <f t="shared" si="3"/>
        <v>1</v>
      </c>
      <c r="AB26" s="2070">
        <f t="shared" si="4"/>
        <v>1</v>
      </c>
      <c r="AC26" s="2070">
        <f t="shared" si="5"/>
        <v>1</v>
      </c>
    </row>
    <row r="27" spans="1:29" s="1685" customFormat="1" ht="15">
      <c r="A27" s="1706"/>
      <c r="B27" s="1738" t="s">
        <v>2360</v>
      </c>
      <c r="C27" s="2477"/>
      <c r="D27" s="1757">
        <v>100</v>
      </c>
      <c r="E27" s="2477"/>
      <c r="F27" s="1759">
        <f>SUMIF(90:90,E27,91:91)-SUMIF(90:90,C27,91:91)+100</f>
        <v>100</v>
      </c>
      <c r="G27" s="2477"/>
      <c r="H27" s="1757">
        <f>SUMIF(90:90,G27,91:91)-SUMIF(90:90,C27,91:91)+100</f>
        <v>100</v>
      </c>
      <c r="I27" s="2477"/>
      <c r="J27" s="1757">
        <f>SUMIF(90:90,I27,91:91)-SUMIF(90:90,C27,91:91)+100</f>
        <v>100</v>
      </c>
      <c r="K27" s="1993"/>
      <c r="L27" s="2994"/>
      <c r="M27" s="2967"/>
      <c r="N27" s="2967"/>
      <c r="O27" s="2967"/>
      <c r="P27" s="3449"/>
      <c r="Q27" s="2066" t="str">
        <f t="shared" si="11"/>
        <v>人流量</v>
      </c>
      <c r="R27" s="1681" t="s">
        <v>25</v>
      </c>
      <c r="S27" s="1682">
        <f>F27</f>
        <v>100</v>
      </c>
      <c r="T27" s="1681" t="s">
        <v>25</v>
      </c>
      <c r="U27" s="1682">
        <f>H27</f>
        <v>100</v>
      </c>
      <c r="V27" s="1681" t="s">
        <v>25</v>
      </c>
      <c r="W27" s="1682">
        <f>J27</f>
        <v>100</v>
      </c>
      <c r="X27" s="1683"/>
      <c r="Y27" s="3451"/>
      <c r="Z27" s="1694" t="str">
        <f>Q27</f>
        <v>人流量</v>
      </c>
      <c r="AA27" s="2070">
        <f>D27/F27</f>
        <v>1</v>
      </c>
      <c r="AB27" s="2070">
        <f>D27/H27</f>
        <v>1</v>
      </c>
      <c r="AC27" s="2070">
        <f>D27/J27</f>
        <v>1</v>
      </c>
    </row>
    <row r="28" spans="1:29" ht="15">
      <c r="A28" s="1703"/>
      <c r="B28" s="1696" t="s">
        <v>2361</v>
      </c>
      <c r="C28" s="1992"/>
      <c r="D28" s="1712">
        <v>100</v>
      </c>
      <c r="E28" s="1992"/>
      <c r="F28" s="1755">
        <f>SUMIF(92:92,E28,93:93)-SUMIF(92:92,C28,93:93)+100</f>
        <v>100</v>
      </c>
      <c r="G28" s="1992"/>
      <c r="H28" s="1712">
        <f>SUMIF(92:92,G28,93:93)-SUMIF(92:92,C28,93:93)+100</f>
        <v>100</v>
      </c>
      <c r="I28" s="1992"/>
      <c r="J28" s="1712">
        <f>SUMIF(92:92,I28,93:93)-SUMIF(92:92,C28,93:93)+100</f>
        <v>100</v>
      </c>
      <c r="K28" s="1990"/>
      <c r="L28" s="2999"/>
      <c r="M28" s="2995"/>
      <c r="N28" s="2995"/>
      <c r="O28" s="2995"/>
      <c r="P28" s="3449"/>
      <c r="Q28" s="2072" t="str">
        <f t="shared" si="11"/>
        <v>楼层</v>
      </c>
      <c r="R28" s="1726" t="s">
        <v>25</v>
      </c>
      <c r="S28" s="1727">
        <f t="shared" ref="S28:S46" si="12">F28</f>
        <v>100</v>
      </c>
      <c r="T28" s="1726" t="s">
        <v>25</v>
      </c>
      <c r="U28" s="1727">
        <f t="shared" ref="U28:U46" si="13">H28</f>
        <v>100</v>
      </c>
      <c r="V28" s="1726" t="s">
        <v>25</v>
      </c>
      <c r="W28" s="1727">
        <f t="shared" ref="W28:W46" si="14">J28</f>
        <v>100</v>
      </c>
      <c r="X28" s="2075"/>
      <c r="Y28" s="3451"/>
      <c r="Z28" s="2079" t="str">
        <f t="shared" ref="Z28:Z46" si="15">Q28</f>
        <v>楼层</v>
      </c>
      <c r="AA28" s="2070">
        <f t="shared" si="3"/>
        <v>1</v>
      </c>
      <c r="AB28" s="2070">
        <f t="shared" si="4"/>
        <v>1</v>
      </c>
      <c r="AC28" s="2070">
        <f t="shared" si="5"/>
        <v>1</v>
      </c>
    </row>
    <row r="29" spans="1:29" ht="15">
      <c r="A29" s="1703"/>
      <c r="B29" s="1761">
        <v>111</v>
      </c>
      <c r="C29" s="1711"/>
      <c r="D29" s="1712">
        <v>100</v>
      </c>
      <c r="E29" s="1711"/>
      <c r="F29" s="1755">
        <f>SUMIF(94:94,E29,95:95)-SUMIF(94:94,C29,95:95)+100</f>
        <v>100</v>
      </c>
      <c r="G29" s="1711"/>
      <c r="H29" s="1712">
        <f>SUMIF(94:94,G29,95:95)-SUMIF(94:94,C29,95:95)+100</f>
        <v>100</v>
      </c>
      <c r="I29" s="1711"/>
      <c r="J29" s="1712">
        <f>SUMIF(94:94,I29,95:95)-SUMIF(94:94,C29,95:95)+100</f>
        <v>100</v>
      </c>
      <c r="K29" s="1990"/>
      <c r="L29" s="2999"/>
      <c r="M29" s="2995"/>
      <c r="N29" s="2995"/>
      <c r="O29" s="2995"/>
      <c r="P29" s="3449"/>
      <c r="Q29" s="2072">
        <f t="shared" si="11"/>
        <v>111</v>
      </c>
      <c r="R29" s="1726" t="s">
        <v>25</v>
      </c>
      <c r="S29" s="1727">
        <f t="shared" si="12"/>
        <v>100</v>
      </c>
      <c r="T29" s="1726" t="s">
        <v>25</v>
      </c>
      <c r="U29" s="1727">
        <f t="shared" si="13"/>
        <v>100</v>
      </c>
      <c r="V29" s="1726" t="s">
        <v>25</v>
      </c>
      <c r="W29" s="1727">
        <f t="shared" si="14"/>
        <v>100</v>
      </c>
      <c r="X29" s="2075"/>
      <c r="Y29" s="3451"/>
      <c r="Z29" s="2079">
        <f t="shared" si="15"/>
        <v>111</v>
      </c>
      <c r="AA29" s="2070">
        <f t="shared" si="3"/>
        <v>1</v>
      </c>
      <c r="AB29" s="2070">
        <f t="shared" si="4"/>
        <v>1</v>
      </c>
      <c r="AC29" s="2070">
        <f t="shared" si="5"/>
        <v>1</v>
      </c>
    </row>
    <row r="30" spans="1:29" ht="15">
      <c r="A30" s="1703"/>
      <c r="B30" s="1761">
        <v>111</v>
      </c>
      <c r="C30" s="1711"/>
      <c r="D30" s="1712">
        <v>100</v>
      </c>
      <c r="E30" s="1711"/>
      <c r="F30" s="1755">
        <f>SUMIF(96:96,E30,97:97)-SUMIF(96:96,C30,97:97)+100</f>
        <v>100</v>
      </c>
      <c r="G30" s="1711"/>
      <c r="H30" s="1712">
        <f>SUMIF(96:96,G30,97:97)-SUMIF(96:96,C30,97:97)+100</f>
        <v>100</v>
      </c>
      <c r="I30" s="1711"/>
      <c r="J30" s="1712">
        <f>SUMIF(96:96,I30,97:97)-SUMIF(96:96,C30,97:97)+100</f>
        <v>100</v>
      </c>
      <c r="K30" s="1990"/>
      <c r="L30" s="2999"/>
      <c r="M30" s="2995"/>
      <c r="N30" s="2995"/>
      <c r="O30" s="2995"/>
      <c r="P30" s="3449"/>
      <c r="Q30" s="2072">
        <f t="shared" si="11"/>
        <v>111</v>
      </c>
      <c r="R30" s="1726" t="s">
        <v>25</v>
      </c>
      <c r="S30" s="1727">
        <f t="shared" si="12"/>
        <v>100</v>
      </c>
      <c r="T30" s="1726" t="s">
        <v>25</v>
      </c>
      <c r="U30" s="1727">
        <f t="shared" si="13"/>
        <v>100</v>
      </c>
      <c r="V30" s="1726" t="s">
        <v>25</v>
      </c>
      <c r="W30" s="1727">
        <f t="shared" si="14"/>
        <v>100</v>
      </c>
      <c r="X30" s="2075"/>
      <c r="Y30" s="3451"/>
      <c r="Z30" s="2079">
        <f t="shared" si="15"/>
        <v>111</v>
      </c>
      <c r="AA30" s="2070">
        <f t="shared" si="3"/>
        <v>1</v>
      </c>
      <c r="AB30" s="2070">
        <f t="shared" si="4"/>
        <v>1</v>
      </c>
      <c r="AC30" s="2070">
        <f t="shared" si="5"/>
        <v>1</v>
      </c>
    </row>
    <row r="31" spans="1:29" ht="15.75" thickBot="1">
      <c r="A31" s="1713"/>
      <c r="B31" s="1761">
        <v>111</v>
      </c>
      <c r="C31" s="1715"/>
      <c r="D31" s="1716">
        <v>100</v>
      </c>
      <c r="E31" s="1711"/>
      <c r="F31" s="1717">
        <f>SUMIF(98:98,E31,99:99)-SUMIF(98:98,C31,99:99)+100</f>
        <v>100</v>
      </c>
      <c r="G31" s="1711"/>
      <c r="H31" s="1716">
        <f>SUMIF(98:98,G31,99:99)-SUMIF(98:98,C31,99:99)+100</f>
        <v>100</v>
      </c>
      <c r="I31" s="1711"/>
      <c r="J31" s="1716">
        <f>SUMIF(98:98,I31,99:99)-SUMIF(98:98,C31,99:99)+100</f>
        <v>100</v>
      </c>
      <c r="K31" s="1990"/>
      <c r="L31" s="2999"/>
      <c r="M31" s="2995"/>
      <c r="N31" s="2995"/>
      <c r="O31" s="2995"/>
      <c r="P31" s="3449"/>
      <c r="Q31" s="2072">
        <f t="shared" si="11"/>
        <v>111</v>
      </c>
      <c r="R31" s="1726" t="s">
        <v>25</v>
      </c>
      <c r="S31" s="1727">
        <f t="shared" si="12"/>
        <v>100</v>
      </c>
      <c r="T31" s="1726" t="s">
        <v>25</v>
      </c>
      <c r="U31" s="1727">
        <f t="shared" si="13"/>
        <v>100</v>
      </c>
      <c r="V31" s="1726" t="s">
        <v>25</v>
      </c>
      <c r="W31" s="1727">
        <f t="shared" si="14"/>
        <v>100</v>
      </c>
      <c r="X31" s="2075"/>
      <c r="Y31" s="3451"/>
      <c r="Z31" s="2079">
        <f t="shared" si="15"/>
        <v>111</v>
      </c>
      <c r="AA31" s="2070">
        <f t="shared" si="3"/>
        <v>1</v>
      </c>
      <c r="AB31" s="2070">
        <f t="shared" si="4"/>
        <v>1</v>
      </c>
      <c r="AC31" s="2070">
        <f t="shared" si="5"/>
        <v>1</v>
      </c>
    </row>
    <row r="32" spans="1:29" ht="15">
      <c r="A32" s="1718" t="s">
        <v>2274</v>
      </c>
      <c r="B32" s="1688" t="s">
        <v>2362</v>
      </c>
      <c r="C32" s="1762"/>
      <c r="D32" s="1763">
        <v>100</v>
      </c>
      <c r="E32" s="1762"/>
      <c r="F32" s="1755">
        <f>SUMIF(100:100,E32,101:101)-SUMIF(100:100,C32,101:101)+100</f>
        <v>100</v>
      </c>
      <c r="G32" s="1762"/>
      <c r="H32" s="1712">
        <f>SUMIF(100:100,G32,101:101)-SUMIF(100:100,C32,101:101)+100</f>
        <v>100</v>
      </c>
      <c r="I32" s="1762"/>
      <c r="J32" s="1763">
        <f>SUMIF(100:100,I32,101:101)-SUMIF(100:100,C32,101:101)+100</f>
        <v>100</v>
      </c>
      <c r="K32" s="1993"/>
      <c r="L32" s="2999"/>
      <c r="M32" s="2995"/>
      <c r="N32" s="2995"/>
      <c r="O32" s="2995"/>
      <c r="P32" s="3452" t="s">
        <v>2276</v>
      </c>
      <c r="Q32" s="2072" t="str">
        <f t="shared" si="11"/>
        <v>商业类型</v>
      </c>
      <c r="R32" s="1726" t="s">
        <v>25</v>
      </c>
      <c r="S32" s="1727">
        <f t="shared" si="12"/>
        <v>100</v>
      </c>
      <c r="T32" s="1726" t="s">
        <v>25</v>
      </c>
      <c r="U32" s="1727">
        <f t="shared" si="13"/>
        <v>100</v>
      </c>
      <c r="V32" s="1726" t="s">
        <v>25</v>
      </c>
      <c r="W32" s="1727">
        <f t="shared" si="14"/>
        <v>100</v>
      </c>
      <c r="X32" s="2075"/>
      <c r="Y32" s="3455" t="s">
        <v>2276</v>
      </c>
      <c r="Z32" s="2079" t="str">
        <f t="shared" si="15"/>
        <v>商业类型</v>
      </c>
      <c r="AA32" s="2070">
        <f t="shared" si="3"/>
        <v>1</v>
      </c>
      <c r="AB32" s="2070">
        <f t="shared" si="4"/>
        <v>1</v>
      </c>
      <c r="AC32" s="2070">
        <f t="shared" si="5"/>
        <v>1</v>
      </c>
    </row>
    <row r="33" spans="1:29" s="1772" customFormat="1" ht="15">
      <c r="A33" s="1765"/>
      <c r="B33" s="1696" t="s">
        <v>2277</v>
      </c>
      <c r="C33" s="1766"/>
      <c r="D33" s="1698">
        <v>100</v>
      </c>
      <c r="E33" s="1705"/>
      <c r="F33" s="1700" t="e">
        <f>LOOKUP(E33,103:103,104:104)-LOOKUP(C33,103:103,104:104)+100</f>
        <v>#N/A</v>
      </c>
      <c r="G33" s="1704"/>
      <c r="H33" s="1698" t="e">
        <f>LOOKUP(G33,103:103,104:104)-LOOKUP(C33,103:103,104:104)+100</f>
        <v>#N/A</v>
      </c>
      <c r="I33" s="1704"/>
      <c r="J33" s="1698" t="e">
        <f>LOOKUP(I33,103:103,104:104)-LOOKUP(C33,103:103,104:104)+100</f>
        <v>#N/A</v>
      </c>
      <c r="K33" s="1990"/>
      <c r="L33" s="2998"/>
      <c r="M33" s="2060"/>
      <c r="N33" s="2060"/>
      <c r="O33" s="2060"/>
      <c r="P33" s="3453"/>
      <c r="Q33" s="1767" t="str">
        <f t="shared" si="11"/>
        <v>项目建筑规模</v>
      </c>
      <c r="R33" s="1768" t="s">
        <v>25</v>
      </c>
      <c r="S33" s="1769" t="e">
        <f t="shared" si="12"/>
        <v>#N/A</v>
      </c>
      <c r="T33" s="1768" t="s">
        <v>25</v>
      </c>
      <c r="U33" s="1769" t="e">
        <f t="shared" si="13"/>
        <v>#N/A</v>
      </c>
      <c r="V33" s="1768" t="s">
        <v>25</v>
      </c>
      <c r="W33" s="1769" t="e">
        <f t="shared" si="14"/>
        <v>#N/A</v>
      </c>
      <c r="X33" s="1770"/>
      <c r="Y33" s="3455"/>
      <c r="Z33" s="1771" t="str">
        <f t="shared" si="15"/>
        <v>项目建筑规模</v>
      </c>
      <c r="AA33" s="2070" t="e">
        <f t="shared" si="3"/>
        <v>#N/A</v>
      </c>
      <c r="AB33" s="2070" t="e">
        <f t="shared" si="4"/>
        <v>#N/A</v>
      </c>
      <c r="AC33" s="2070" t="e">
        <f t="shared" si="5"/>
        <v>#N/A</v>
      </c>
    </row>
    <row r="34" spans="1:29" ht="15">
      <c r="A34" s="1773"/>
      <c r="B34" s="1696" t="s">
        <v>2278</v>
      </c>
      <c r="C34" s="1774"/>
      <c r="D34" s="1712">
        <v>100</v>
      </c>
      <c r="E34" s="1775"/>
      <c r="F34" s="1755">
        <f>SUMIF(105:105,E34,106:106)-SUMIF(105:105,C34,106:106)+100</f>
        <v>100</v>
      </c>
      <c r="G34" s="1774"/>
      <c r="H34" s="1712">
        <f>SUMIF(105:105,G34,106:106)-SUMIF(105:105,C34,106:106)+100</f>
        <v>100</v>
      </c>
      <c r="I34" s="1774"/>
      <c r="J34" s="1712">
        <f>SUMIF(105:105,I34,106:106)-SUMIF(105:105,C34,106:106)+100</f>
        <v>100</v>
      </c>
      <c r="K34" s="1993"/>
      <c r="L34" s="2999"/>
      <c r="M34" s="2995"/>
      <c r="N34" s="2995"/>
      <c r="O34" s="2995"/>
      <c r="P34" s="3453"/>
      <c r="Q34" s="2072" t="str">
        <f t="shared" si="11"/>
        <v>建筑结构</v>
      </c>
      <c r="R34" s="1726" t="s">
        <v>25</v>
      </c>
      <c r="S34" s="1727">
        <f t="shared" si="12"/>
        <v>100</v>
      </c>
      <c r="T34" s="1726" t="s">
        <v>25</v>
      </c>
      <c r="U34" s="1727">
        <f t="shared" si="13"/>
        <v>100</v>
      </c>
      <c r="V34" s="1726" t="s">
        <v>25</v>
      </c>
      <c r="W34" s="1727">
        <f t="shared" si="14"/>
        <v>100</v>
      </c>
      <c r="X34" s="2075"/>
      <c r="Y34" s="3455"/>
      <c r="Z34" s="2079" t="str">
        <f t="shared" si="15"/>
        <v>建筑结构</v>
      </c>
      <c r="AA34" s="2070">
        <f t="shared" si="3"/>
        <v>1</v>
      </c>
      <c r="AB34" s="2070">
        <f t="shared" si="4"/>
        <v>1</v>
      </c>
      <c r="AC34" s="2070">
        <f t="shared" si="5"/>
        <v>1</v>
      </c>
    </row>
    <row r="35" spans="1:29" ht="15">
      <c r="A35" s="1773"/>
      <c r="B35" s="1696" t="s">
        <v>2363</v>
      </c>
      <c r="C35" s="1756"/>
      <c r="D35" s="1712">
        <v>100</v>
      </c>
      <c r="E35" s="1756"/>
      <c r="F35" s="1755">
        <f>SUMIF(107:107,E35,108:108)-SUMIF(107:107,C35,108:108)+100</f>
        <v>100</v>
      </c>
      <c r="G35" s="1756"/>
      <c r="H35" s="1712">
        <f>SUMIF(107:107,G35,108:108)-SUMIF(107:107,C35,108:108)+100</f>
        <v>100</v>
      </c>
      <c r="I35" s="1756"/>
      <c r="J35" s="1712">
        <f>SUMIF(107:107,I35,108:108)-SUMIF(107:107,C35,108:108)+100</f>
        <v>100</v>
      </c>
      <c r="K35" s="1993"/>
      <c r="L35" s="2999"/>
      <c r="M35" s="2995"/>
      <c r="N35" s="2995"/>
      <c r="O35" s="2995"/>
      <c r="P35" s="3453"/>
      <c r="Q35" s="2072" t="str">
        <f t="shared" si="11"/>
        <v>公共部分装修</v>
      </c>
      <c r="R35" s="1726" t="s">
        <v>25</v>
      </c>
      <c r="S35" s="1727">
        <f t="shared" si="12"/>
        <v>100</v>
      </c>
      <c r="T35" s="1726" t="s">
        <v>25</v>
      </c>
      <c r="U35" s="1727">
        <f t="shared" si="13"/>
        <v>100</v>
      </c>
      <c r="V35" s="1726" t="s">
        <v>25</v>
      </c>
      <c r="W35" s="1727">
        <f t="shared" si="14"/>
        <v>100</v>
      </c>
      <c r="X35" s="2075"/>
      <c r="Y35" s="3455"/>
      <c r="Z35" s="2079" t="str">
        <f t="shared" si="15"/>
        <v>公共部分装修</v>
      </c>
      <c r="AA35" s="2070">
        <f t="shared" si="3"/>
        <v>1</v>
      </c>
      <c r="AB35" s="2070">
        <f t="shared" si="4"/>
        <v>1</v>
      </c>
      <c r="AC35" s="2070">
        <f t="shared" si="5"/>
        <v>1</v>
      </c>
    </row>
    <row r="36" spans="1:29" ht="15">
      <c r="A36" s="1773"/>
      <c r="B36" s="1696" t="s">
        <v>2364</v>
      </c>
      <c r="C36" s="1777"/>
      <c r="D36" s="1712">
        <v>100</v>
      </c>
      <c r="E36" s="1777"/>
      <c r="F36" s="1755" t="e">
        <f>LOOKUP(E36,110:110,111:111)-LOOKUP(C36,110:110,111:111)+100</f>
        <v>#N/A</v>
      </c>
      <c r="G36" s="1777"/>
      <c r="H36" s="1755" t="e">
        <f>LOOKUP(G36,110:110,111:111)-LOOKUP(C36,110:110,111:111)+100</f>
        <v>#N/A</v>
      </c>
      <c r="I36" s="1777"/>
      <c r="J36" s="1712" t="e">
        <f>LOOKUP(I36,110:110,111:111)-LOOKUP(C36,110:110,111:111)+100</f>
        <v>#N/A</v>
      </c>
      <c r="K36" s="1993"/>
      <c r="L36" s="2999"/>
      <c r="M36" s="2995"/>
      <c r="N36" s="2995"/>
      <c r="O36" s="2995"/>
      <c r="P36" s="3453"/>
      <c r="Q36" s="2072" t="str">
        <f t="shared" si="11"/>
        <v>成新度</v>
      </c>
      <c r="R36" s="1726" t="s">
        <v>25</v>
      </c>
      <c r="S36" s="1727" t="e">
        <f t="shared" si="12"/>
        <v>#N/A</v>
      </c>
      <c r="T36" s="1726" t="s">
        <v>25</v>
      </c>
      <c r="U36" s="1727" t="e">
        <f t="shared" si="13"/>
        <v>#N/A</v>
      </c>
      <c r="V36" s="1726" t="s">
        <v>25</v>
      </c>
      <c r="W36" s="1727" t="e">
        <f t="shared" si="14"/>
        <v>#N/A</v>
      </c>
      <c r="X36" s="2075"/>
      <c r="Y36" s="3455"/>
      <c r="Z36" s="2079" t="str">
        <f t="shared" si="15"/>
        <v>成新度</v>
      </c>
      <c r="AA36" s="2070" t="e">
        <f t="shared" si="3"/>
        <v>#N/A</v>
      </c>
      <c r="AB36" s="2070" t="e">
        <f t="shared" si="4"/>
        <v>#N/A</v>
      </c>
      <c r="AC36" s="2070" t="e">
        <f t="shared" si="5"/>
        <v>#N/A</v>
      </c>
    </row>
    <row r="37" spans="1:29" s="1685" customFormat="1" ht="15">
      <c r="A37" s="1776"/>
      <c r="B37" s="1696" t="s">
        <v>2365</v>
      </c>
      <c r="C37" s="1756"/>
      <c r="D37" s="1698">
        <v>100</v>
      </c>
      <c r="E37" s="1756"/>
      <c r="F37" s="1755">
        <f>SUMIF(112:112,E37,113:113)-SUMIF(112:112,C37,113:113)+100</f>
        <v>100</v>
      </c>
      <c r="G37" s="1756"/>
      <c r="H37" s="1712">
        <f>SUMIF(112:112,G37,113:113)-SUMIF(112:112,C37,113:113)+100</f>
        <v>100</v>
      </c>
      <c r="I37" s="1756"/>
      <c r="J37" s="1712">
        <f>SUMIF(112:112,I37,113:113)-SUMIF(112:112,C37,113:113)+100</f>
        <v>100</v>
      </c>
      <c r="K37" s="1993"/>
      <c r="L37" s="2994"/>
      <c r="M37" s="2967"/>
      <c r="N37" s="2967"/>
      <c r="O37" s="2967"/>
      <c r="P37" s="3453"/>
      <c r="Q37" s="2066" t="str">
        <f t="shared" si="11"/>
        <v>市政基础设施</v>
      </c>
      <c r="R37" s="1681" t="s">
        <v>25</v>
      </c>
      <c r="S37" s="1682">
        <f t="shared" si="12"/>
        <v>100</v>
      </c>
      <c r="T37" s="1681" t="s">
        <v>25</v>
      </c>
      <c r="U37" s="1682">
        <f t="shared" si="13"/>
        <v>100</v>
      </c>
      <c r="V37" s="1681" t="s">
        <v>25</v>
      </c>
      <c r="W37" s="1682">
        <f t="shared" si="14"/>
        <v>100</v>
      </c>
      <c r="X37" s="1683"/>
      <c r="Y37" s="3455"/>
      <c r="Z37" s="1694" t="str">
        <f t="shared" si="15"/>
        <v>市政基础设施</v>
      </c>
      <c r="AA37" s="1684">
        <f t="shared" si="3"/>
        <v>1</v>
      </c>
      <c r="AB37" s="1684">
        <f t="shared" si="4"/>
        <v>1</v>
      </c>
      <c r="AC37" s="1684">
        <f t="shared" si="5"/>
        <v>1</v>
      </c>
    </row>
    <row r="38" spans="1:29" ht="15">
      <c r="A38" s="1773"/>
      <c r="B38" s="1696" t="s">
        <v>2366</v>
      </c>
      <c r="C38" s="1756"/>
      <c r="D38" s="1712">
        <v>100</v>
      </c>
      <c r="E38" s="1756"/>
      <c r="F38" s="1755">
        <f>SUMIF(114:114,E38,115:115)-SUMIF(114:114,C38,115:115)+100</f>
        <v>100</v>
      </c>
      <c r="G38" s="1756"/>
      <c r="H38" s="1712">
        <f>SUMIF(114:114,G38,115:115)-SUMIF(114:114,C38,115:115)+100</f>
        <v>100</v>
      </c>
      <c r="I38" s="1756"/>
      <c r="J38" s="1712">
        <f>SUMIF(114:114,I38,115:115)-SUMIF(114:114,C38,115:115)+100</f>
        <v>100</v>
      </c>
      <c r="K38" s="1993"/>
      <c r="L38" s="2999"/>
      <c r="M38" s="2995"/>
      <c r="N38" s="2995"/>
      <c r="O38" s="2995"/>
      <c r="P38" s="3453" t="s">
        <v>2276</v>
      </c>
      <c r="Q38" s="2072" t="str">
        <f t="shared" si="11"/>
        <v>业态</v>
      </c>
      <c r="R38" s="1726" t="s">
        <v>25</v>
      </c>
      <c r="S38" s="1727">
        <f t="shared" si="12"/>
        <v>100</v>
      </c>
      <c r="T38" s="1726" t="s">
        <v>25</v>
      </c>
      <c r="U38" s="1727">
        <f t="shared" si="13"/>
        <v>100</v>
      </c>
      <c r="V38" s="1726" t="s">
        <v>25</v>
      </c>
      <c r="W38" s="1727">
        <f t="shared" si="14"/>
        <v>100</v>
      </c>
      <c r="X38" s="2075"/>
      <c r="Y38" s="3455" t="s">
        <v>2276</v>
      </c>
      <c r="Z38" s="2079" t="str">
        <f t="shared" si="15"/>
        <v>业态</v>
      </c>
      <c r="AA38" s="2070">
        <f t="shared" si="3"/>
        <v>1</v>
      </c>
      <c r="AB38" s="2070">
        <f t="shared" si="4"/>
        <v>1</v>
      </c>
      <c r="AC38" s="2070">
        <f t="shared" si="5"/>
        <v>1</v>
      </c>
    </row>
    <row r="39" spans="1:29" ht="15">
      <c r="A39" s="1773"/>
      <c r="B39" s="1696" t="s">
        <v>2367</v>
      </c>
      <c r="C39" s="1756"/>
      <c r="D39" s="1712">
        <v>100</v>
      </c>
      <c r="E39" s="1756"/>
      <c r="F39" s="1755">
        <f>SUMIF(116:116,E39,117:117)-SUMIF(116:116,C39,117:117)+100</f>
        <v>100</v>
      </c>
      <c r="G39" s="1756"/>
      <c r="H39" s="1712">
        <f>SUMIF(116:116,G39,117:117)-SUMIF(116:116,C39,117:117)+100</f>
        <v>100</v>
      </c>
      <c r="I39" s="1756"/>
      <c r="J39" s="1712">
        <f>SUMIF(116:116,I39,117:117)-SUMIF(116:116,C39,117:117)+100</f>
        <v>100</v>
      </c>
      <c r="K39" s="1993"/>
      <c r="L39" s="2999"/>
      <c r="M39" s="2995"/>
      <c r="N39" s="2995"/>
      <c r="O39" s="2995"/>
      <c r="P39" s="3453"/>
      <c r="Q39" s="2072" t="str">
        <f t="shared" si="11"/>
        <v>层高</v>
      </c>
      <c r="R39" s="1726" t="s">
        <v>25</v>
      </c>
      <c r="S39" s="1727">
        <f t="shared" si="12"/>
        <v>100</v>
      </c>
      <c r="T39" s="1726" t="s">
        <v>25</v>
      </c>
      <c r="U39" s="1727">
        <f t="shared" si="13"/>
        <v>100</v>
      </c>
      <c r="V39" s="1726" t="s">
        <v>25</v>
      </c>
      <c r="W39" s="1727">
        <f t="shared" si="14"/>
        <v>100</v>
      </c>
      <c r="X39" s="2075"/>
      <c r="Y39" s="3455"/>
      <c r="Z39" s="2079" t="str">
        <f t="shared" si="15"/>
        <v>层高</v>
      </c>
      <c r="AA39" s="2070">
        <f t="shared" si="3"/>
        <v>1</v>
      </c>
      <c r="AB39" s="2070">
        <f t="shared" si="4"/>
        <v>1</v>
      </c>
      <c r="AC39" s="2070">
        <f t="shared" si="5"/>
        <v>1</v>
      </c>
    </row>
    <row r="40" spans="1:29" ht="15">
      <c r="A40" s="1773"/>
      <c r="B40" s="1696" t="s">
        <v>2368</v>
      </c>
      <c r="C40" s="2478"/>
      <c r="D40" s="1712">
        <v>100</v>
      </c>
      <c r="E40" s="2479"/>
      <c r="F40" s="1755">
        <f>SUMIF(118:118,E40,119:119)-SUMIF(118:118,C40,119:119)+100</f>
        <v>100</v>
      </c>
      <c r="G40" s="2479"/>
      <c r="H40" s="1712">
        <f>SUMIF(118:118,G40,119:119)-SUMIF(118:118,C40,119:119)+100</f>
        <v>100</v>
      </c>
      <c r="I40" s="2479"/>
      <c r="J40" s="1712">
        <f>SUMIF(118:118,I40,119:119)-SUMIF(118:118,C40,119:119)+100</f>
        <v>100</v>
      </c>
      <c r="K40" s="1990"/>
      <c r="L40" s="2999"/>
      <c r="M40" s="2995"/>
      <c r="N40" s="2995"/>
      <c r="O40" s="2995"/>
      <c r="P40" s="3453"/>
      <c r="Q40" s="2072" t="str">
        <f t="shared" si="11"/>
        <v>单套建筑面积</v>
      </c>
      <c r="R40" s="1726" t="s">
        <v>25</v>
      </c>
      <c r="S40" s="1727">
        <f t="shared" si="12"/>
        <v>100</v>
      </c>
      <c r="T40" s="1726" t="s">
        <v>25</v>
      </c>
      <c r="U40" s="1727">
        <f t="shared" si="13"/>
        <v>100</v>
      </c>
      <c r="V40" s="1726" t="s">
        <v>25</v>
      </c>
      <c r="W40" s="1727">
        <f t="shared" si="14"/>
        <v>100</v>
      </c>
      <c r="X40" s="2075"/>
      <c r="Y40" s="3455"/>
      <c r="Z40" s="2079" t="str">
        <f t="shared" si="15"/>
        <v>单套建筑面积</v>
      </c>
      <c r="AA40" s="2070">
        <f t="shared" si="3"/>
        <v>1</v>
      </c>
      <c r="AB40" s="2070">
        <f t="shared" si="4"/>
        <v>1</v>
      </c>
      <c r="AC40" s="2070">
        <f t="shared" si="5"/>
        <v>1</v>
      </c>
    </row>
    <row r="41" spans="1:29" s="1772" customFormat="1" ht="15">
      <c r="A41" s="1765"/>
      <c r="B41" s="2071" t="s">
        <v>2369</v>
      </c>
      <c r="C41" s="1992"/>
      <c r="D41" s="1712">
        <v>100</v>
      </c>
      <c r="E41" s="1992"/>
      <c r="F41" s="1755">
        <f>SUMIF(120:120,E41,121:121)-SUMIF(120:120,C41,121:121)+100</f>
        <v>100</v>
      </c>
      <c r="G41" s="1992"/>
      <c r="H41" s="1712">
        <f>SUMIF(120:120,G41,121:121)-SUMIF(120:120,C41,121:121)+100</f>
        <v>100</v>
      </c>
      <c r="I41" s="1992"/>
      <c r="J41" s="1712">
        <f>SUMIF(120:120,I41,121:121)-SUMIF(120:120,C41,121:121)+100</f>
        <v>100</v>
      </c>
      <c r="K41" s="1993"/>
      <c r="L41" s="2998"/>
      <c r="M41" s="2060"/>
      <c r="N41" s="2060"/>
      <c r="O41" s="2060"/>
      <c r="P41" s="3453"/>
      <c r="Q41" s="1767" t="str">
        <f t="shared" si="11"/>
        <v>进深比</v>
      </c>
      <c r="R41" s="1768" t="s">
        <v>25</v>
      </c>
      <c r="S41" s="1769">
        <f t="shared" si="12"/>
        <v>100</v>
      </c>
      <c r="T41" s="1768" t="s">
        <v>25</v>
      </c>
      <c r="U41" s="1769">
        <f t="shared" si="13"/>
        <v>100</v>
      </c>
      <c r="V41" s="1768" t="s">
        <v>25</v>
      </c>
      <c r="W41" s="1769">
        <f t="shared" si="14"/>
        <v>100</v>
      </c>
      <c r="X41" s="1770"/>
      <c r="Y41" s="3455"/>
      <c r="Z41" s="1771" t="str">
        <f t="shared" si="15"/>
        <v>进深比</v>
      </c>
      <c r="AA41" s="2070">
        <f t="shared" si="3"/>
        <v>1</v>
      </c>
      <c r="AB41" s="2070">
        <f t="shared" si="4"/>
        <v>1</v>
      </c>
      <c r="AC41" s="2070">
        <f t="shared" si="5"/>
        <v>1</v>
      </c>
    </row>
    <row r="42" spans="1:29" ht="15">
      <c r="A42" s="1773"/>
      <c r="B42" s="1696" t="s">
        <v>2370</v>
      </c>
      <c r="C42" s="1756"/>
      <c r="D42" s="1712">
        <v>100</v>
      </c>
      <c r="E42" s="1756"/>
      <c r="F42" s="1755">
        <f>SUMIF(122:122,E42,123:123)-SUMIF(122:122,C42,123:123)+100</f>
        <v>100</v>
      </c>
      <c r="G42" s="1756"/>
      <c r="H42" s="1712">
        <f>SUMIF(122:122,G42,123:123)-SUMIF(122:122,C42,123:123)+100</f>
        <v>100</v>
      </c>
      <c r="I42" s="1756"/>
      <c r="J42" s="1712">
        <f>SUMIF(122:122,I42,123:123)-SUMIF(122:122,C42,123:123)+100</f>
        <v>100</v>
      </c>
      <c r="K42" s="1993"/>
      <c r="L42" s="2999"/>
      <c r="M42" s="2995"/>
      <c r="N42" s="2995"/>
      <c r="O42" s="2995"/>
      <c r="P42" s="3453"/>
      <c r="Q42" s="2072" t="str">
        <f t="shared" si="11"/>
        <v>内部装修</v>
      </c>
      <c r="R42" s="1726" t="s">
        <v>25</v>
      </c>
      <c r="S42" s="1727">
        <f t="shared" si="12"/>
        <v>100</v>
      </c>
      <c r="T42" s="1726" t="s">
        <v>25</v>
      </c>
      <c r="U42" s="1727">
        <f t="shared" si="13"/>
        <v>100</v>
      </c>
      <c r="V42" s="1726" t="s">
        <v>25</v>
      </c>
      <c r="W42" s="1727">
        <f t="shared" si="14"/>
        <v>100</v>
      </c>
      <c r="X42" s="2075"/>
      <c r="Y42" s="3455"/>
      <c r="Z42" s="2079" t="str">
        <f t="shared" si="15"/>
        <v>内部装修</v>
      </c>
      <c r="AA42" s="2070">
        <f t="shared" si="3"/>
        <v>1</v>
      </c>
      <c r="AB42" s="2070">
        <f t="shared" si="4"/>
        <v>1</v>
      </c>
      <c r="AC42" s="2070">
        <f t="shared" si="5"/>
        <v>1</v>
      </c>
    </row>
    <row r="43" spans="1:29" ht="15">
      <c r="A43" s="1773"/>
      <c r="B43" s="1696" t="s">
        <v>2287</v>
      </c>
      <c r="C43" s="1756"/>
      <c r="D43" s="1712">
        <v>100</v>
      </c>
      <c r="E43" s="1756"/>
      <c r="F43" s="1755">
        <f>SUMIF(124:124,E43,125:125)-SUMIF(124:124,C43,125:125)+100</f>
        <v>100</v>
      </c>
      <c r="G43" s="1756"/>
      <c r="H43" s="1712">
        <f>SUMIF(124:124,G43,125:125)-SUMIF(124:124,C43,125:125)+100</f>
        <v>100</v>
      </c>
      <c r="I43" s="1756"/>
      <c r="J43" s="1712">
        <f>SUMIF(124:124,I43,125:125)-SUMIF(124:124,C43,125:125)+100</f>
        <v>100</v>
      </c>
      <c r="K43" s="1993"/>
      <c r="L43" s="2999"/>
      <c r="M43" s="2995"/>
      <c r="N43" s="2995"/>
      <c r="O43" s="2995"/>
      <c r="P43" s="3453"/>
      <c r="Q43" s="2072" t="str">
        <f t="shared" si="11"/>
        <v>内部装修维护情况</v>
      </c>
      <c r="R43" s="1726" t="s">
        <v>25</v>
      </c>
      <c r="S43" s="1727">
        <f t="shared" si="12"/>
        <v>100</v>
      </c>
      <c r="T43" s="1726" t="s">
        <v>25</v>
      </c>
      <c r="U43" s="1727">
        <f t="shared" si="13"/>
        <v>100</v>
      </c>
      <c r="V43" s="1726" t="s">
        <v>25</v>
      </c>
      <c r="W43" s="1727">
        <f t="shared" si="14"/>
        <v>100</v>
      </c>
      <c r="X43" s="2075"/>
      <c r="Y43" s="3455"/>
      <c r="Z43" s="2079" t="str">
        <f t="shared" si="15"/>
        <v>内部装修维护情况</v>
      </c>
      <c r="AA43" s="2070">
        <f t="shared" si="3"/>
        <v>1</v>
      </c>
      <c r="AB43" s="2070">
        <f t="shared" si="4"/>
        <v>1</v>
      </c>
      <c r="AC43" s="2070">
        <f t="shared" si="5"/>
        <v>1</v>
      </c>
    </row>
    <row r="44" spans="1:29" s="1685" customFormat="1" ht="15">
      <c r="A44" s="1776"/>
      <c r="B44" s="1761">
        <v>111</v>
      </c>
      <c r="C44" s="1766"/>
      <c r="D44" s="1698">
        <v>100</v>
      </c>
      <c r="E44" s="1711"/>
      <c r="F44" s="1700">
        <f>SUMIF(126:126,E44,127:127)-SUMIF(126:126,C44,127:127)+100</f>
        <v>100</v>
      </c>
      <c r="G44" s="1711"/>
      <c r="H44" s="1698">
        <f>SUMIF(126:126,G44,127:127)-SUMIF(126:126,C44,127:127)+100</f>
        <v>100</v>
      </c>
      <c r="I44" s="1711"/>
      <c r="J44" s="1698">
        <f>SUMIF(126:126,I44,127:127)-SUMIF(126:126,C44,127:127)+100</f>
        <v>100</v>
      </c>
      <c r="K44" s="1990"/>
      <c r="L44" s="2994"/>
      <c r="M44" s="2967"/>
      <c r="N44" s="2967"/>
      <c r="O44" s="2967"/>
      <c r="P44" s="3453"/>
      <c r="Q44" s="2066">
        <f t="shared" si="11"/>
        <v>111</v>
      </c>
      <c r="R44" s="1681" t="s">
        <v>25</v>
      </c>
      <c r="S44" s="1682">
        <f t="shared" si="12"/>
        <v>100</v>
      </c>
      <c r="T44" s="1681" t="s">
        <v>25</v>
      </c>
      <c r="U44" s="1682">
        <f t="shared" si="13"/>
        <v>100</v>
      </c>
      <c r="V44" s="1681" t="s">
        <v>25</v>
      </c>
      <c r="W44" s="1682">
        <f t="shared" si="14"/>
        <v>100</v>
      </c>
      <c r="X44" s="1683"/>
      <c r="Y44" s="3455"/>
      <c r="Z44" s="1694">
        <f t="shared" si="15"/>
        <v>111</v>
      </c>
      <c r="AA44" s="1684">
        <f t="shared" si="3"/>
        <v>1</v>
      </c>
      <c r="AB44" s="1684">
        <f t="shared" si="4"/>
        <v>1</v>
      </c>
      <c r="AC44" s="1684">
        <f t="shared" si="5"/>
        <v>1</v>
      </c>
    </row>
    <row r="45" spans="1:29" ht="15">
      <c r="A45" s="1773"/>
      <c r="B45" s="1761">
        <v>111</v>
      </c>
      <c r="C45" s="1711"/>
      <c r="D45" s="1712">
        <v>100</v>
      </c>
      <c r="E45" s="1711"/>
      <c r="F45" s="1755">
        <f>SUMIF(128:128,E45,129:129)-SUMIF(128:128,C45,129:129)+100</f>
        <v>100</v>
      </c>
      <c r="G45" s="1711"/>
      <c r="H45" s="1712">
        <f>SUMIF(128:128,G45,129:129)-SUMIF(128:128,C45,129:129)+100</f>
        <v>100</v>
      </c>
      <c r="I45" s="1711"/>
      <c r="J45" s="1712">
        <f>SUMIF(128:128,I45,129:129)-SUMIF(128:128,C45,129:129)+100</f>
        <v>100</v>
      </c>
      <c r="K45" s="1990"/>
      <c r="L45" s="2999"/>
      <c r="M45" s="2995"/>
      <c r="N45" s="2995"/>
      <c r="O45" s="2995"/>
      <c r="P45" s="3453"/>
      <c r="Q45" s="2072">
        <f t="shared" si="11"/>
        <v>111</v>
      </c>
      <c r="R45" s="1726" t="s">
        <v>25</v>
      </c>
      <c r="S45" s="1727">
        <f t="shared" si="12"/>
        <v>100</v>
      </c>
      <c r="T45" s="1726" t="s">
        <v>25</v>
      </c>
      <c r="U45" s="1727">
        <f t="shared" si="13"/>
        <v>100</v>
      </c>
      <c r="V45" s="1726" t="s">
        <v>25</v>
      </c>
      <c r="W45" s="1727">
        <f t="shared" si="14"/>
        <v>100</v>
      </c>
      <c r="X45" s="2075"/>
      <c r="Y45" s="3455"/>
      <c r="Z45" s="2079">
        <f t="shared" si="15"/>
        <v>111</v>
      </c>
      <c r="AA45" s="2070">
        <f t="shared" si="3"/>
        <v>1</v>
      </c>
      <c r="AB45" s="2070">
        <f t="shared" si="4"/>
        <v>1</v>
      </c>
      <c r="AC45" s="2070">
        <f t="shared" si="5"/>
        <v>1</v>
      </c>
    </row>
    <row r="46" spans="1:29" ht="15.75" thickBot="1">
      <c r="A46" s="1781"/>
      <c r="B46" s="1714">
        <v>111</v>
      </c>
      <c r="C46" s="1715"/>
      <c r="D46" s="1716">
        <v>100</v>
      </c>
      <c r="E46" s="1711"/>
      <c r="F46" s="1717">
        <f>SUMIF(130:130,E46,131:131)-SUMIF(130:130,C46,131:131)+100</f>
        <v>100</v>
      </c>
      <c r="G46" s="1711"/>
      <c r="H46" s="1716">
        <f>SUMIF(130:130,G46,131:131)-SUMIF(130:130,C46,131:131)+100</f>
        <v>100</v>
      </c>
      <c r="I46" s="1711"/>
      <c r="J46" s="1716">
        <f>SUMIF(130:130,I46,131:131)-SUMIF(130:130,C46,131:131)+100</f>
        <v>100</v>
      </c>
      <c r="K46" s="1990"/>
      <c r="L46" s="2999"/>
      <c r="M46" s="2995"/>
      <c r="N46" s="2995"/>
      <c r="O46" s="2995"/>
      <c r="P46" s="3454"/>
      <c r="Q46" s="2072">
        <f t="shared" si="11"/>
        <v>111</v>
      </c>
      <c r="R46" s="1726" t="s">
        <v>25</v>
      </c>
      <c r="S46" s="1727">
        <f t="shared" si="12"/>
        <v>100</v>
      </c>
      <c r="T46" s="1726" t="s">
        <v>25</v>
      </c>
      <c r="U46" s="1727">
        <f t="shared" si="13"/>
        <v>100</v>
      </c>
      <c r="V46" s="1726" t="s">
        <v>25</v>
      </c>
      <c r="W46" s="1727">
        <f t="shared" si="14"/>
        <v>100</v>
      </c>
      <c r="X46" s="2075"/>
      <c r="Y46" s="3456"/>
      <c r="Z46" s="2079">
        <f t="shared" si="15"/>
        <v>111</v>
      </c>
      <c r="AA46" s="2070">
        <f t="shared" si="3"/>
        <v>1</v>
      </c>
      <c r="AB46" s="2070">
        <f t="shared" si="4"/>
        <v>1</v>
      </c>
      <c r="AC46" s="2070">
        <f t="shared" si="5"/>
        <v>1</v>
      </c>
    </row>
    <row r="47" spans="1:29" ht="15">
      <c r="A47" s="1782" t="s">
        <v>2288</v>
      </c>
      <c r="B47" s="1783"/>
      <c r="C47" s="1784" t="s">
        <v>1</v>
      </c>
      <c r="D47" s="1785"/>
      <c r="E47" s="1786"/>
      <c r="F47" s="1787"/>
      <c r="G47" s="1788"/>
      <c r="H47" s="1789"/>
      <c r="I47" s="1786"/>
      <c r="J47" s="1789"/>
      <c r="K47" s="2014"/>
      <c r="L47" s="3000"/>
      <c r="N47" s="2995"/>
      <c r="P47" s="3447" t="str">
        <f>A47</f>
        <v>成交单价（元/平方米）</v>
      </c>
      <c r="Q47" s="3447"/>
      <c r="R47" s="3443">
        <f>E47</f>
        <v>0</v>
      </c>
      <c r="S47" s="3443"/>
      <c r="T47" s="3443">
        <f>G47</f>
        <v>0</v>
      </c>
      <c r="U47" s="3443"/>
      <c r="V47" s="3443">
        <f>I47</f>
        <v>0</v>
      </c>
      <c r="W47" s="3443"/>
      <c r="X47" s="1792"/>
      <c r="Y47" s="2074"/>
      <c r="Z47" s="1792"/>
      <c r="AA47" s="1792"/>
      <c r="AB47" s="1792"/>
      <c r="AC47" s="1792"/>
    </row>
    <row r="48" spans="1:29" ht="15.75" thickBot="1">
      <c r="A48" s="1794" t="s">
        <v>2371</v>
      </c>
      <c r="B48" s="1795"/>
      <c r="C48" s="1796" t="e">
        <f>R49</f>
        <v>#DIV/0!</v>
      </c>
      <c r="D48" s="1797" t="s">
        <v>2745</v>
      </c>
      <c r="E48" s="1798" t="e">
        <f>R48</f>
        <v>#DIV/0!</v>
      </c>
      <c r="F48" s="1799"/>
      <c r="G48" s="1796" t="e">
        <f>T48</f>
        <v>#DIV/0!</v>
      </c>
      <c r="H48" s="1799"/>
      <c r="I48" s="1798" t="e">
        <f>V48</f>
        <v>#DIV/0!</v>
      </c>
      <c r="J48" s="1799"/>
      <c r="K48" s="2511">
        <f>F48+H48+J48</f>
        <v>0</v>
      </c>
      <c r="L48" s="3000"/>
      <c r="N48" s="2995"/>
      <c r="P48" s="3447" t="str">
        <f>A48</f>
        <v>比较价值（元/平方米）</v>
      </c>
      <c r="Q48" s="3447"/>
      <c r="R48" s="3443" t="e">
        <f>IF(E1="售价",ROUND(PRODUCT(R47,AA7:AA46),0),ROUND(PRODUCT(R47,AA7:AA46),1))</f>
        <v>#DIV/0!</v>
      </c>
      <c r="S48" s="3443"/>
      <c r="T48" s="3443" t="e">
        <f>IF(E1="售价",ROUND(PRODUCT(T47,AB7:AB46),0),ROUND(PRODUCT(T47,AB7:AB46),1))</f>
        <v>#DIV/0!</v>
      </c>
      <c r="U48" s="3443"/>
      <c r="V48" s="3443" t="e">
        <f>IF(E1="售价",ROUND(PRODUCT(V47,AC7:AC46),0),ROUND(PRODUCT(V47,AC7:AC46),1))</f>
        <v>#DIV/0!</v>
      </c>
      <c r="W48" s="3443"/>
      <c r="X48" s="1792"/>
      <c r="Y48" s="1792"/>
      <c r="Z48" s="1792"/>
      <c r="AA48" s="1792"/>
      <c r="AB48" s="1792"/>
      <c r="AC48" s="1792"/>
    </row>
    <row r="49" spans="1:29" ht="15.75" thickBot="1">
      <c r="A49" s="1800" t="s">
        <v>2372</v>
      </c>
      <c r="B49" s="1801"/>
      <c r="C49" s="1803" t="e">
        <f>R49</f>
        <v>#DIV/0!</v>
      </c>
      <c r="D49" s="1803"/>
      <c r="E49" s="1803"/>
      <c r="F49" s="1803"/>
      <c r="G49" s="1803"/>
      <c r="H49" s="1803"/>
      <c r="I49" s="1803"/>
      <c r="J49" s="1803"/>
      <c r="K49" s="2019"/>
      <c r="L49" s="3000"/>
      <c r="N49" s="2995"/>
      <c r="P49" s="3444" t="str">
        <f>A49</f>
        <v>估价对象XX用房的比较价值（楼面单价，元/平方米）</v>
      </c>
      <c r="Q49" s="3445"/>
      <c r="R49" s="3446" t="e">
        <f>IF(E1="售价",ROUND(IF(D48="简单平均",AVERAGE(R48:V48),R48*F48+T48*H48+V48*J48),0),ROUND(IF(D48="简单平均",AVERAGE(R48:V48),R48*F48+T48*H48+V48*J48),1))</f>
        <v>#DIV/0!</v>
      </c>
      <c r="S49" s="3446"/>
      <c r="T49" s="3446"/>
      <c r="U49" s="3446"/>
      <c r="V49" s="3446"/>
      <c r="W49" s="3446"/>
      <c r="X49" s="1792"/>
      <c r="Y49" s="1792"/>
      <c r="Z49" s="1792"/>
      <c r="AA49" s="1792"/>
      <c r="AB49" s="1792"/>
      <c r="AC49" s="1792"/>
    </row>
    <row r="50" spans="1:29">
      <c r="G50" s="3004"/>
      <c r="P50" s="2480"/>
      <c r="Q50" s="1791"/>
      <c r="R50" s="1791"/>
      <c r="S50" s="1791"/>
      <c r="T50" s="1791"/>
      <c r="U50" s="1791"/>
      <c r="V50" s="1791"/>
      <c r="W50" s="1791"/>
      <c r="X50" s="1791"/>
      <c r="Y50" s="1791"/>
      <c r="Z50" s="1791"/>
      <c r="AA50" s="1791"/>
      <c r="AB50" s="1791"/>
      <c r="AC50" s="1791"/>
    </row>
    <row r="51" spans="1:29">
      <c r="P51" s="2480"/>
      <c r="Q51" s="1791"/>
      <c r="R51" s="1791"/>
      <c r="S51" s="1791"/>
      <c r="T51" s="1791"/>
      <c r="U51" s="1791"/>
      <c r="V51" s="1791"/>
      <c r="W51" s="1791"/>
      <c r="X51" s="1791"/>
      <c r="Y51" s="1791"/>
      <c r="Z51" s="1791"/>
      <c r="AA51" s="1791"/>
      <c r="AB51" s="1791"/>
      <c r="AC51" s="1791"/>
    </row>
    <row r="52" spans="1:29" ht="13.5" customHeight="1">
      <c r="C52" s="383" t="s">
        <v>2373</v>
      </c>
      <c r="D52" s="1808"/>
      <c r="E52" s="1809" t="e">
        <f>IF(E47&lt;E48,E48/E47-1,E47/E48-1)</f>
        <v>#DIV/0!</v>
      </c>
      <c r="F52" s="1810" t="e">
        <f>IF(OR(E52&gt;=0.3,E52&lt;=-0.3),"超过30%","")</f>
        <v>#DIV/0!</v>
      </c>
      <c r="G52" s="1809" t="e">
        <f>IF(G47&lt;G48,G48/G47-1,G47/G48-1)</f>
        <v>#DIV/0!</v>
      </c>
      <c r="H52" s="1810" t="e">
        <f>IF(OR(G52&gt;=0.3,G52&lt;=-0.3),"超过30%","")</f>
        <v>#DIV/0!</v>
      </c>
      <c r="I52" s="1809" t="e">
        <f>IF(I47&lt;I48,I48/I47-1,I47/I48-1)</f>
        <v>#DIV/0!</v>
      </c>
      <c r="J52" s="1810" t="e">
        <f>IF(OR(I52&gt;=0.3,I52&lt;=-0.3),"超过30%","")</f>
        <v>#DIV/0!</v>
      </c>
      <c r="P52" s="2480"/>
      <c r="Q52" s="1791"/>
      <c r="R52" s="1791"/>
      <c r="S52" s="1791"/>
      <c r="T52" s="1791"/>
      <c r="U52" s="1791"/>
      <c r="V52" s="1791"/>
      <c r="W52" s="1791"/>
      <c r="X52" s="1791"/>
      <c r="Y52" s="1791"/>
      <c r="Z52" s="1791"/>
      <c r="AA52" s="1791"/>
      <c r="AB52" s="1791"/>
      <c r="AC52" s="1791"/>
    </row>
    <row r="53" spans="1:29" ht="13.5" customHeight="1">
      <c r="C53" s="383" t="s">
        <v>2374</v>
      </c>
      <c r="D53" s="1811"/>
      <c r="E53" s="1809" t="e">
        <f>IF(E48&lt;G48,G48/E48-1,E48/G48-1)</f>
        <v>#DIV/0!</v>
      </c>
      <c r="F53" s="1810" t="e">
        <f>IF(OR(E53&gt;=0.2,E53&lt;=-0.2),"超过20%","")</f>
        <v>#DIV/0!</v>
      </c>
      <c r="G53" s="1809" t="e">
        <f>IF(G48&lt;I48,I48/G48-1,G48/I48-1)</f>
        <v>#DIV/0!</v>
      </c>
      <c r="H53" s="1810" t="e">
        <f>IF(OR(G53&gt;=0.2,G53&lt;=-0.2),"超过20%","")</f>
        <v>#DIV/0!</v>
      </c>
      <c r="I53" s="1809" t="e">
        <f>IF(I48&lt;E48,E48/I48-1,I48/E48-1)</f>
        <v>#DIV/0!</v>
      </c>
      <c r="J53" s="1810" t="e">
        <f>IF(OR(I53&gt;=0.2,I53&lt;=-0.2),"超过20%","")</f>
        <v>#DIV/0!</v>
      </c>
      <c r="P53" s="2480"/>
      <c r="Q53" s="1791"/>
      <c r="R53" s="1791"/>
      <c r="S53" s="1791"/>
      <c r="T53" s="1791"/>
      <c r="U53" s="1791"/>
      <c r="V53" s="1791"/>
      <c r="W53" s="1791"/>
      <c r="X53" s="1791"/>
      <c r="Y53" s="1791"/>
      <c r="Z53" s="1791"/>
      <c r="AA53" s="1791"/>
      <c r="AB53" s="1791"/>
      <c r="AC53" s="1791"/>
    </row>
    <row r="54" spans="1:29" s="1814" customFormat="1" ht="13.5" customHeight="1">
      <c r="C54" s="383" t="s">
        <v>2375</v>
      </c>
      <c r="D54" s="1811"/>
      <c r="E54" s="1809" t="e">
        <f>IF(E47&lt;G47,G47/E47-1,E47/G47-1)</f>
        <v>#DIV/0!</v>
      </c>
      <c r="F54" s="1810" t="e">
        <f>IF(OR(E54&gt;=0.3,E54&lt;=-0.3),"超过30%","")</f>
        <v>#DIV/0!</v>
      </c>
      <c r="G54" s="1809" t="e">
        <f>IF(G47&lt;I47,I47/G47-1,G47/I47-1)</f>
        <v>#DIV/0!</v>
      </c>
      <c r="H54" s="1810" t="e">
        <f>IF(OR(G54&gt;=0.3,G54&lt;=-0.3),"超过30%","")</f>
        <v>#DIV/0!</v>
      </c>
      <c r="I54" s="1809" t="e">
        <f>IF(I47&lt;E47,E47/I47-1,I47/E47-1)</f>
        <v>#DIV/0!</v>
      </c>
      <c r="J54" s="1810" t="e">
        <f>IF(OR(I54&gt;=0.3,I54&lt;=-0.3),"超过30%","")</f>
        <v>#DIV/0!</v>
      </c>
      <c r="K54" s="3007"/>
      <c r="L54" s="3001"/>
      <c r="P54" s="2481"/>
      <c r="Q54" s="1812"/>
      <c r="R54" s="1812"/>
      <c r="S54" s="1812"/>
      <c r="T54" s="1812"/>
      <c r="U54" s="1812"/>
      <c r="V54" s="1812"/>
      <c r="W54" s="1812"/>
      <c r="X54" s="1812"/>
      <c r="Y54" s="1812"/>
      <c r="Z54" s="1812"/>
      <c r="AA54" s="1812"/>
      <c r="AB54" s="1812"/>
      <c r="AC54" s="1812"/>
    </row>
    <row r="55" spans="1:29" s="1814" customFormat="1">
      <c r="B55" s="3005"/>
      <c r="C55" s="3006"/>
      <c r="K55" s="3007"/>
      <c r="L55" s="3001"/>
      <c r="P55" s="2481"/>
      <c r="Q55" s="1812"/>
      <c r="R55" s="1812"/>
      <c r="S55" s="1812"/>
      <c r="T55" s="1812"/>
      <c r="U55" s="1812"/>
      <c r="V55" s="1812"/>
      <c r="W55" s="1812"/>
      <c r="X55" s="1812"/>
      <c r="Y55" s="1812"/>
      <c r="Z55" s="1812"/>
      <c r="AA55" s="1812"/>
      <c r="AB55" s="1812"/>
      <c r="AC55" s="1812"/>
    </row>
    <row r="56" spans="1:29">
      <c r="B56" s="3005"/>
      <c r="C56" s="3006"/>
      <c r="P56" s="2480"/>
      <c r="Q56" s="1791"/>
      <c r="R56" s="1791"/>
      <c r="S56" s="1791"/>
      <c r="T56" s="1791"/>
      <c r="U56" s="1791"/>
      <c r="V56" s="1791"/>
      <c r="W56" s="1791"/>
      <c r="X56" s="1791"/>
      <c r="Y56" s="1791"/>
      <c r="Z56" s="1791"/>
      <c r="AA56" s="1791"/>
      <c r="AB56" s="1791"/>
      <c r="AC56" s="1791"/>
    </row>
    <row r="57" spans="1:29" ht="21.75" thickBot="1">
      <c r="A57" s="1817" t="s">
        <v>2376</v>
      </c>
      <c r="B57" s="1792"/>
      <c r="C57" s="1818"/>
      <c r="D57" s="1818"/>
      <c r="E57" s="1818"/>
      <c r="F57" s="1818"/>
      <c r="G57" s="1818"/>
      <c r="H57" s="1818"/>
      <c r="I57" s="1818"/>
      <c r="J57" s="1818"/>
      <c r="K57" s="1819"/>
      <c r="L57" s="2045"/>
      <c r="M57" s="2043"/>
      <c r="N57" s="3003"/>
      <c r="O57" s="3003"/>
      <c r="P57" s="2482"/>
      <c r="Q57" s="2483"/>
      <c r="R57" s="1791"/>
      <c r="S57" s="1791"/>
      <c r="T57" s="1791"/>
      <c r="U57" s="1791"/>
      <c r="V57" s="1791"/>
      <c r="W57" s="1791"/>
      <c r="X57" s="1791"/>
      <c r="Y57" s="1791"/>
      <c r="Z57" s="1791"/>
      <c r="AA57" s="1791"/>
      <c r="AB57" s="1791"/>
      <c r="AC57" s="1791"/>
    </row>
    <row r="58" spans="1:29" s="1828" customFormat="1" ht="15">
      <c r="A58" s="1823" t="s">
        <v>2258</v>
      </c>
      <c r="B58" s="1824"/>
      <c r="C58" s="1825" t="str">
        <f>YEAR(C7)&amp;"-"&amp;MONTH(C7)</f>
        <v>2021-5</v>
      </c>
      <c r="D58" s="1826">
        <f>EDATE(C58,-1)</f>
        <v>44287</v>
      </c>
      <c r="E58" s="1826">
        <f t="shared" ref="E58:O58" si="16">EDATE(D58,-1)</f>
        <v>44256</v>
      </c>
      <c r="F58" s="1826">
        <f t="shared" si="16"/>
        <v>44228</v>
      </c>
      <c r="G58" s="1826">
        <f t="shared" si="16"/>
        <v>44197</v>
      </c>
      <c r="H58" s="1826">
        <f t="shared" si="16"/>
        <v>44166</v>
      </c>
      <c r="I58" s="1826">
        <f t="shared" si="16"/>
        <v>44136</v>
      </c>
      <c r="J58" s="1826">
        <f t="shared" si="16"/>
        <v>44105</v>
      </c>
      <c r="K58" s="1826">
        <f t="shared" si="16"/>
        <v>44075</v>
      </c>
      <c r="L58" s="1826">
        <f t="shared" si="16"/>
        <v>44044</v>
      </c>
      <c r="M58" s="1826">
        <f t="shared" si="16"/>
        <v>44013</v>
      </c>
      <c r="N58" s="1826">
        <f t="shared" si="16"/>
        <v>43983</v>
      </c>
      <c r="O58" s="1826">
        <f t="shared" si="16"/>
        <v>43952</v>
      </c>
      <c r="P58" s="1827"/>
    </row>
    <row r="59" spans="1:29" s="1685" customFormat="1" ht="15">
      <c r="A59" s="1829"/>
      <c r="B59" s="1830"/>
      <c r="C59" s="1831">
        <v>100</v>
      </c>
      <c r="D59" s="1832"/>
      <c r="E59" s="1832"/>
      <c r="F59" s="1832"/>
      <c r="G59" s="1832"/>
      <c r="H59" s="1832"/>
      <c r="I59" s="1832"/>
      <c r="J59" s="1832"/>
      <c r="K59" s="1832"/>
      <c r="L59" s="1832"/>
      <c r="M59" s="1833"/>
      <c r="N59" s="1832"/>
      <c r="O59" s="1833"/>
      <c r="P59" s="1834"/>
    </row>
    <row r="60" spans="1:29" s="1685" customFormat="1" ht="15.75" thickBot="1">
      <c r="A60" s="1835" t="s">
        <v>2296</v>
      </c>
      <c r="B60" s="1836"/>
      <c r="C60" s="1837"/>
      <c r="D60" s="1838"/>
      <c r="E60" s="1838"/>
      <c r="F60" s="1838"/>
      <c r="G60" s="1838"/>
      <c r="H60" s="1838"/>
      <c r="I60" s="1838"/>
      <c r="J60" s="1838"/>
      <c r="K60" s="1838"/>
      <c r="L60" s="1838"/>
      <c r="M60" s="1839"/>
      <c r="N60" s="1838"/>
      <c r="O60" s="1839"/>
      <c r="P60" s="1834"/>
      <c r="Q60" s="1822"/>
    </row>
    <row r="61" spans="1:29" s="1685" customFormat="1" ht="15">
      <c r="A61" s="1840" t="s">
        <v>2260</v>
      </c>
      <c r="B61" s="1830"/>
      <c r="C61" s="1841" t="s">
        <v>2261</v>
      </c>
      <c r="D61" s="409"/>
      <c r="E61" s="409"/>
      <c r="F61" s="409"/>
      <c r="G61" s="409"/>
      <c r="H61" s="409"/>
      <c r="I61" s="409"/>
      <c r="J61" s="409"/>
      <c r="K61" s="409"/>
      <c r="L61" s="409"/>
      <c r="M61" s="1842"/>
      <c r="N61" s="3012"/>
      <c r="O61" s="3012"/>
      <c r="P61" s="1844"/>
      <c r="Q61" s="1822"/>
    </row>
    <row r="62" spans="1:29" s="1685" customFormat="1" ht="15.75" thickBot="1">
      <c r="A62" s="1840"/>
      <c r="B62" s="1830"/>
      <c r="C62" s="1845">
        <v>100</v>
      </c>
      <c r="D62" s="1832"/>
      <c r="E62" s="1832"/>
      <c r="F62" s="1832"/>
      <c r="G62" s="1832"/>
      <c r="H62" s="1832"/>
      <c r="I62" s="1832"/>
      <c r="J62" s="1832"/>
      <c r="K62" s="1832"/>
      <c r="L62" s="1832"/>
      <c r="M62" s="1846"/>
      <c r="N62" s="3012"/>
      <c r="O62" s="3012"/>
      <c r="P62" s="1834"/>
      <c r="Q62" s="1822"/>
    </row>
    <row r="63" spans="1:29">
      <c r="A63" s="1847" t="s">
        <v>2299</v>
      </c>
      <c r="B63" s="1848" t="s">
        <v>2264</v>
      </c>
      <c r="C63" s="1849">
        <f>C9</f>
        <v>0</v>
      </c>
      <c r="D63" s="1850"/>
      <c r="E63" s="1850"/>
      <c r="F63" s="1850"/>
      <c r="G63" s="1850"/>
      <c r="H63" s="1850"/>
      <c r="I63" s="1850"/>
      <c r="J63" s="1850"/>
      <c r="K63" s="417"/>
      <c r="L63" s="417"/>
      <c r="M63" s="1851"/>
      <c r="N63" s="3013"/>
      <c r="O63" s="3013"/>
      <c r="P63" s="1853"/>
      <c r="Q63" s="1822"/>
    </row>
    <row r="64" spans="1:29" ht="15.75" thickBot="1">
      <c r="A64" s="1854"/>
      <c r="B64" s="1855"/>
      <c r="C64" s="1856">
        <v>100</v>
      </c>
      <c r="D64" s="1856"/>
      <c r="E64" s="1856"/>
      <c r="F64" s="1856"/>
      <c r="G64" s="1856"/>
      <c r="H64" s="1856"/>
      <c r="I64" s="1856"/>
      <c r="J64" s="1856"/>
      <c r="K64" s="1856"/>
      <c r="L64" s="1856"/>
      <c r="M64" s="1857"/>
      <c r="N64" s="3014"/>
      <c r="O64" s="3014"/>
      <c r="P64" s="1853"/>
      <c r="Q64" s="1822"/>
    </row>
    <row r="65" spans="1:17" ht="27.75" thickTop="1">
      <c r="A65" s="1854"/>
      <c r="B65" s="1859" t="s">
        <v>2267</v>
      </c>
      <c r="C65" s="1860" t="s">
        <v>2300</v>
      </c>
      <c r="D65" s="1860" t="s">
        <v>2301</v>
      </c>
      <c r="E65" s="1860" t="s">
        <v>2302</v>
      </c>
      <c r="F65" s="1860" t="s">
        <v>2303</v>
      </c>
      <c r="G65" s="1860" t="s">
        <v>2304</v>
      </c>
      <c r="H65" s="1860" t="s">
        <v>2305</v>
      </c>
      <c r="I65" s="1860" t="s">
        <v>2306</v>
      </c>
      <c r="J65" s="1860"/>
      <c r="K65" s="428"/>
      <c r="L65" s="428"/>
      <c r="M65" s="1861"/>
      <c r="N65" s="3013"/>
      <c r="O65" s="3013"/>
      <c r="P65" s="1853"/>
      <c r="Q65" s="1822"/>
    </row>
    <row r="66" spans="1:17" ht="15.75" thickBot="1">
      <c r="A66" s="1854"/>
      <c r="B66" s="1862"/>
      <c r="C66" s="1863" t="s">
        <v>36</v>
      </c>
      <c r="D66" s="1863" t="s">
        <v>37</v>
      </c>
      <c r="E66" s="1863" t="s">
        <v>38</v>
      </c>
      <c r="F66" s="1863">
        <v>100</v>
      </c>
      <c r="G66" s="1863">
        <f>F66-$K10</f>
        <v>100</v>
      </c>
      <c r="H66" s="1863">
        <f>G66-$K10</f>
        <v>100</v>
      </c>
      <c r="I66" s="1863">
        <f>H66-$K10</f>
        <v>100</v>
      </c>
      <c r="J66" s="1863"/>
      <c r="K66" s="1863"/>
      <c r="L66" s="1863"/>
      <c r="M66" s="1864"/>
      <c r="N66" s="3014"/>
      <c r="O66" s="3014"/>
      <c r="P66" s="1853"/>
      <c r="Q66" s="1822"/>
    </row>
    <row r="67" spans="1:17" ht="15.75" thickTop="1">
      <c r="A67" s="1854"/>
      <c r="B67" s="1865" t="s">
        <v>2268</v>
      </c>
      <c r="C67" s="1866" t="str">
        <f>C68&amp;"（含）"&amp;"-"&amp;D68</f>
        <v>（含）-</v>
      </c>
      <c r="D67" s="1866" t="str">
        <f t="shared" ref="D67:L67" si="17">D68&amp;"（含）"&amp;"-"&amp;E68</f>
        <v>（含）-</v>
      </c>
      <c r="E67" s="1866" t="str">
        <f t="shared" si="17"/>
        <v>（含）-</v>
      </c>
      <c r="F67" s="1866" t="str">
        <f t="shared" si="17"/>
        <v>（含）-</v>
      </c>
      <c r="G67" s="1866" t="str">
        <f t="shared" si="17"/>
        <v>（含）-</v>
      </c>
      <c r="H67" s="1866" t="str">
        <f t="shared" si="17"/>
        <v>（含）-</v>
      </c>
      <c r="I67" s="1866" t="str">
        <f t="shared" si="17"/>
        <v>（含）-</v>
      </c>
      <c r="J67" s="1866" t="str">
        <f t="shared" si="17"/>
        <v>（含）-</v>
      </c>
      <c r="K67" s="1866" t="str">
        <f t="shared" si="17"/>
        <v>（含）-</v>
      </c>
      <c r="L67" s="1866" t="str">
        <f t="shared" si="17"/>
        <v>（含）-</v>
      </c>
      <c r="M67" s="1732" t="str">
        <f>M68&amp;"（含）"&amp;"-"&amp;P68</f>
        <v>（含）-</v>
      </c>
      <c r="N67" s="3014"/>
      <c r="O67" s="3014"/>
      <c r="P67" s="1853"/>
      <c r="Q67" s="1822"/>
    </row>
    <row r="68" spans="1:17" ht="15">
      <c r="A68" s="1854"/>
      <c r="B68" s="1867"/>
      <c r="C68" s="1868"/>
      <c r="D68" s="1868"/>
      <c r="E68" s="1868"/>
      <c r="F68" s="1868"/>
      <c r="G68" s="1868"/>
      <c r="H68" s="1868"/>
      <c r="I68" s="1868"/>
      <c r="J68" s="1868"/>
      <c r="K68" s="438"/>
      <c r="L68" s="438"/>
      <c r="M68" s="1869"/>
      <c r="N68" s="3013"/>
      <c r="O68" s="3013"/>
      <c r="P68" s="1853"/>
      <c r="Q68" s="1822"/>
    </row>
    <row r="69" spans="1:17" ht="15.75" thickBot="1">
      <c r="A69" s="1854"/>
      <c r="B69" s="1855"/>
      <c r="C69" s="1863">
        <v>100</v>
      </c>
      <c r="D69" s="1863">
        <f t="shared" ref="D69:M69" si="18">C69-$K11</f>
        <v>100</v>
      </c>
      <c r="E69" s="1863">
        <f t="shared" si="18"/>
        <v>100</v>
      </c>
      <c r="F69" s="1863">
        <f t="shared" si="18"/>
        <v>100</v>
      </c>
      <c r="G69" s="1863">
        <f t="shared" si="18"/>
        <v>100</v>
      </c>
      <c r="H69" s="1863">
        <f t="shared" si="18"/>
        <v>100</v>
      </c>
      <c r="I69" s="1863">
        <f t="shared" si="18"/>
        <v>100</v>
      </c>
      <c r="J69" s="1863">
        <f t="shared" si="18"/>
        <v>100</v>
      </c>
      <c r="K69" s="1863">
        <f t="shared" si="18"/>
        <v>100</v>
      </c>
      <c r="L69" s="1863">
        <f t="shared" si="18"/>
        <v>100</v>
      </c>
      <c r="M69" s="1864">
        <f t="shared" si="18"/>
        <v>100</v>
      </c>
      <c r="N69" s="3014"/>
      <c r="O69" s="3014"/>
      <c r="P69" s="1853"/>
      <c r="Q69" s="1822"/>
    </row>
    <row r="70" spans="1:17" s="1772" customFormat="1" ht="15.75" thickTop="1">
      <c r="A70" s="1870"/>
      <c r="B70" s="1859">
        <f>B12</f>
        <v>111</v>
      </c>
      <c r="C70" s="468"/>
      <c r="D70" s="468"/>
      <c r="E70" s="468"/>
      <c r="F70" s="468"/>
      <c r="G70" s="468"/>
      <c r="H70" s="443"/>
      <c r="I70" s="443"/>
      <c r="J70" s="443"/>
      <c r="K70" s="443"/>
      <c r="L70" s="443"/>
      <c r="M70" s="1871"/>
      <c r="N70" s="3015"/>
      <c r="O70" s="3015"/>
      <c r="P70" s="1873"/>
      <c r="Q70" s="1874"/>
    </row>
    <row r="71" spans="1:17" s="1772" customFormat="1" ht="15.75" thickBot="1">
      <c r="A71" s="1870"/>
      <c r="B71" s="1862"/>
      <c r="C71" s="1875"/>
      <c r="D71" s="1856"/>
      <c r="E71" s="1856"/>
      <c r="F71" s="1856"/>
      <c r="G71" s="1856"/>
      <c r="H71" s="1856"/>
      <c r="I71" s="1856"/>
      <c r="J71" s="1856"/>
      <c r="K71" s="1856"/>
      <c r="L71" s="1856"/>
      <c r="M71" s="1857"/>
      <c r="N71" s="3014"/>
      <c r="O71" s="3014"/>
      <c r="P71" s="1873"/>
      <c r="Q71" s="1874"/>
    </row>
    <row r="72" spans="1:17" s="1772" customFormat="1" ht="15.75" thickTop="1">
      <c r="A72" s="1870"/>
      <c r="B72" s="1859">
        <f>B13</f>
        <v>111</v>
      </c>
      <c r="C72" s="468"/>
      <c r="D72" s="468"/>
      <c r="E72" s="468"/>
      <c r="F72" s="468"/>
      <c r="G72" s="468"/>
      <c r="H72" s="443"/>
      <c r="I72" s="443"/>
      <c r="J72" s="443"/>
      <c r="K72" s="443"/>
      <c r="L72" s="443"/>
      <c r="M72" s="1871"/>
      <c r="N72" s="3015"/>
      <c r="O72" s="3015"/>
      <c r="P72" s="1876"/>
      <c r="Q72" s="1877"/>
    </row>
    <row r="73" spans="1:17" s="1772" customFormat="1" ht="15.75" thickBot="1">
      <c r="A73" s="1870"/>
      <c r="B73" s="1862"/>
      <c r="C73" s="1875"/>
      <c r="D73" s="1856"/>
      <c r="E73" s="1856"/>
      <c r="F73" s="1856"/>
      <c r="G73" s="1875"/>
      <c r="H73" s="1878"/>
      <c r="I73" s="1878"/>
      <c r="J73" s="1878"/>
      <c r="K73" s="1878"/>
      <c r="L73" s="1878"/>
      <c r="M73" s="1879"/>
      <c r="N73" s="3015"/>
      <c r="O73" s="3015"/>
      <c r="P73" s="1873"/>
      <c r="Q73" s="1874"/>
    </row>
    <row r="74" spans="1:17" s="1772" customFormat="1" ht="15.75" thickTop="1">
      <c r="A74" s="1870"/>
      <c r="B74" s="1865">
        <f>B14</f>
        <v>111</v>
      </c>
      <c r="C74" s="468"/>
      <c r="D74" s="468"/>
      <c r="E74" s="468"/>
      <c r="F74" s="468"/>
      <c r="G74" s="409"/>
      <c r="H74" s="453"/>
      <c r="I74" s="453"/>
      <c r="J74" s="453"/>
      <c r="K74" s="453"/>
      <c r="L74" s="453"/>
      <c r="M74" s="1880"/>
      <c r="N74" s="3015"/>
      <c r="O74" s="3015"/>
      <c r="P74" s="1873"/>
      <c r="Q74" s="1874"/>
    </row>
    <row r="75" spans="1:17" s="1772" customFormat="1" ht="15.75" thickBot="1">
      <c r="A75" s="1881"/>
      <c r="B75" s="1882"/>
      <c r="C75" s="1883"/>
      <c r="D75" s="1883"/>
      <c r="E75" s="1883"/>
      <c r="F75" s="1883"/>
      <c r="G75" s="1883"/>
      <c r="H75" s="1884"/>
      <c r="I75" s="1884"/>
      <c r="J75" s="1884"/>
      <c r="K75" s="1884"/>
      <c r="L75" s="1884"/>
      <c r="M75" s="1885"/>
      <c r="N75" s="3015"/>
      <c r="O75" s="3015"/>
      <c r="P75" s="1873"/>
      <c r="Q75" s="1874"/>
    </row>
    <row r="76" spans="1:17">
      <c r="A76" s="1847" t="s">
        <v>2269</v>
      </c>
      <c r="B76" s="1848" t="s">
        <v>2307</v>
      </c>
      <c r="C76" s="1886" t="s">
        <v>2308</v>
      </c>
      <c r="D76" s="1886" t="s">
        <v>2309</v>
      </c>
      <c r="E76" s="1886" t="s">
        <v>2310</v>
      </c>
      <c r="F76" s="1886" t="s">
        <v>2311</v>
      </c>
      <c r="G76" s="1886" t="s">
        <v>2312</v>
      </c>
      <c r="H76" s="1849"/>
      <c r="I76" s="1849"/>
      <c r="J76" s="1849"/>
      <c r="K76" s="463"/>
      <c r="L76" s="463"/>
      <c r="M76" s="1887"/>
      <c r="N76" s="3013"/>
      <c r="O76" s="3013"/>
      <c r="P76" s="1853"/>
      <c r="Q76" s="1822"/>
    </row>
    <row r="77" spans="1:17" ht="15.75" thickBot="1">
      <c r="A77" s="1854"/>
      <c r="B77" s="1862"/>
      <c r="C77" s="1863">
        <v>100</v>
      </c>
      <c r="D77" s="1863">
        <f>C77-$K15</f>
        <v>100</v>
      </c>
      <c r="E77" s="1863">
        <f>D77-$K15</f>
        <v>100</v>
      </c>
      <c r="F77" s="1863">
        <f>E77-$K15</f>
        <v>100</v>
      </c>
      <c r="G77" s="1863">
        <f>F77-$K15</f>
        <v>100</v>
      </c>
      <c r="H77" s="1863"/>
      <c r="I77" s="1863"/>
      <c r="J77" s="1863"/>
      <c r="K77" s="1863"/>
      <c r="L77" s="1863"/>
      <c r="M77" s="1864"/>
      <c r="N77" s="3014"/>
      <c r="O77" s="3014"/>
      <c r="P77" s="1853"/>
      <c r="Q77" s="1822"/>
    </row>
    <row r="78" spans="1:17" ht="15.75" thickTop="1">
      <c r="A78" s="1854"/>
      <c r="B78" s="1859" t="s">
        <v>2313</v>
      </c>
      <c r="C78" s="579" t="s">
        <v>2308</v>
      </c>
      <c r="D78" s="579" t="s">
        <v>2309</v>
      </c>
      <c r="E78" s="579" t="s">
        <v>2310</v>
      </c>
      <c r="F78" s="579" t="s">
        <v>2311</v>
      </c>
      <c r="G78" s="579" t="s">
        <v>2312</v>
      </c>
      <c r="H78" s="1860"/>
      <c r="I78" s="1860"/>
      <c r="J78" s="1860"/>
      <c r="K78" s="428"/>
      <c r="L78" s="428"/>
      <c r="M78" s="1861"/>
      <c r="N78" s="3013"/>
      <c r="O78" s="3013"/>
      <c r="P78" s="1853"/>
      <c r="Q78" s="1822"/>
    </row>
    <row r="79" spans="1:17" ht="15.75" thickBot="1">
      <c r="A79" s="1854"/>
      <c r="B79" s="1862"/>
      <c r="C79" s="1863">
        <v>100</v>
      </c>
      <c r="D79" s="1863">
        <f>C79-$K17</f>
        <v>100</v>
      </c>
      <c r="E79" s="1863">
        <f>D79-$K17</f>
        <v>100</v>
      </c>
      <c r="F79" s="1863">
        <f>E79-$K17</f>
        <v>100</v>
      </c>
      <c r="G79" s="1863">
        <f>F79-$K17</f>
        <v>100</v>
      </c>
      <c r="H79" s="1863"/>
      <c r="I79" s="1863"/>
      <c r="J79" s="1863"/>
      <c r="K79" s="1863"/>
      <c r="L79" s="1863"/>
      <c r="M79" s="1864"/>
      <c r="N79" s="3014"/>
      <c r="O79" s="3014"/>
      <c r="P79" s="1853"/>
      <c r="Q79" s="1822"/>
    </row>
    <row r="80" spans="1:17" ht="15.75" thickTop="1">
      <c r="A80" s="1854"/>
      <c r="B80" s="1859" t="s">
        <v>2314</v>
      </c>
      <c r="C80" s="579" t="s">
        <v>2308</v>
      </c>
      <c r="D80" s="579" t="s">
        <v>2309</v>
      </c>
      <c r="E80" s="579" t="s">
        <v>2310</v>
      </c>
      <c r="F80" s="579" t="s">
        <v>2311</v>
      </c>
      <c r="G80" s="579" t="s">
        <v>2312</v>
      </c>
      <c r="H80" s="1860"/>
      <c r="I80" s="1860"/>
      <c r="J80" s="1860"/>
      <c r="K80" s="428"/>
      <c r="L80" s="428"/>
      <c r="M80" s="1861"/>
      <c r="N80" s="3013"/>
      <c r="O80" s="3013"/>
      <c r="P80" s="1853"/>
      <c r="Q80" s="1822"/>
    </row>
    <row r="81" spans="1:17" ht="15.75" thickBot="1">
      <c r="A81" s="1854"/>
      <c r="B81" s="1862"/>
      <c r="C81" s="1863">
        <v>100</v>
      </c>
      <c r="D81" s="1863">
        <f>C81-$K19</f>
        <v>100</v>
      </c>
      <c r="E81" s="1863">
        <f>D81-$K19</f>
        <v>100</v>
      </c>
      <c r="F81" s="1863">
        <f>E81-$K19</f>
        <v>100</v>
      </c>
      <c r="G81" s="1863">
        <f>F81-$K19</f>
        <v>100</v>
      </c>
      <c r="H81" s="1863"/>
      <c r="I81" s="1863"/>
      <c r="J81" s="1863"/>
      <c r="K81" s="1863"/>
      <c r="L81" s="1863"/>
      <c r="M81" s="1864"/>
      <c r="N81" s="3014"/>
      <c r="O81" s="3014"/>
      <c r="P81" s="1853"/>
      <c r="Q81" s="1822"/>
    </row>
    <row r="82" spans="1:17" ht="15.75" thickTop="1">
      <c r="A82" s="1854"/>
      <c r="B82" s="1865" t="s">
        <v>2357</v>
      </c>
      <c r="C82" s="1860" t="s">
        <v>2315</v>
      </c>
      <c r="D82" s="1860" t="s">
        <v>2316</v>
      </c>
      <c r="E82" s="1860" t="s">
        <v>2317</v>
      </c>
      <c r="F82" s="1860" t="s">
        <v>2318</v>
      </c>
      <c r="G82" s="1860" t="s">
        <v>2319</v>
      </c>
      <c r="H82" s="1860"/>
      <c r="I82" s="1860"/>
      <c r="J82" s="1860"/>
      <c r="K82" s="1860"/>
      <c r="L82" s="1860"/>
      <c r="M82" s="1888"/>
      <c r="N82" s="3014"/>
      <c r="O82" s="3014"/>
      <c r="P82" s="1853"/>
      <c r="Q82" s="1822"/>
    </row>
    <row r="83" spans="1:17" ht="15.75" thickBot="1">
      <c r="A83" s="1854"/>
      <c r="B83" s="1865"/>
      <c r="C83" s="1863">
        <v>100</v>
      </c>
      <c r="D83" s="1863">
        <f>C83-$K21</f>
        <v>100</v>
      </c>
      <c r="E83" s="1863">
        <f>D83-$K21</f>
        <v>100</v>
      </c>
      <c r="F83" s="1863">
        <f>E83-$K21</f>
        <v>100</v>
      </c>
      <c r="G83" s="1863">
        <f>F83-$K21</f>
        <v>100</v>
      </c>
      <c r="H83" s="1889"/>
      <c r="I83" s="1889"/>
      <c r="J83" s="1889"/>
      <c r="K83" s="1889"/>
      <c r="L83" s="1889"/>
      <c r="M83" s="1736"/>
      <c r="N83" s="3014"/>
      <c r="O83" s="3014"/>
      <c r="P83" s="1853"/>
      <c r="Q83" s="1822"/>
    </row>
    <row r="84" spans="1:17" ht="15.75" thickTop="1">
      <c r="A84" s="1854"/>
      <c r="B84" s="1859" t="s">
        <v>2320</v>
      </c>
      <c r="C84" s="579" t="s">
        <v>2308</v>
      </c>
      <c r="D84" s="579" t="s">
        <v>2309</v>
      </c>
      <c r="E84" s="579" t="s">
        <v>2310</v>
      </c>
      <c r="F84" s="579" t="s">
        <v>2311</v>
      </c>
      <c r="G84" s="579" t="s">
        <v>2312</v>
      </c>
      <c r="H84" s="1860"/>
      <c r="I84" s="1860"/>
      <c r="J84" s="1860"/>
      <c r="K84" s="428"/>
      <c r="L84" s="428"/>
      <c r="M84" s="1861"/>
      <c r="N84" s="3013"/>
      <c r="O84" s="3013"/>
      <c r="P84" s="1853"/>
      <c r="Q84" s="1822"/>
    </row>
    <row r="85" spans="1:17" ht="15.75" thickBot="1">
      <c r="A85" s="1854"/>
      <c r="B85" s="1862"/>
      <c r="C85" s="1863">
        <v>100</v>
      </c>
      <c r="D85" s="1863">
        <f>C85-$K23</f>
        <v>100</v>
      </c>
      <c r="E85" s="1863">
        <f>D85-$K23</f>
        <v>100</v>
      </c>
      <c r="F85" s="1863">
        <f>E85-$K23</f>
        <v>100</v>
      </c>
      <c r="G85" s="1863">
        <f>F85-$K23</f>
        <v>100</v>
      </c>
      <c r="H85" s="1863"/>
      <c r="I85" s="1863"/>
      <c r="J85" s="1863"/>
      <c r="K85" s="1863"/>
      <c r="L85" s="1863"/>
      <c r="M85" s="1864"/>
      <c r="N85" s="3014"/>
      <c r="O85" s="3014"/>
      <c r="P85" s="1853"/>
      <c r="Q85" s="1822"/>
    </row>
    <row r="86" spans="1:17" s="1685" customFormat="1" ht="15.75" thickTop="1">
      <c r="A86" s="1890"/>
      <c r="B86" s="1859" t="s">
        <v>2377</v>
      </c>
      <c r="C86" s="468"/>
      <c r="D86" s="468"/>
      <c r="E86" s="468"/>
      <c r="F86" s="468"/>
      <c r="G86" s="468"/>
      <c r="H86" s="468"/>
      <c r="I86" s="468"/>
      <c r="J86" s="468"/>
      <c r="K86" s="468"/>
      <c r="L86" s="468"/>
      <c r="M86" s="1891"/>
      <c r="N86" s="3012"/>
      <c r="O86" s="3012"/>
      <c r="P86" s="1853"/>
      <c r="Q86" s="1822"/>
    </row>
    <row r="87" spans="1:17" s="1685" customFormat="1" ht="15.75" thickBot="1">
      <c r="A87" s="1890"/>
      <c r="B87" s="1862"/>
      <c r="C87" s="1892">
        <v>100</v>
      </c>
      <c r="D87" s="1863">
        <f t="shared" ref="D87:M87" si="19">C87-$K25</f>
        <v>100</v>
      </c>
      <c r="E87" s="1863">
        <f t="shared" si="19"/>
        <v>100</v>
      </c>
      <c r="F87" s="1863">
        <f t="shared" si="19"/>
        <v>100</v>
      </c>
      <c r="G87" s="1863">
        <f t="shared" si="19"/>
        <v>100</v>
      </c>
      <c r="H87" s="1863">
        <f t="shared" si="19"/>
        <v>100</v>
      </c>
      <c r="I87" s="1863">
        <f t="shared" si="19"/>
        <v>100</v>
      </c>
      <c r="J87" s="1863">
        <f t="shared" si="19"/>
        <v>100</v>
      </c>
      <c r="K87" s="1863">
        <f t="shared" si="19"/>
        <v>100</v>
      </c>
      <c r="L87" s="1863">
        <f t="shared" si="19"/>
        <v>100</v>
      </c>
      <c r="M87" s="1863">
        <f t="shared" si="19"/>
        <v>100</v>
      </c>
      <c r="N87" s="3014"/>
      <c r="O87" s="3014"/>
      <c r="P87" s="1853"/>
      <c r="Q87" s="1822"/>
    </row>
    <row r="88" spans="1:17" s="1685" customFormat="1" ht="15.75" thickTop="1">
      <c r="A88" s="1890"/>
      <c r="B88" s="1859" t="str">
        <f>B26</f>
        <v>平面位置/可视性</v>
      </c>
      <c r="C88" s="468"/>
      <c r="D88" s="468"/>
      <c r="E88" s="468"/>
      <c r="F88" s="1893"/>
      <c r="G88" s="468"/>
      <c r="H88" s="468"/>
      <c r="I88" s="468"/>
      <c r="J88" s="468"/>
      <c r="K88" s="468"/>
      <c r="L88" s="468"/>
      <c r="M88" s="1891"/>
      <c r="N88" s="3012"/>
      <c r="O88" s="3012"/>
      <c r="P88" s="1853"/>
      <c r="Q88" s="1822"/>
    </row>
    <row r="89" spans="1:17" s="1685" customFormat="1" ht="15.75" thickBot="1">
      <c r="A89" s="1890"/>
      <c r="B89" s="1862"/>
      <c r="C89" s="1875"/>
      <c r="D89" s="1856"/>
      <c r="E89" s="1856"/>
      <c r="F89" s="1856"/>
      <c r="G89" s="1856"/>
      <c r="H89" s="1856"/>
      <c r="I89" s="1856"/>
      <c r="J89" s="1856"/>
      <c r="K89" s="1856"/>
      <c r="L89" s="1856"/>
      <c r="M89" s="1856"/>
      <c r="N89" s="3014"/>
      <c r="O89" s="3014"/>
      <c r="P89" s="1853"/>
      <c r="Q89" s="1822"/>
    </row>
    <row r="90" spans="1:17" s="1772" customFormat="1" ht="15.75" thickTop="1">
      <c r="A90" s="1870"/>
      <c r="B90" s="1859" t="str">
        <f>B27</f>
        <v>人流量</v>
      </c>
      <c r="C90" s="468"/>
      <c r="D90" s="468"/>
      <c r="E90" s="468"/>
      <c r="F90" s="468"/>
      <c r="G90" s="468"/>
      <c r="H90" s="443"/>
      <c r="I90" s="443"/>
      <c r="J90" s="443"/>
      <c r="K90" s="443"/>
      <c r="L90" s="443"/>
      <c r="M90" s="1871"/>
      <c r="N90" s="3015"/>
      <c r="O90" s="3015"/>
      <c r="P90" s="1873"/>
      <c r="Q90" s="1874"/>
    </row>
    <row r="91" spans="1:17" s="1772" customFormat="1" ht="15.75" thickBot="1">
      <c r="A91" s="1870"/>
      <c r="B91" s="1862"/>
      <c r="C91" s="1892">
        <v>100</v>
      </c>
      <c r="D91" s="1863">
        <f>C91-$K27</f>
        <v>100</v>
      </c>
      <c r="E91" s="1863">
        <f t="shared" ref="E91:M91" si="20">D91-$K27</f>
        <v>100</v>
      </c>
      <c r="F91" s="1863">
        <f t="shared" si="20"/>
        <v>100</v>
      </c>
      <c r="G91" s="1863">
        <f t="shared" si="20"/>
        <v>100</v>
      </c>
      <c r="H91" s="1863">
        <f t="shared" si="20"/>
        <v>100</v>
      </c>
      <c r="I91" s="1863">
        <f t="shared" si="20"/>
        <v>100</v>
      </c>
      <c r="J91" s="1863">
        <f t="shared" si="20"/>
        <v>100</v>
      </c>
      <c r="K91" s="1863">
        <f t="shared" si="20"/>
        <v>100</v>
      </c>
      <c r="L91" s="1863">
        <f t="shared" si="20"/>
        <v>100</v>
      </c>
      <c r="M91" s="1863">
        <f t="shared" si="20"/>
        <v>100</v>
      </c>
      <c r="N91" s="3015"/>
      <c r="O91" s="3015"/>
      <c r="P91" s="1873"/>
      <c r="Q91" s="1874"/>
    </row>
    <row r="92" spans="1:17" ht="15.75" thickTop="1">
      <c r="A92" s="1854"/>
      <c r="B92" s="1859" t="str">
        <f>B28</f>
        <v>楼层</v>
      </c>
      <c r="C92" s="468"/>
      <c r="D92" s="468"/>
      <c r="E92" s="468"/>
      <c r="F92" s="468"/>
      <c r="G92" s="468"/>
      <c r="H92" s="468"/>
      <c r="I92" s="468"/>
      <c r="J92" s="468"/>
      <c r="K92" s="468"/>
      <c r="L92" s="468"/>
      <c r="M92" s="1891"/>
      <c r="N92" s="3013"/>
      <c r="O92" s="3013"/>
      <c r="P92" s="1853"/>
      <c r="Q92" s="1822"/>
    </row>
    <row r="93" spans="1:17" ht="15.75" thickBot="1">
      <c r="A93" s="1854"/>
      <c r="B93" s="1862"/>
      <c r="C93" s="1856"/>
      <c r="D93" s="1856"/>
      <c r="E93" s="1856"/>
      <c r="F93" s="1856"/>
      <c r="G93" s="1856"/>
      <c r="H93" s="1856"/>
      <c r="I93" s="1856"/>
      <c r="J93" s="1856"/>
      <c r="K93" s="1856"/>
      <c r="L93" s="1856"/>
      <c r="M93" s="1857"/>
      <c r="N93" s="3014"/>
      <c r="O93" s="3014"/>
      <c r="P93" s="1853"/>
      <c r="Q93" s="1822"/>
    </row>
    <row r="94" spans="1:17" ht="15.75" thickTop="1">
      <c r="A94" s="1854"/>
      <c r="B94" s="1859">
        <f>B29</f>
        <v>111</v>
      </c>
      <c r="C94" s="468"/>
      <c r="D94" s="468"/>
      <c r="E94" s="468"/>
      <c r="F94" s="468"/>
      <c r="G94" s="1578"/>
      <c r="H94" s="1578"/>
      <c r="I94" s="1578"/>
      <c r="J94" s="1578"/>
      <c r="K94" s="473"/>
      <c r="L94" s="473"/>
      <c r="M94" s="1894"/>
      <c r="N94" s="3013"/>
      <c r="O94" s="3013"/>
      <c r="P94" s="1853"/>
      <c r="Q94" s="1822"/>
    </row>
    <row r="95" spans="1:17" ht="15.75" thickBot="1">
      <c r="A95" s="1854"/>
      <c r="B95" s="1862"/>
      <c r="C95" s="1875"/>
      <c r="D95" s="1856"/>
      <c r="E95" s="1856"/>
      <c r="F95" s="1856"/>
      <c r="G95" s="1856"/>
      <c r="H95" s="1856"/>
      <c r="I95" s="1856"/>
      <c r="J95" s="1856"/>
      <c r="K95" s="1856"/>
      <c r="L95" s="1856"/>
      <c r="M95" s="1857"/>
      <c r="N95" s="3014"/>
      <c r="O95" s="3014"/>
      <c r="P95" s="1853"/>
      <c r="Q95" s="1822"/>
    </row>
    <row r="96" spans="1:17" ht="15.75" thickTop="1">
      <c r="A96" s="1854"/>
      <c r="B96" s="1859">
        <f>B30</f>
        <v>111</v>
      </c>
      <c r="C96" s="468"/>
      <c r="D96" s="468"/>
      <c r="E96" s="468"/>
      <c r="F96" s="468"/>
      <c r="G96" s="1578"/>
      <c r="H96" s="1578"/>
      <c r="I96" s="1578"/>
      <c r="J96" s="1578"/>
      <c r="K96" s="473"/>
      <c r="L96" s="473"/>
      <c r="M96" s="1894"/>
      <c r="N96" s="3013"/>
      <c r="O96" s="3013"/>
      <c r="P96" s="1853"/>
      <c r="Q96" s="1822"/>
    </row>
    <row r="97" spans="1:17" ht="15.75" thickBot="1">
      <c r="A97" s="1854"/>
      <c r="B97" s="1862"/>
      <c r="C97" s="1875"/>
      <c r="D97" s="1856"/>
      <c r="E97" s="1856"/>
      <c r="F97" s="1856"/>
      <c r="G97" s="1856"/>
      <c r="H97" s="1856"/>
      <c r="I97" s="1856"/>
      <c r="J97" s="1856"/>
      <c r="K97" s="1856"/>
      <c r="L97" s="1856"/>
      <c r="M97" s="1857"/>
      <c r="N97" s="3014"/>
      <c r="O97" s="3014"/>
      <c r="P97" s="1853"/>
      <c r="Q97" s="1822"/>
    </row>
    <row r="98" spans="1:17" ht="15.75" thickTop="1">
      <c r="A98" s="1854"/>
      <c r="B98" s="1865">
        <f>B31</f>
        <v>111</v>
      </c>
      <c r="C98" s="468"/>
      <c r="D98" s="468"/>
      <c r="E98" s="468"/>
      <c r="F98" s="468"/>
      <c r="G98" s="1895"/>
      <c r="H98" s="1895"/>
      <c r="I98" s="1895"/>
      <c r="J98" s="1895"/>
      <c r="K98" s="477"/>
      <c r="L98" s="477"/>
      <c r="M98" s="1896"/>
      <c r="N98" s="3013"/>
      <c r="O98" s="3013"/>
      <c r="P98" s="1853"/>
      <c r="Q98" s="1822"/>
    </row>
    <row r="99" spans="1:17" ht="15.75" thickBot="1">
      <c r="A99" s="1897"/>
      <c r="B99" s="1882"/>
      <c r="C99" s="1883"/>
      <c r="D99" s="1883"/>
      <c r="E99" s="1883"/>
      <c r="F99" s="1883"/>
      <c r="G99" s="1898"/>
      <c r="H99" s="1898"/>
      <c r="I99" s="1898"/>
      <c r="J99" s="1898"/>
      <c r="K99" s="1898"/>
      <c r="L99" s="1898"/>
      <c r="M99" s="1899"/>
      <c r="N99" s="3014"/>
      <c r="O99" s="3014"/>
      <c r="P99" s="1853"/>
      <c r="Q99" s="1822"/>
    </row>
    <row r="100" spans="1:17">
      <c r="A100" s="1847" t="s">
        <v>2274</v>
      </c>
      <c r="B100" s="1848" t="s">
        <v>2378</v>
      </c>
      <c r="C100" s="1850"/>
      <c r="D100" s="1850"/>
      <c r="E100" s="1850"/>
      <c r="F100" s="1850"/>
      <c r="G100" s="1850"/>
      <c r="H100" s="1850"/>
      <c r="I100" s="1850"/>
      <c r="J100" s="1850"/>
      <c r="K100" s="417"/>
      <c r="L100" s="417"/>
      <c r="M100" s="1851"/>
      <c r="N100" s="3013"/>
      <c r="O100" s="3013"/>
      <c r="P100" s="1853"/>
      <c r="Q100" s="1822"/>
    </row>
    <row r="101" spans="1:17" ht="15.75" thickBot="1">
      <c r="A101" s="1854"/>
      <c r="B101" s="1862"/>
      <c r="C101" s="1863">
        <v>100</v>
      </c>
      <c r="D101" s="1863">
        <f t="shared" ref="D101:M101" si="21">C101-$K32</f>
        <v>100</v>
      </c>
      <c r="E101" s="1863">
        <f t="shared" si="21"/>
        <v>100</v>
      </c>
      <c r="F101" s="1863">
        <f t="shared" si="21"/>
        <v>100</v>
      </c>
      <c r="G101" s="1863">
        <f t="shared" si="21"/>
        <v>100</v>
      </c>
      <c r="H101" s="1863">
        <f t="shared" si="21"/>
        <v>100</v>
      </c>
      <c r="I101" s="1863">
        <f t="shared" si="21"/>
        <v>100</v>
      </c>
      <c r="J101" s="1863">
        <f t="shared" si="21"/>
        <v>100</v>
      </c>
      <c r="K101" s="1863">
        <f t="shared" si="21"/>
        <v>100</v>
      </c>
      <c r="L101" s="1863">
        <f t="shared" si="21"/>
        <v>100</v>
      </c>
      <c r="M101" s="1864">
        <f t="shared" si="21"/>
        <v>100</v>
      </c>
      <c r="N101" s="3014"/>
      <c r="O101" s="3014"/>
      <c r="P101" s="1853"/>
      <c r="Q101" s="1822"/>
    </row>
    <row r="102" spans="1:17" ht="15.75" thickTop="1">
      <c r="A102" s="1854"/>
      <c r="B102" s="1859" t="s">
        <v>2324</v>
      </c>
      <c r="C102" s="579" t="str">
        <f>C103&amp;"(含)"&amp;"-"&amp;D103</f>
        <v>(含)-</v>
      </c>
      <c r="D102" s="579" t="str">
        <f t="shared" ref="D102:L102" si="22">D103&amp;"(含)"&amp;"-"&amp;E103</f>
        <v>(含)-</v>
      </c>
      <c r="E102" s="579" t="str">
        <f t="shared" si="22"/>
        <v>(含)-</v>
      </c>
      <c r="F102" s="579" t="str">
        <f t="shared" si="22"/>
        <v>(含)-</v>
      </c>
      <c r="G102" s="579" t="str">
        <f t="shared" si="22"/>
        <v>(含)-</v>
      </c>
      <c r="H102" s="579" t="str">
        <f t="shared" si="22"/>
        <v>(含)-</v>
      </c>
      <c r="I102" s="579" t="str">
        <f t="shared" si="22"/>
        <v>(含)-</v>
      </c>
      <c r="J102" s="579" t="str">
        <f t="shared" si="22"/>
        <v>(含)-</v>
      </c>
      <c r="K102" s="579" t="str">
        <f t="shared" si="22"/>
        <v>(含)-</v>
      </c>
      <c r="L102" s="579" t="str">
        <f t="shared" si="22"/>
        <v>(含)-</v>
      </c>
      <c r="M102" s="2061" t="str">
        <f>M103&amp;"(含)"&amp;"-"&amp;P103</f>
        <v>(含)-</v>
      </c>
      <c r="N102" s="3012"/>
      <c r="O102" s="3012"/>
      <c r="P102" s="1853"/>
      <c r="Q102" s="1822"/>
    </row>
    <row r="103" spans="1:17" s="1772" customFormat="1">
      <c r="A103" s="1900"/>
      <c r="B103" s="1901"/>
      <c r="C103" s="1902"/>
      <c r="D103" s="1902"/>
      <c r="E103" s="1902"/>
      <c r="F103" s="1902"/>
      <c r="G103" s="1902"/>
      <c r="H103" s="1902"/>
      <c r="I103" s="1902"/>
      <c r="J103" s="485"/>
      <c r="K103" s="485"/>
      <c r="L103" s="485"/>
      <c r="M103" s="1903"/>
      <c r="N103" s="3015"/>
      <c r="O103" s="3015"/>
      <c r="P103" s="1873"/>
      <c r="Q103" s="1874"/>
    </row>
    <row r="104" spans="1:17" s="1772" customFormat="1" ht="15.75" thickBot="1">
      <c r="A104" s="1870"/>
      <c r="B104" s="1862"/>
      <c r="C104" s="1875"/>
      <c r="D104" s="1856"/>
      <c r="E104" s="1856"/>
      <c r="F104" s="1856"/>
      <c r="G104" s="1856"/>
      <c r="H104" s="1856"/>
      <c r="I104" s="1856"/>
      <c r="J104" s="1856"/>
      <c r="K104" s="1856"/>
      <c r="L104" s="1856"/>
      <c r="M104" s="1857"/>
      <c r="N104" s="3014"/>
      <c r="O104" s="3014"/>
      <c r="P104" s="1873"/>
      <c r="Q104" s="1874"/>
    </row>
    <row r="105" spans="1:17" ht="15" thickTop="1">
      <c r="A105" s="1904"/>
      <c r="B105" s="1859" t="s">
        <v>2325</v>
      </c>
      <c r="C105" s="468"/>
      <c r="D105" s="468"/>
      <c r="E105" s="1578"/>
      <c r="F105" s="1578"/>
      <c r="G105" s="1578"/>
      <c r="H105" s="1578"/>
      <c r="I105" s="1578"/>
      <c r="J105" s="1578"/>
      <c r="K105" s="473"/>
      <c r="L105" s="473"/>
      <c r="M105" s="1894"/>
      <c r="N105" s="3013"/>
      <c r="O105" s="3013"/>
      <c r="P105" s="1853"/>
      <c r="Q105" s="1822"/>
    </row>
    <row r="106" spans="1:17" ht="15.75" thickBot="1">
      <c r="A106" s="1854"/>
      <c r="B106" s="1862"/>
      <c r="C106" s="1863">
        <v>100</v>
      </c>
      <c r="D106" s="1863">
        <f t="shared" ref="D106:M106" si="23">C106-$K34</f>
        <v>100</v>
      </c>
      <c r="E106" s="1863">
        <f t="shared" si="23"/>
        <v>100</v>
      </c>
      <c r="F106" s="1863">
        <f t="shared" si="23"/>
        <v>100</v>
      </c>
      <c r="G106" s="1863">
        <f t="shared" si="23"/>
        <v>100</v>
      </c>
      <c r="H106" s="1863">
        <f t="shared" si="23"/>
        <v>100</v>
      </c>
      <c r="I106" s="1863">
        <f t="shared" si="23"/>
        <v>100</v>
      </c>
      <c r="J106" s="1863">
        <f t="shared" si="23"/>
        <v>100</v>
      </c>
      <c r="K106" s="1863">
        <f t="shared" si="23"/>
        <v>100</v>
      </c>
      <c r="L106" s="1863">
        <f t="shared" si="23"/>
        <v>100</v>
      </c>
      <c r="M106" s="1864">
        <f t="shared" si="23"/>
        <v>100</v>
      </c>
      <c r="N106" s="3014"/>
      <c r="O106" s="3014"/>
      <c r="P106" s="1853"/>
      <c r="Q106" s="1822"/>
    </row>
    <row r="107" spans="1:17" ht="15" thickTop="1">
      <c r="A107" s="1904"/>
      <c r="B107" s="1859" t="s">
        <v>2327</v>
      </c>
      <c r="C107" s="468"/>
      <c r="D107" s="468"/>
      <c r="E107" s="468"/>
      <c r="F107" s="1578"/>
      <c r="G107" s="1578"/>
      <c r="H107" s="1578"/>
      <c r="I107" s="1578"/>
      <c r="J107" s="1578"/>
      <c r="K107" s="473"/>
      <c r="L107" s="473"/>
      <c r="M107" s="1894"/>
      <c r="N107" s="3013"/>
      <c r="O107" s="3013"/>
      <c r="P107" s="1853"/>
      <c r="Q107" s="1822"/>
    </row>
    <row r="108" spans="1:17" ht="15.75" thickBot="1">
      <c r="A108" s="1854"/>
      <c r="B108" s="1862"/>
      <c r="C108" s="1863">
        <v>100</v>
      </c>
      <c r="D108" s="1863">
        <f t="shared" ref="D108:M108" si="24">C108-$K35</f>
        <v>100</v>
      </c>
      <c r="E108" s="1863">
        <f t="shared" si="24"/>
        <v>100</v>
      </c>
      <c r="F108" s="1863">
        <f t="shared" si="24"/>
        <v>100</v>
      </c>
      <c r="G108" s="1863">
        <f t="shared" si="24"/>
        <v>100</v>
      </c>
      <c r="H108" s="1863">
        <f t="shared" si="24"/>
        <v>100</v>
      </c>
      <c r="I108" s="1863">
        <f t="shared" si="24"/>
        <v>100</v>
      </c>
      <c r="J108" s="1863">
        <f t="shared" si="24"/>
        <v>100</v>
      </c>
      <c r="K108" s="1863">
        <f t="shared" si="24"/>
        <v>100</v>
      </c>
      <c r="L108" s="1863">
        <f t="shared" si="24"/>
        <v>100</v>
      </c>
      <c r="M108" s="1864">
        <f t="shared" si="24"/>
        <v>100</v>
      </c>
      <c r="N108" s="3014"/>
      <c r="O108" s="3014"/>
      <c r="P108" s="1853"/>
      <c r="Q108" s="1822"/>
    </row>
    <row r="109" spans="1:17" ht="15" thickTop="1">
      <c r="A109" s="1904"/>
      <c r="B109" s="1859" t="s">
        <v>2328</v>
      </c>
      <c r="C109" s="579" t="str">
        <f>C110&amp;"(含)"&amp;"-"&amp;D110</f>
        <v>0.5(含)-0.6</v>
      </c>
      <c r="D109" s="579" t="str">
        <f>D110&amp;"(含)"&amp;"-"&amp;E110</f>
        <v>0.6(含)-0.7</v>
      </c>
      <c r="E109" s="579" t="str">
        <f>E110&amp;"(含)"&amp;"-"&amp;F110</f>
        <v>0.7(含)-0.8</v>
      </c>
      <c r="F109" s="579" t="str">
        <f>F110&amp;"(含)"&amp;"-"&amp;G110</f>
        <v>0.8(含)-0.9</v>
      </c>
      <c r="G109" s="579" t="str">
        <f>G110&amp;"(含)"&amp;"-"&amp;H110</f>
        <v>0.9(含)-1</v>
      </c>
      <c r="H109" s="579"/>
      <c r="I109" s="1578"/>
      <c r="J109" s="1578"/>
      <c r="K109" s="473"/>
      <c r="L109" s="473"/>
      <c r="M109" s="1894"/>
      <c r="N109" s="3013"/>
      <c r="O109" s="3013"/>
      <c r="P109" s="1853"/>
      <c r="Q109" s="1822"/>
    </row>
    <row r="110" spans="1:17">
      <c r="A110" s="1904"/>
      <c r="B110" s="1865"/>
      <c r="C110" s="1906">
        <v>0.5</v>
      </c>
      <c r="D110" s="1906">
        <v>0.6</v>
      </c>
      <c r="E110" s="1906">
        <v>0.7</v>
      </c>
      <c r="F110" s="1906">
        <v>0.8</v>
      </c>
      <c r="G110" s="1906">
        <v>0.9</v>
      </c>
      <c r="H110" s="1906">
        <v>1</v>
      </c>
      <c r="I110" s="2484"/>
      <c r="J110" s="2484"/>
      <c r="K110" s="508"/>
      <c r="L110" s="508"/>
      <c r="M110" s="2485"/>
      <c r="N110" s="3013"/>
      <c r="O110" s="3013"/>
      <c r="P110" s="1853"/>
      <c r="Q110" s="1822"/>
    </row>
    <row r="111" spans="1:17" ht="15.75" thickBot="1">
      <c r="A111" s="1854"/>
      <c r="B111" s="1862"/>
      <c r="C111" s="1892">
        <v>100</v>
      </c>
      <c r="D111" s="1863">
        <f>C111+$K36</f>
        <v>100</v>
      </c>
      <c r="E111" s="1863">
        <f t="shared" ref="E111:M111" si="25">D111+$K36</f>
        <v>100</v>
      </c>
      <c r="F111" s="1863">
        <f t="shared" si="25"/>
        <v>100</v>
      </c>
      <c r="G111" s="1863">
        <f t="shared" si="25"/>
        <v>100</v>
      </c>
      <c r="H111" s="1863">
        <f t="shared" si="25"/>
        <v>100</v>
      </c>
      <c r="I111" s="1863">
        <f t="shared" si="25"/>
        <v>100</v>
      </c>
      <c r="J111" s="1863">
        <f t="shared" si="25"/>
        <v>100</v>
      </c>
      <c r="K111" s="1863">
        <f t="shared" si="25"/>
        <v>100</v>
      </c>
      <c r="L111" s="1863">
        <f t="shared" si="25"/>
        <v>100</v>
      </c>
      <c r="M111" s="1863">
        <f t="shared" si="25"/>
        <v>100</v>
      </c>
      <c r="N111" s="3014"/>
      <c r="O111" s="3014"/>
      <c r="P111" s="1853"/>
      <c r="Q111" s="1822"/>
    </row>
    <row r="112" spans="1:17" s="1772" customFormat="1" ht="15" thickTop="1">
      <c r="A112" s="1900"/>
      <c r="B112" s="1859" t="s">
        <v>2330</v>
      </c>
      <c r="C112" s="468"/>
      <c r="D112" s="468"/>
      <c r="E112" s="468"/>
      <c r="F112" s="468"/>
      <c r="G112" s="468"/>
      <c r="H112" s="1578"/>
      <c r="I112" s="1578"/>
      <c r="J112" s="1578"/>
      <c r="K112" s="473"/>
      <c r="L112" s="473"/>
      <c r="M112" s="1894"/>
      <c r="N112" s="3015"/>
      <c r="O112" s="3015"/>
      <c r="P112" s="1873"/>
      <c r="Q112" s="1874"/>
    </row>
    <row r="113" spans="1:17" s="1772" customFormat="1" ht="15.75" thickBot="1">
      <c r="A113" s="1870"/>
      <c r="B113" s="1862"/>
      <c r="C113" s="1863">
        <v>100</v>
      </c>
      <c r="D113" s="1863">
        <f>C113-$K37</f>
        <v>100</v>
      </c>
      <c r="E113" s="1863">
        <f t="shared" ref="E113:M113" si="26">D113-$K37</f>
        <v>100</v>
      </c>
      <c r="F113" s="1863">
        <f t="shared" si="26"/>
        <v>100</v>
      </c>
      <c r="G113" s="1863">
        <f t="shared" si="26"/>
        <v>100</v>
      </c>
      <c r="H113" s="1863">
        <f t="shared" si="26"/>
        <v>100</v>
      </c>
      <c r="I113" s="1863">
        <f t="shared" si="26"/>
        <v>100</v>
      </c>
      <c r="J113" s="1863">
        <f t="shared" si="26"/>
        <v>100</v>
      </c>
      <c r="K113" s="1863">
        <f t="shared" si="26"/>
        <v>100</v>
      </c>
      <c r="L113" s="1863">
        <f t="shared" si="26"/>
        <v>100</v>
      </c>
      <c r="M113" s="1863">
        <f t="shared" si="26"/>
        <v>100</v>
      </c>
      <c r="N113" s="3015"/>
      <c r="O113" s="3015"/>
      <c r="P113" s="1873"/>
      <c r="Q113" s="1874"/>
    </row>
    <row r="114" spans="1:17" ht="15" thickTop="1">
      <c r="A114" s="1904"/>
      <c r="B114" s="1859" t="s">
        <v>2379</v>
      </c>
      <c r="C114" s="468"/>
      <c r="D114" s="468"/>
      <c r="E114" s="1578"/>
      <c r="F114" s="1578"/>
      <c r="G114" s="1578"/>
      <c r="H114" s="1578"/>
      <c r="I114" s="1578"/>
      <c r="J114" s="1578"/>
      <c r="K114" s="473"/>
      <c r="L114" s="473"/>
      <c r="M114" s="1894"/>
      <c r="N114" s="3013"/>
      <c r="O114" s="3013"/>
      <c r="P114" s="1853"/>
      <c r="Q114" s="1822"/>
    </row>
    <row r="115" spans="1:17" ht="15.75" thickBot="1">
      <c r="A115" s="1854"/>
      <c r="B115" s="1862"/>
      <c r="C115" s="1863">
        <v>100</v>
      </c>
      <c r="D115" s="1863">
        <f t="shared" ref="D115:M115" si="27">C115-$K38</f>
        <v>100</v>
      </c>
      <c r="E115" s="1863">
        <f t="shared" si="27"/>
        <v>100</v>
      </c>
      <c r="F115" s="1863">
        <f t="shared" si="27"/>
        <v>100</v>
      </c>
      <c r="G115" s="1863">
        <f t="shared" si="27"/>
        <v>100</v>
      </c>
      <c r="H115" s="1863">
        <f t="shared" si="27"/>
        <v>100</v>
      </c>
      <c r="I115" s="1863">
        <f t="shared" si="27"/>
        <v>100</v>
      </c>
      <c r="J115" s="1863">
        <f t="shared" si="27"/>
        <v>100</v>
      </c>
      <c r="K115" s="1863">
        <f t="shared" si="27"/>
        <v>100</v>
      </c>
      <c r="L115" s="1863">
        <f t="shared" si="27"/>
        <v>100</v>
      </c>
      <c r="M115" s="1864">
        <f t="shared" si="27"/>
        <v>100</v>
      </c>
      <c r="N115" s="3014"/>
      <c r="O115" s="3014"/>
      <c r="P115" s="1853"/>
      <c r="Q115" s="1822"/>
    </row>
    <row r="116" spans="1:17" ht="15" thickTop="1">
      <c r="A116" s="1904"/>
      <c r="B116" s="1859" t="s">
        <v>2380</v>
      </c>
      <c r="C116" s="468"/>
      <c r="D116" s="468"/>
      <c r="E116" s="468"/>
      <c r="F116" s="468"/>
      <c r="G116" s="468"/>
      <c r="H116" s="1578"/>
      <c r="I116" s="1578"/>
      <c r="J116" s="1578"/>
      <c r="K116" s="473"/>
      <c r="L116" s="473"/>
      <c r="M116" s="1894"/>
      <c r="N116" s="3013"/>
      <c r="O116" s="3013"/>
      <c r="P116" s="1853"/>
      <c r="Q116" s="1822"/>
    </row>
    <row r="117" spans="1:17" ht="15.75" thickBot="1">
      <c r="A117" s="1854"/>
      <c r="B117" s="1862"/>
      <c r="C117" s="1863">
        <v>100</v>
      </c>
      <c r="D117" s="1863">
        <f>C117-$K39</f>
        <v>100</v>
      </c>
      <c r="E117" s="1863">
        <f>D117-$K39</f>
        <v>100</v>
      </c>
      <c r="F117" s="1863">
        <f>E117-$K39</f>
        <v>100</v>
      </c>
      <c r="G117" s="1863">
        <f>F117-$K39</f>
        <v>100</v>
      </c>
      <c r="H117" s="1863"/>
      <c r="I117" s="1863"/>
      <c r="J117" s="1863"/>
      <c r="K117" s="1863"/>
      <c r="L117" s="1863"/>
      <c r="M117" s="1864"/>
      <c r="N117" s="3014"/>
      <c r="O117" s="3014"/>
      <c r="P117" s="1853"/>
      <c r="Q117" s="1822"/>
    </row>
    <row r="118" spans="1:17" ht="15" thickTop="1">
      <c r="A118" s="1904"/>
      <c r="B118" s="1859" t="s">
        <v>2381</v>
      </c>
      <c r="C118" s="2486"/>
      <c r="D118" s="2486"/>
      <c r="E118" s="2486"/>
      <c r="F118" s="2486"/>
      <c r="G118" s="2486"/>
      <c r="H118" s="443"/>
      <c r="I118" s="443"/>
      <c r="J118" s="443"/>
      <c r="K118" s="443"/>
      <c r="L118" s="443"/>
      <c r="M118" s="1871"/>
      <c r="N118" s="3013"/>
      <c r="O118" s="3013"/>
      <c r="P118" s="1853"/>
      <c r="Q118" s="1822"/>
    </row>
    <row r="119" spans="1:17" ht="15.75" thickBot="1">
      <c r="A119" s="1854"/>
      <c r="B119" s="1862"/>
      <c r="C119" s="1875"/>
      <c r="D119" s="1856"/>
      <c r="E119" s="1856"/>
      <c r="F119" s="1856"/>
      <c r="G119" s="1856"/>
      <c r="H119" s="1856"/>
      <c r="I119" s="1856"/>
      <c r="J119" s="1856"/>
      <c r="K119" s="1856"/>
      <c r="L119" s="1856"/>
      <c r="M119" s="1857"/>
      <c r="N119" s="3014"/>
      <c r="O119" s="3014"/>
      <c r="P119" s="1853"/>
      <c r="Q119" s="1822"/>
    </row>
    <row r="120" spans="1:17" s="1772" customFormat="1" ht="15" thickTop="1">
      <c r="A120" s="1900"/>
      <c r="B120" s="1859" t="s">
        <v>2382</v>
      </c>
      <c r="C120" s="1578"/>
      <c r="D120" s="1578"/>
      <c r="E120" s="1578"/>
      <c r="F120" s="1578"/>
      <c r="G120" s="443"/>
      <c r="H120" s="443"/>
      <c r="I120" s="443"/>
      <c r="J120" s="443"/>
      <c r="K120" s="443"/>
      <c r="L120" s="443"/>
      <c r="M120" s="1871"/>
      <c r="N120" s="3015"/>
      <c r="O120" s="3015"/>
      <c r="P120" s="1873"/>
      <c r="Q120" s="1874"/>
    </row>
    <row r="121" spans="1:17" s="1772" customFormat="1" ht="15.75" thickBot="1">
      <c r="A121" s="1870"/>
      <c r="B121" s="1855"/>
      <c r="C121" s="1892">
        <v>100</v>
      </c>
      <c r="D121" s="1863">
        <f>C121-$K41</f>
        <v>100</v>
      </c>
      <c r="E121" s="1863">
        <f t="shared" ref="E121:M121" si="28">D121-$K41</f>
        <v>100</v>
      </c>
      <c r="F121" s="1863">
        <f t="shared" si="28"/>
        <v>100</v>
      </c>
      <c r="G121" s="1863">
        <f t="shared" si="28"/>
        <v>100</v>
      </c>
      <c r="H121" s="1863">
        <f t="shared" si="28"/>
        <v>100</v>
      </c>
      <c r="I121" s="1863">
        <f t="shared" si="28"/>
        <v>100</v>
      </c>
      <c r="J121" s="1863">
        <f t="shared" si="28"/>
        <v>100</v>
      </c>
      <c r="K121" s="1863">
        <f t="shared" si="28"/>
        <v>100</v>
      </c>
      <c r="L121" s="1863">
        <f t="shared" si="28"/>
        <v>100</v>
      </c>
      <c r="M121" s="1864">
        <f t="shared" si="28"/>
        <v>100</v>
      </c>
      <c r="N121" s="3015"/>
      <c r="O121" s="3015"/>
      <c r="P121" s="1873"/>
      <c r="Q121" s="1874"/>
    </row>
    <row r="122" spans="1:17" ht="15" thickTop="1">
      <c r="A122" s="1904"/>
      <c r="B122" s="1859" t="s">
        <v>2332</v>
      </c>
      <c r="C122" s="468"/>
      <c r="D122" s="468"/>
      <c r="E122" s="468"/>
      <c r="F122" s="1578"/>
      <c r="G122" s="1578"/>
      <c r="H122" s="1578"/>
      <c r="I122" s="1578"/>
      <c r="J122" s="1578"/>
      <c r="K122" s="473"/>
      <c r="L122" s="473"/>
      <c r="M122" s="1894"/>
      <c r="N122" s="3013"/>
      <c r="O122" s="3013"/>
      <c r="P122" s="1853"/>
      <c r="Q122" s="1822"/>
    </row>
    <row r="123" spans="1:17" ht="15.75" thickBot="1">
      <c r="A123" s="1854"/>
      <c r="B123" s="1862"/>
      <c r="C123" s="1863">
        <v>100</v>
      </c>
      <c r="D123" s="1863">
        <f t="shared" ref="D123:M123" si="29">C123-$K42</f>
        <v>100</v>
      </c>
      <c r="E123" s="1863">
        <f t="shared" si="29"/>
        <v>100</v>
      </c>
      <c r="F123" s="1863">
        <f t="shared" si="29"/>
        <v>100</v>
      </c>
      <c r="G123" s="1863">
        <f t="shared" si="29"/>
        <v>100</v>
      </c>
      <c r="H123" s="1863">
        <f t="shared" si="29"/>
        <v>100</v>
      </c>
      <c r="I123" s="1863">
        <f t="shared" si="29"/>
        <v>100</v>
      </c>
      <c r="J123" s="1863">
        <f t="shared" si="29"/>
        <v>100</v>
      </c>
      <c r="K123" s="1863">
        <f t="shared" si="29"/>
        <v>100</v>
      </c>
      <c r="L123" s="1863">
        <f t="shared" si="29"/>
        <v>100</v>
      </c>
      <c r="M123" s="1864">
        <f t="shared" si="29"/>
        <v>100</v>
      </c>
      <c r="N123" s="3014"/>
      <c r="O123" s="3014"/>
      <c r="P123" s="1853"/>
      <c r="Q123" s="1822"/>
    </row>
    <row r="124" spans="1:17" ht="15" thickTop="1">
      <c r="A124" s="1904"/>
      <c r="B124" s="1859" t="s">
        <v>2333</v>
      </c>
      <c r="C124" s="579" t="s">
        <v>2308</v>
      </c>
      <c r="D124" s="579" t="s">
        <v>2309</v>
      </c>
      <c r="E124" s="579" t="s">
        <v>2310</v>
      </c>
      <c r="F124" s="579" t="s">
        <v>2311</v>
      </c>
      <c r="G124" s="579" t="s">
        <v>2312</v>
      </c>
      <c r="H124" s="1860"/>
      <c r="I124" s="1860"/>
      <c r="J124" s="1860"/>
      <c r="K124" s="428"/>
      <c r="L124" s="428"/>
      <c r="M124" s="1861"/>
      <c r="N124" s="3013"/>
      <c r="O124" s="3013"/>
      <c r="P124" s="1873"/>
      <c r="Q124" s="1822"/>
    </row>
    <row r="125" spans="1:17" ht="15.75" thickBot="1">
      <c r="A125" s="1854"/>
      <c r="B125" s="1862"/>
      <c r="C125" s="1863">
        <v>100</v>
      </c>
      <c r="D125" s="1863">
        <f>C125-$K43</f>
        <v>100</v>
      </c>
      <c r="E125" s="1863">
        <f>D125-$K43</f>
        <v>100</v>
      </c>
      <c r="F125" s="1863">
        <f>E125-$K43</f>
        <v>100</v>
      </c>
      <c r="G125" s="1863">
        <f>F125-$K43</f>
        <v>100</v>
      </c>
      <c r="H125" s="1863"/>
      <c r="I125" s="1863"/>
      <c r="J125" s="1863"/>
      <c r="K125" s="1863"/>
      <c r="L125" s="1863"/>
      <c r="M125" s="1864"/>
      <c r="N125" s="3014"/>
      <c r="O125" s="3014"/>
      <c r="P125" s="1853"/>
      <c r="Q125" s="1822"/>
    </row>
    <row r="126" spans="1:17" s="1772" customFormat="1" ht="15" thickTop="1">
      <c r="A126" s="1900"/>
      <c r="B126" s="1859">
        <f>B44</f>
        <v>111</v>
      </c>
      <c r="C126" s="468"/>
      <c r="D126" s="468"/>
      <c r="E126" s="468"/>
      <c r="F126" s="468"/>
      <c r="G126" s="468"/>
      <c r="H126" s="443"/>
      <c r="I126" s="443"/>
      <c r="J126" s="443"/>
      <c r="K126" s="443"/>
      <c r="L126" s="443"/>
      <c r="M126" s="1871"/>
      <c r="N126" s="3015"/>
      <c r="O126" s="3015"/>
      <c r="P126" s="1873"/>
      <c r="Q126" s="1874"/>
    </row>
    <row r="127" spans="1:17" s="1772" customFormat="1" ht="15.75" thickBot="1">
      <c r="A127" s="1870"/>
      <c r="B127" s="1862"/>
      <c r="C127" s="1875"/>
      <c r="D127" s="1856"/>
      <c r="E127" s="1856"/>
      <c r="F127" s="1856"/>
      <c r="G127" s="1875"/>
      <c r="H127" s="1878"/>
      <c r="I127" s="1878"/>
      <c r="J127" s="1878"/>
      <c r="K127" s="1878"/>
      <c r="L127" s="1878"/>
      <c r="M127" s="1879"/>
      <c r="N127" s="3015"/>
      <c r="O127" s="3015"/>
      <c r="P127" s="1873"/>
      <c r="Q127" s="1874"/>
    </row>
    <row r="128" spans="1:17" ht="15" thickTop="1">
      <c r="A128" s="1904"/>
      <c r="B128" s="1859">
        <f>B45</f>
        <v>111</v>
      </c>
      <c r="C128" s="468"/>
      <c r="D128" s="468"/>
      <c r="E128" s="468"/>
      <c r="F128" s="468"/>
      <c r="G128" s="1578"/>
      <c r="H128" s="1578"/>
      <c r="I128" s="1578"/>
      <c r="J128" s="1578"/>
      <c r="K128" s="473"/>
      <c r="L128" s="473"/>
      <c r="M128" s="1894"/>
      <c r="N128" s="3013"/>
      <c r="O128" s="3013"/>
      <c r="P128" s="1853"/>
      <c r="Q128" s="1822"/>
    </row>
    <row r="129" spans="1:17" ht="15.75" thickBot="1">
      <c r="A129" s="1854"/>
      <c r="B129" s="1862"/>
      <c r="C129" s="1875"/>
      <c r="D129" s="1856"/>
      <c r="E129" s="1856"/>
      <c r="F129" s="1856"/>
      <c r="G129" s="1856"/>
      <c r="H129" s="1856"/>
      <c r="I129" s="1856"/>
      <c r="J129" s="1856"/>
      <c r="K129" s="1856"/>
      <c r="L129" s="1856"/>
      <c r="M129" s="1857"/>
      <c r="N129" s="3014"/>
      <c r="O129" s="3014"/>
      <c r="P129" s="1853"/>
      <c r="Q129" s="1822"/>
    </row>
    <row r="130" spans="1:17" ht="15" thickTop="1">
      <c r="A130" s="1904"/>
      <c r="B130" s="1865">
        <f>B46</f>
        <v>111</v>
      </c>
      <c r="C130" s="468"/>
      <c r="D130" s="468"/>
      <c r="E130" s="468"/>
      <c r="F130" s="468"/>
      <c r="G130" s="1895"/>
      <c r="H130" s="1895"/>
      <c r="I130" s="1895"/>
      <c r="J130" s="1895"/>
      <c r="K130" s="409"/>
      <c r="L130" s="409"/>
      <c r="M130" s="1896"/>
      <c r="N130" s="3013"/>
      <c r="O130" s="3013"/>
      <c r="P130" s="1853"/>
      <c r="Q130" s="1822"/>
    </row>
    <row r="131" spans="1:17" ht="15.75" thickBot="1">
      <c r="A131" s="1897"/>
      <c r="B131" s="1882"/>
      <c r="C131" s="1883"/>
      <c r="D131" s="1883"/>
      <c r="E131" s="1883"/>
      <c r="F131" s="1883"/>
      <c r="G131" s="1898"/>
      <c r="H131" s="1898"/>
      <c r="I131" s="1898"/>
      <c r="J131" s="1898"/>
      <c r="K131" s="1898"/>
      <c r="L131" s="1898"/>
      <c r="M131" s="1899"/>
      <c r="N131" s="3014"/>
      <c r="O131" s="3014"/>
      <c r="P131" s="1853"/>
      <c r="Q131" s="1822"/>
    </row>
  </sheetData>
  <sheetProtection password="CEE9"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1"/>
    <mergeCell ref="Y15:Y31"/>
    <mergeCell ref="Y9:Y14"/>
    <mergeCell ref="Y7:Z7"/>
    <mergeCell ref="P32:P46"/>
    <mergeCell ref="Y32:Y46"/>
    <mergeCell ref="P47:Q47"/>
    <mergeCell ref="R47:S47"/>
    <mergeCell ref="T47:U47"/>
    <mergeCell ref="V47:W47"/>
    <mergeCell ref="P48:Q48"/>
    <mergeCell ref="R48:S48"/>
    <mergeCell ref="T48:U48"/>
    <mergeCell ref="V48:W48"/>
    <mergeCell ref="P49:Q49"/>
    <mergeCell ref="R49:W49"/>
  </mergeCells>
  <phoneticPr fontId="25" type="noConversion"/>
  <conditionalFormatting sqref="F52 H52">
    <cfRule type="containsText" dxfId="136" priority="21" stopIfTrue="1" operator="containsText" text="超过">
      <formula>NOT(ISERROR(SEARCH("超过",F52)))</formula>
    </cfRule>
  </conditionalFormatting>
  <conditionalFormatting sqref="H54">
    <cfRule type="containsText" dxfId="135" priority="19" stopIfTrue="1" operator="containsText" text="超过">
      <formula>NOT(ISERROR(SEARCH("超过",H54)))</formula>
    </cfRule>
  </conditionalFormatting>
  <conditionalFormatting sqref="F54">
    <cfRule type="containsText" dxfId="134" priority="18" stopIfTrue="1" operator="containsText" text="超过">
      <formula>NOT(ISERROR(SEARCH("超过",F54)))</formula>
    </cfRule>
  </conditionalFormatting>
  <conditionalFormatting sqref="F53 H53">
    <cfRule type="containsText" dxfId="133" priority="17" stopIfTrue="1" operator="containsText" text="超过">
      <formula>NOT(ISERROR(SEARCH("超过",F53)))</formula>
    </cfRule>
  </conditionalFormatting>
  <conditionalFormatting sqref="E52">
    <cfRule type="expression" dxfId="132" priority="16" stopIfTrue="1">
      <formula>$F$52="超过30%"</formula>
    </cfRule>
  </conditionalFormatting>
  <conditionalFormatting sqref="E53">
    <cfRule type="expression" dxfId="131" priority="15" stopIfTrue="1">
      <formula>$F$53="超过20%"</formula>
    </cfRule>
  </conditionalFormatting>
  <conditionalFormatting sqref="E54">
    <cfRule type="expression" dxfId="130" priority="14" stopIfTrue="1">
      <formula>$F$54="超过30%"</formula>
    </cfRule>
  </conditionalFormatting>
  <conditionalFormatting sqref="G54">
    <cfRule type="expression" dxfId="129" priority="13" stopIfTrue="1">
      <formula>$H$54="超过30%"</formula>
    </cfRule>
  </conditionalFormatting>
  <conditionalFormatting sqref="G52">
    <cfRule type="expression" dxfId="128" priority="12" stopIfTrue="1">
      <formula>$H$52="超过30%"</formula>
    </cfRule>
  </conditionalFormatting>
  <conditionalFormatting sqref="G53">
    <cfRule type="expression" dxfId="127" priority="11" stopIfTrue="1">
      <formula>$H$53="超过20%"</formula>
    </cfRule>
  </conditionalFormatting>
  <conditionalFormatting sqref="J52">
    <cfRule type="containsText" dxfId="126" priority="10" stopIfTrue="1" operator="containsText" text="超过">
      <formula>NOT(ISERROR(SEARCH("超过",J52)))</formula>
    </cfRule>
  </conditionalFormatting>
  <conditionalFormatting sqref="J54">
    <cfRule type="containsText" dxfId="125" priority="9" stopIfTrue="1" operator="containsText" text="超过">
      <formula>NOT(ISERROR(SEARCH("超过",J54)))</formula>
    </cfRule>
  </conditionalFormatting>
  <conditionalFormatting sqref="J53">
    <cfRule type="containsText" dxfId="124" priority="8" stopIfTrue="1" operator="containsText" text="超过">
      <formula>NOT(ISERROR(SEARCH("超过",J53)))</formula>
    </cfRule>
  </conditionalFormatting>
  <conditionalFormatting sqref="I52">
    <cfRule type="expression" dxfId="123" priority="7" stopIfTrue="1">
      <formula>$J$52="超过30%"</formula>
    </cfRule>
  </conditionalFormatting>
  <conditionalFormatting sqref="I53">
    <cfRule type="expression" dxfId="122" priority="6" stopIfTrue="1">
      <formula>$J$53="超过20%"</formula>
    </cfRule>
  </conditionalFormatting>
  <conditionalFormatting sqref="I54">
    <cfRule type="expression" dxfId="121" priority="5" stopIfTrue="1">
      <formula>$J$54="超过30%"</formula>
    </cfRule>
  </conditionalFormatting>
  <conditionalFormatting sqref="F48">
    <cfRule type="expression" dxfId="120" priority="4">
      <formula>$D$48="简单平均"</formula>
    </cfRule>
  </conditionalFormatting>
  <conditionalFormatting sqref="H48">
    <cfRule type="expression" dxfId="119" priority="3">
      <formula>$D$48="简单平均"</formula>
    </cfRule>
  </conditionalFormatting>
  <conditionalFormatting sqref="J48">
    <cfRule type="expression" dxfId="118" priority="2">
      <formula>$D$48="简单平均"</formula>
    </cfRule>
  </conditionalFormatting>
  <conditionalFormatting sqref="F7:F46 H7:H46 J7:J46">
    <cfRule type="cellIs" dxfId="117" priority="1" operator="notEqual">
      <formula>100</formula>
    </cfRule>
  </conditionalFormatting>
  <dataValidations count="27">
    <dataValidation type="list" allowBlank="1" showInputMessage="1" showErrorMessage="1" sqref="C10 E10 G10 I10">
      <formula1>土地年限区间</formula1>
    </dataValidation>
    <dataValidation type="list" allowBlank="1" showInputMessage="1" showErrorMessage="1" sqref="D1">
      <formula1>项目类型汇总</formula1>
    </dataValidation>
    <dataValidation type="list" allowBlank="1" showInputMessage="1" showErrorMessage="1" sqref="C43 E43 G43 I43">
      <formula1>内部装修维护情况</formula1>
    </dataValidation>
    <dataValidation type="list" allowBlank="1" showInputMessage="1" showErrorMessage="1" sqref="I34">
      <formula1>商业建筑结构</formula1>
    </dataValidation>
    <dataValidation type="list" allowBlank="1" showInputMessage="1" showErrorMessage="1" sqref="C20 I20 G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E9 G9 I9">
      <formula1>商业用途</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rgb="FF92D050"/>
  </sheetPr>
  <dimension ref="A1:AS527"/>
  <sheetViews>
    <sheetView view="pageBreakPreview" topLeftCell="M1" zoomScale="80" zoomScaleNormal="90" zoomScaleSheetLayoutView="80" workbookViewId="0">
      <pane ySplit="27" topLeftCell="A28" activePane="bottomLeft" state="frozen"/>
      <selection activeCell="A11" sqref="A11:D11"/>
      <selection pane="bottomLeft" activeCell="W24" sqref="W24"/>
    </sheetView>
  </sheetViews>
  <sheetFormatPr defaultColWidth="9" defaultRowHeight="12.75"/>
  <cols>
    <col min="1" max="1" width="12.375" style="32" customWidth="1"/>
    <col min="2" max="2" width="9.25" style="16" customWidth="1"/>
    <col min="3" max="3" width="5" style="16" customWidth="1"/>
    <col min="4" max="4" width="9" style="16"/>
    <col min="5" max="5" width="5" style="16" customWidth="1"/>
    <col min="6" max="6" width="9" style="16"/>
    <col min="7" max="7" width="5" style="16" customWidth="1"/>
    <col min="8" max="8" width="9" style="16"/>
    <col min="9" max="9" width="5" style="16" customWidth="1"/>
    <col min="10" max="10" width="9" style="16"/>
    <col min="11" max="11" width="5" style="16" customWidth="1"/>
    <col min="12" max="12" width="9" style="16"/>
    <col min="13" max="13" width="5" style="16" customWidth="1"/>
    <col min="14" max="14" width="9" style="16"/>
    <col min="15" max="15" width="5" style="16" customWidth="1"/>
    <col min="16" max="16" width="9" style="16"/>
    <col min="17" max="17" width="5" style="16" customWidth="1"/>
    <col min="18" max="18" width="9" style="582"/>
    <col min="19" max="19" width="9" style="32"/>
    <col min="20" max="20" width="9" style="659"/>
    <col min="21" max="22" width="9" style="1001"/>
    <col min="23" max="23" width="9" style="659"/>
    <col min="24" max="25" width="9" style="1001"/>
    <col min="26" max="44" width="9" style="659"/>
    <col min="45" max="16384" width="9" style="32"/>
  </cols>
  <sheetData>
    <row r="1" spans="1:44" ht="20.25">
      <c r="A1" s="288" t="s">
        <v>2208</v>
      </c>
      <c r="B1" s="864"/>
      <c r="C1" s="37"/>
      <c r="D1" s="37"/>
      <c r="E1" s="37"/>
      <c r="F1" s="37"/>
      <c r="G1" s="37"/>
      <c r="H1" s="37"/>
      <c r="I1" s="37"/>
      <c r="J1" s="37"/>
      <c r="K1" s="37"/>
      <c r="L1" s="37"/>
      <c r="M1" s="37"/>
      <c r="N1" s="37"/>
      <c r="O1" s="37"/>
      <c r="P1" s="37"/>
      <c r="Q1" s="37"/>
      <c r="R1" s="645"/>
      <c r="S1" s="31"/>
      <c r="T1" s="31"/>
      <c r="U1" s="999"/>
      <c r="V1" s="999"/>
      <c r="X1" s="999"/>
      <c r="Y1" s="999"/>
    </row>
    <row r="2" spans="1:44" ht="15.75">
      <c r="A2" s="81" t="s">
        <v>2209</v>
      </c>
      <c r="B2" s="250">
        <f ca="1">B23</f>
        <v>2708</v>
      </c>
      <c r="C2" s="902" t="str">
        <f>C23</f>
        <v>万元</v>
      </c>
      <c r="D2" s="37"/>
      <c r="E2" s="37"/>
      <c r="F2" s="37"/>
      <c r="G2" s="37"/>
      <c r="H2" s="37"/>
      <c r="I2" s="37"/>
      <c r="J2" s="37"/>
      <c r="K2" s="37"/>
      <c r="L2" s="37"/>
      <c r="M2" s="37"/>
      <c r="N2" s="37"/>
      <c r="O2" s="37"/>
      <c r="P2" s="37"/>
      <c r="Q2" s="37"/>
      <c r="R2" s="645"/>
      <c r="S2" s="31"/>
      <c r="T2" s="31"/>
      <c r="U2" s="999"/>
      <c r="V2" s="999"/>
      <c r="X2" s="999"/>
      <c r="Y2" s="999"/>
    </row>
    <row r="3" spans="1:44" ht="15.75">
      <c r="A3" s="83" t="s">
        <v>2210</v>
      </c>
      <c r="B3" s="250">
        <f ca="1">B24</f>
        <v>32189</v>
      </c>
      <c r="C3" s="902" t="s">
        <v>2211</v>
      </c>
      <c r="D3" s="37"/>
      <c r="E3" s="37"/>
      <c r="F3" s="37"/>
      <c r="G3" s="37"/>
      <c r="H3" s="37"/>
      <c r="I3" s="37"/>
      <c r="J3" s="37"/>
      <c r="K3" s="37"/>
      <c r="L3" s="37"/>
      <c r="M3" s="37"/>
      <c r="N3" s="37"/>
      <c r="O3" s="37"/>
      <c r="P3" s="37"/>
      <c r="Q3" s="37"/>
      <c r="R3" s="645"/>
      <c r="S3" s="31"/>
      <c r="T3" s="31"/>
      <c r="U3" s="999"/>
      <c r="V3" s="999"/>
      <c r="X3" s="999"/>
      <c r="Y3" s="999"/>
    </row>
    <row r="4" spans="1:44" ht="14.25" customHeight="1" thickBot="1">
      <c r="A4" s="34"/>
      <c r="B4" s="575" t="s">
        <v>2212</v>
      </c>
      <c r="C4" s="3492" t="s">
        <v>2213</v>
      </c>
      <c r="D4" s="3493"/>
      <c r="E4" s="3493"/>
      <c r="F4" s="3493"/>
      <c r="G4" s="3493"/>
      <c r="H4" s="3493"/>
      <c r="I4" s="3493"/>
      <c r="J4" s="3493"/>
      <c r="K4" s="3493"/>
      <c r="L4" s="3493"/>
      <c r="M4" s="3493"/>
      <c r="N4" s="3493"/>
      <c r="O4" s="3493"/>
      <c r="P4" s="3493"/>
      <c r="Q4" s="3493"/>
      <c r="R4" s="3493"/>
      <c r="S4" s="3494"/>
      <c r="T4" s="575" t="s">
        <v>2214</v>
      </c>
      <c r="U4" s="999"/>
      <c r="V4" s="999"/>
      <c r="X4" s="999"/>
      <c r="Y4" s="999"/>
    </row>
    <row r="5" spans="1:44" s="587" customFormat="1" ht="38.25">
      <c r="A5" s="1003"/>
      <c r="B5" s="583" t="s">
        <v>2215</v>
      </c>
      <c r="C5" s="584" t="str">
        <f t="shared" ref="C5:L5" si="0">C6&amp;"(含)"&amp;"-"&amp;D6</f>
        <v>0(含)-100</v>
      </c>
      <c r="D5" s="585" t="str">
        <f t="shared" si="0"/>
        <v>100(含)-200</v>
      </c>
      <c r="E5" s="585" t="str">
        <f t="shared" si="0"/>
        <v>200(含)-300</v>
      </c>
      <c r="F5" s="585" t="str">
        <f t="shared" si="0"/>
        <v>300(含)-400</v>
      </c>
      <c r="G5" s="585" t="str">
        <f t="shared" si="0"/>
        <v>400(含)-500</v>
      </c>
      <c r="H5" s="585" t="str">
        <f t="shared" si="0"/>
        <v>500(含)-</v>
      </c>
      <c r="I5" s="585" t="str">
        <f t="shared" si="0"/>
        <v>(含)-</v>
      </c>
      <c r="J5" s="585" t="str">
        <f t="shared" si="0"/>
        <v>(含)-</v>
      </c>
      <c r="K5" s="585" t="str">
        <f t="shared" si="0"/>
        <v>(含)-</v>
      </c>
      <c r="L5" s="585" t="str">
        <f t="shared" si="0"/>
        <v>(含)-</v>
      </c>
      <c r="M5" s="585" t="str">
        <f t="shared" ref="M5" si="1">M6&amp;"(含)"&amp;"-"&amp;N6</f>
        <v>(含)-</v>
      </c>
      <c r="N5" s="585" t="str">
        <f t="shared" ref="N5" si="2">N6&amp;"(含)"&amp;"-"&amp;O6</f>
        <v>(含)-</v>
      </c>
      <c r="O5" s="585" t="str">
        <f t="shared" ref="O5" si="3">O6&amp;"(含)"&amp;"-"&amp;P6</f>
        <v>(含)-</v>
      </c>
      <c r="P5" s="585" t="str">
        <f t="shared" ref="P5" si="4">P6&amp;"(含)"&amp;"-"&amp;Q6</f>
        <v>(含)-</v>
      </c>
      <c r="Q5" s="585" t="str">
        <f t="shared" ref="Q5" si="5">Q6&amp;"(含)"&amp;"-"&amp;R6</f>
        <v>(含)-</v>
      </c>
      <c r="R5" s="585" t="str">
        <f t="shared" ref="R5" si="6">R6&amp;"(含)"&amp;"-"&amp;S6</f>
        <v>(含)-</v>
      </c>
      <c r="S5" s="912" t="str">
        <f>S6&amp;"(含)"&amp;"-"</f>
        <v>(含)-</v>
      </c>
      <c r="T5" s="586"/>
      <c r="U5" s="1000"/>
      <c r="V5" s="1000"/>
      <c r="W5" s="660"/>
      <c r="X5" s="1000"/>
      <c r="Y5" s="1000"/>
      <c r="Z5" s="660"/>
      <c r="AA5" s="660"/>
      <c r="AB5" s="660"/>
      <c r="AC5" s="660"/>
      <c r="AD5" s="660"/>
      <c r="AE5" s="660"/>
      <c r="AF5" s="660"/>
      <c r="AG5" s="660"/>
      <c r="AH5" s="660"/>
      <c r="AI5" s="660"/>
      <c r="AJ5" s="660"/>
      <c r="AK5" s="660"/>
      <c r="AL5" s="660"/>
      <c r="AM5" s="660"/>
      <c r="AN5" s="660"/>
      <c r="AO5" s="660"/>
      <c r="AP5" s="660"/>
      <c r="AQ5" s="660"/>
      <c r="AR5" s="660"/>
    </row>
    <row r="6" spans="1:44" s="594" customFormat="1">
      <c r="A6" s="1004"/>
      <c r="B6" s="588"/>
      <c r="C6" s="589">
        <v>0</v>
      </c>
      <c r="D6" s="590">
        <v>100</v>
      </c>
      <c r="E6" s="590">
        <v>200</v>
      </c>
      <c r="F6" s="590">
        <v>300</v>
      </c>
      <c r="G6" s="590">
        <v>400</v>
      </c>
      <c r="H6" s="590">
        <v>500</v>
      </c>
      <c r="I6" s="590"/>
      <c r="J6" s="591"/>
      <c r="K6" s="591"/>
      <c r="L6" s="592"/>
      <c r="M6" s="865"/>
      <c r="N6" s="867"/>
      <c r="O6" s="590"/>
      <c r="P6" s="590"/>
      <c r="Q6" s="590"/>
      <c r="R6" s="590"/>
      <c r="S6" s="913"/>
      <c r="T6" s="593"/>
      <c r="U6" s="1000"/>
      <c r="V6" s="1000"/>
      <c r="W6" s="661"/>
      <c r="X6" s="1000"/>
      <c r="Y6" s="1000"/>
      <c r="Z6" s="661"/>
      <c r="AA6" s="661"/>
      <c r="AB6" s="661"/>
      <c r="AC6" s="661"/>
      <c r="AD6" s="661"/>
      <c r="AE6" s="661"/>
      <c r="AF6" s="661"/>
      <c r="AG6" s="661"/>
      <c r="AH6" s="661"/>
      <c r="AI6" s="661"/>
      <c r="AJ6" s="661"/>
      <c r="AK6" s="661"/>
      <c r="AL6" s="661"/>
      <c r="AM6" s="661"/>
      <c r="AN6" s="661"/>
      <c r="AO6" s="661"/>
      <c r="AP6" s="661"/>
      <c r="AQ6" s="661"/>
      <c r="AR6" s="661"/>
    </row>
    <row r="7" spans="1:44" s="594" customFormat="1" ht="13.5" thickBot="1">
      <c r="A7" s="1005"/>
      <c r="B7" s="882"/>
      <c r="C7" s="883">
        <v>96</v>
      </c>
      <c r="D7" s="884">
        <v>98</v>
      </c>
      <c r="E7" s="884">
        <v>100</v>
      </c>
      <c r="F7" s="884">
        <v>98</v>
      </c>
      <c r="G7" s="884">
        <v>96</v>
      </c>
      <c r="H7" s="884">
        <v>94</v>
      </c>
      <c r="I7" s="884"/>
      <c r="J7" s="884"/>
      <c r="K7" s="884"/>
      <c r="L7" s="884"/>
      <c r="M7" s="885"/>
      <c r="N7" s="886"/>
      <c r="O7" s="884"/>
      <c r="P7" s="884"/>
      <c r="Q7" s="884"/>
      <c r="R7" s="884"/>
      <c r="S7" s="914"/>
      <c r="T7" s="596"/>
      <c r="U7" s="1000"/>
      <c r="V7" s="1000"/>
      <c r="W7" s="661"/>
      <c r="X7" s="1000"/>
      <c r="Y7" s="1000"/>
      <c r="Z7" s="661"/>
      <c r="AA7" s="661"/>
      <c r="AB7" s="661"/>
      <c r="AC7" s="661"/>
      <c r="AD7" s="661"/>
      <c r="AE7" s="661"/>
      <c r="AF7" s="661"/>
      <c r="AG7" s="661"/>
      <c r="AH7" s="661"/>
      <c r="AI7" s="661"/>
      <c r="AJ7" s="661"/>
      <c r="AK7" s="661"/>
      <c r="AL7" s="661"/>
      <c r="AM7" s="661"/>
      <c r="AN7" s="661"/>
      <c r="AO7" s="661"/>
      <c r="AP7" s="661"/>
      <c r="AQ7" s="661"/>
      <c r="AR7" s="661"/>
    </row>
    <row r="8" spans="1:44" s="26" customFormat="1">
      <c r="A8" s="1006"/>
      <c r="B8" s="895" t="s">
        <v>2216</v>
      </c>
      <c r="C8" s="887"/>
      <c r="D8" s="888"/>
      <c r="E8" s="888"/>
      <c r="F8" s="888"/>
      <c r="G8" s="888"/>
      <c r="H8" s="888"/>
      <c r="I8" s="888"/>
      <c r="J8" s="888"/>
      <c r="K8" s="888"/>
      <c r="L8" s="889"/>
      <c r="M8" s="890"/>
      <c r="N8" s="890"/>
      <c r="O8" s="888"/>
      <c r="P8" s="888"/>
      <c r="Q8" s="888"/>
      <c r="R8" s="888"/>
      <c r="S8" s="915"/>
      <c r="T8" s="891"/>
      <c r="U8" s="1000"/>
      <c r="V8" s="1000"/>
      <c r="W8" s="662"/>
      <c r="X8" s="1000"/>
      <c r="Y8" s="1000"/>
      <c r="Z8" s="662"/>
      <c r="AA8" s="662"/>
      <c r="AB8" s="662"/>
      <c r="AC8" s="662"/>
      <c r="AD8" s="662"/>
      <c r="AE8" s="662"/>
      <c r="AF8" s="662"/>
      <c r="AG8" s="662"/>
      <c r="AH8" s="662"/>
      <c r="AI8" s="662"/>
      <c r="AJ8" s="662"/>
      <c r="AK8" s="662"/>
      <c r="AL8" s="662"/>
      <c r="AM8" s="662"/>
      <c r="AN8" s="662"/>
      <c r="AO8" s="662"/>
      <c r="AP8" s="662"/>
      <c r="AQ8" s="662"/>
      <c r="AR8" s="662"/>
    </row>
    <row r="9" spans="1:44" s="26" customFormat="1" ht="13.5" thickBot="1">
      <c r="A9" s="1006"/>
      <c r="B9" s="877"/>
      <c r="C9" s="878">
        <v>100</v>
      </c>
      <c r="D9" s="879">
        <f t="shared" ref="D9:S9" si="7">C9-$T$8</f>
        <v>100</v>
      </c>
      <c r="E9" s="879">
        <f t="shared" si="7"/>
        <v>100</v>
      </c>
      <c r="F9" s="879">
        <f t="shared" si="7"/>
        <v>100</v>
      </c>
      <c r="G9" s="879">
        <f t="shared" si="7"/>
        <v>100</v>
      </c>
      <c r="H9" s="879">
        <f t="shared" si="7"/>
        <v>100</v>
      </c>
      <c r="I9" s="879">
        <f t="shared" si="7"/>
        <v>100</v>
      </c>
      <c r="J9" s="879">
        <f t="shared" si="7"/>
        <v>100</v>
      </c>
      <c r="K9" s="879">
        <f t="shared" si="7"/>
        <v>100</v>
      </c>
      <c r="L9" s="879">
        <f t="shared" si="7"/>
        <v>100</v>
      </c>
      <c r="M9" s="880">
        <f t="shared" si="7"/>
        <v>100</v>
      </c>
      <c r="N9" s="880">
        <f t="shared" si="7"/>
        <v>100</v>
      </c>
      <c r="O9" s="879">
        <f t="shared" si="7"/>
        <v>100</v>
      </c>
      <c r="P9" s="879">
        <f t="shared" si="7"/>
        <v>100</v>
      </c>
      <c r="Q9" s="879">
        <f t="shared" si="7"/>
        <v>100</v>
      </c>
      <c r="R9" s="879">
        <f t="shared" si="7"/>
        <v>100</v>
      </c>
      <c r="S9" s="916">
        <f t="shared" si="7"/>
        <v>100</v>
      </c>
      <c r="T9" s="881"/>
      <c r="U9" s="1000"/>
      <c r="V9" s="1000"/>
      <c r="W9" s="662"/>
      <c r="X9" s="1000"/>
      <c r="Y9" s="1000"/>
      <c r="Z9" s="662"/>
      <c r="AA9" s="662"/>
      <c r="AB9" s="662"/>
      <c r="AC9" s="662"/>
      <c r="AD9" s="662"/>
      <c r="AE9" s="662"/>
      <c r="AF9" s="662"/>
      <c r="AG9" s="662"/>
      <c r="AH9" s="662"/>
      <c r="AI9" s="662"/>
      <c r="AJ9" s="662"/>
      <c r="AK9" s="662"/>
      <c r="AL9" s="662"/>
      <c r="AM9" s="662"/>
      <c r="AN9" s="662"/>
      <c r="AO9" s="662"/>
      <c r="AP9" s="662"/>
      <c r="AQ9" s="662"/>
      <c r="AR9" s="662"/>
    </row>
    <row r="10" spans="1:44" s="26" customFormat="1">
      <c r="A10" s="1006"/>
      <c r="B10" s="876" t="s">
        <v>2217</v>
      </c>
      <c r="C10" s="872"/>
      <c r="D10" s="873"/>
      <c r="E10" s="873"/>
      <c r="F10" s="873"/>
      <c r="G10" s="873"/>
      <c r="H10" s="873"/>
      <c r="I10" s="873"/>
      <c r="J10" s="873"/>
      <c r="K10" s="873"/>
      <c r="L10" s="873"/>
      <c r="M10" s="875"/>
      <c r="N10" s="866"/>
      <c r="O10" s="868"/>
      <c r="P10" s="869"/>
      <c r="Q10" s="870"/>
      <c r="R10" s="871"/>
      <c r="S10" s="917"/>
      <c r="T10" s="595"/>
      <c r="U10" s="1000"/>
      <c r="V10" s="1000"/>
      <c r="W10" s="662"/>
      <c r="X10" s="1000"/>
      <c r="Y10" s="1000"/>
      <c r="Z10" s="662"/>
      <c r="AA10" s="662"/>
      <c r="AB10" s="662"/>
      <c r="AC10" s="662"/>
      <c r="AD10" s="662"/>
      <c r="AE10" s="662"/>
      <c r="AF10" s="662"/>
      <c r="AG10" s="662"/>
      <c r="AH10" s="662"/>
      <c r="AI10" s="662"/>
      <c r="AJ10" s="662"/>
      <c r="AK10" s="662"/>
      <c r="AL10" s="662"/>
      <c r="AM10" s="662"/>
      <c r="AN10" s="662"/>
      <c r="AO10" s="662"/>
      <c r="AP10" s="662"/>
      <c r="AQ10" s="662"/>
      <c r="AR10" s="662"/>
    </row>
    <row r="11" spans="1:44" s="26" customFormat="1" ht="13.5" thickBot="1">
      <c r="A11" s="1006"/>
      <c r="B11" s="877"/>
      <c r="C11" s="878">
        <v>100</v>
      </c>
      <c r="D11" s="879">
        <f t="shared" ref="D11:M11" si="8">C11-$T$10</f>
        <v>100</v>
      </c>
      <c r="E11" s="879">
        <f t="shared" si="8"/>
        <v>100</v>
      </c>
      <c r="F11" s="879">
        <f t="shared" si="8"/>
        <v>100</v>
      </c>
      <c r="G11" s="879">
        <f t="shared" si="8"/>
        <v>100</v>
      </c>
      <c r="H11" s="879">
        <f t="shared" si="8"/>
        <v>100</v>
      </c>
      <c r="I11" s="879">
        <f t="shared" si="8"/>
        <v>100</v>
      </c>
      <c r="J11" s="879">
        <f t="shared" si="8"/>
        <v>100</v>
      </c>
      <c r="K11" s="879">
        <f t="shared" si="8"/>
        <v>100</v>
      </c>
      <c r="L11" s="879">
        <f t="shared" si="8"/>
        <v>100</v>
      </c>
      <c r="M11" s="880">
        <f t="shared" si="8"/>
        <v>100</v>
      </c>
      <c r="N11" s="880">
        <f t="shared" ref="N11:S11" si="9">M11-$T$10</f>
        <v>100</v>
      </c>
      <c r="O11" s="879">
        <f t="shared" si="9"/>
        <v>100</v>
      </c>
      <c r="P11" s="879">
        <f t="shared" si="9"/>
        <v>100</v>
      </c>
      <c r="Q11" s="879">
        <f t="shared" si="9"/>
        <v>100</v>
      </c>
      <c r="R11" s="879">
        <f t="shared" si="9"/>
        <v>100</v>
      </c>
      <c r="S11" s="916">
        <f t="shared" si="9"/>
        <v>100</v>
      </c>
      <c r="T11" s="881"/>
      <c r="U11" s="1000"/>
      <c r="V11" s="1000"/>
      <c r="W11" s="662"/>
      <c r="X11" s="1000"/>
      <c r="Y11" s="1000"/>
      <c r="Z11" s="662"/>
      <c r="AA11" s="662"/>
      <c r="AB11" s="662"/>
      <c r="AC11" s="662"/>
      <c r="AD11" s="662"/>
      <c r="AE11" s="662"/>
      <c r="AF11" s="662"/>
      <c r="AG11" s="662"/>
      <c r="AH11" s="662"/>
      <c r="AI11" s="662"/>
      <c r="AJ11" s="662"/>
      <c r="AK11" s="662"/>
      <c r="AL11" s="662"/>
      <c r="AM11" s="662"/>
      <c r="AN11" s="662"/>
      <c r="AO11" s="662"/>
      <c r="AP11" s="662"/>
      <c r="AQ11" s="662"/>
      <c r="AR11" s="662"/>
    </row>
    <row r="12" spans="1:44" s="26" customFormat="1">
      <c r="A12" s="1006"/>
      <c r="B12" s="876" t="s">
        <v>2218</v>
      </c>
      <c r="C12" s="872"/>
      <c r="D12" s="873"/>
      <c r="E12" s="873"/>
      <c r="F12" s="873"/>
      <c r="G12" s="873"/>
      <c r="H12" s="873"/>
      <c r="I12" s="873"/>
      <c r="J12" s="873"/>
      <c r="K12" s="873"/>
      <c r="L12" s="874"/>
      <c r="M12" s="875"/>
      <c r="N12" s="866"/>
      <c r="O12" s="868"/>
      <c r="P12" s="869"/>
      <c r="Q12" s="870"/>
      <c r="R12" s="871"/>
      <c r="S12" s="917"/>
      <c r="T12" s="595"/>
      <c r="U12" s="1000"/>
      <c r="V12" s="1000"/>
      <c r="W12" s="662"/>
      <c r="X12" s="1000"/>
      <c r="Y12" s="1000"/>
      <c r="Z12" s="662"/>
      <c r="AA12" s="662"/>
      <c r="AB12" s="662"/>
      <c r="AC12" s="662"/>
      <c r="AD12" s="662"/>
      <c r="AE12" s="662"/>
      <c r="AF12" s="662"/>
      <c r="AG12" s="662"/>
      <c r="AH12" s="662"/>
      <c r="AI12" s="662"/>
      <c r="AJ12" s="662"/>
      <c r="AK12" s="662"/>
      <c r="AL12" s="662"/>
      <c r="AM12" s="662"/>
      <c r="AN12" s="662"/>
      <c r="AO12" s="662"/>
      <c r="AP12" s="662"/>
      <c r="AQ12" s="662"/>
      <c r="AR12" s="662"/>
    </row>
    <row r="13" spans="1:44" s="26" customFormat="1" ht="13.5" thickBot="1">
      <c r="A13" s="1006"/>
      <c r="B13" s="882"/>
      <c r="C13" s="892">
        <v>100</v>
      </c>
      <c r="D13" s="893">
        <f t="shared" ref="D13:M13" si="10">C13-$T$12</f>
        <v>100</v>
      </c>
      <c r="E13" s="893">
        <f t="shared" si="10"/>
        <v>100</v>
      </c>
      <c r="F13" s="893">
        <f t="shared" si="10"/>
        <v>100</v>
      </c>
      <c r="G13" s="893">
        <f t="shared" si="10"/>
        <v>100</v>
      </c>
      <c r="H13" s="893">
        <f t="shared" si="10"/>
        <v>100</v>
      </c>
      <c r="I13" s="893">
        <f t="shared" si="10"/>
        <v>100</v>
      </c>
      <c r="J13" s="893">
        <f t="shared" si="10"/>
        <v>100</v>
      </c>
      <c r="K13" s="893">
        <f t="shared" si="10"/>
        <v>100</v>
      </c>
      <c r="L13" s="893">
        <f t="shared" si="10"/>
        <v>100</v>
      </c>
      <c r="M13" s="894">
        <f t="shared" si="10"/>
        <v>100</v>
      </c>
      <c r="N13" s="894">
        <f t="shared" ref="N13:S13" si="11">M13-$T$12</f>
        <v>100</v>
      </c>
      <c r="O13" s="893">
        <f t="shared" si="11"/>
        <v>100</v>
      </c>
      <c r="P13" s="893">
        <f t="shared" si="11"/>
        <v>100</v>
      </c>
      <c r="Q13" s="893">
        <f t="shared" si="11"/>
        <v>100</v>
      </c>
      <c r="R13" s="893">
        <f t="shared" si="11"/>
        <v>100</v>
      </c>
      <c r="S13" s="918">
        <f t="shared" si="11"/>
        <v>100</v>
      </c>
      <c r="T13" s="596"/>
      <c r="U13" s="1000"/>
      <c r="V13" s="1000"/>
      <c r="W13" s="662"/>
      <c r="X13" s="1000"/>
      <c r="Y13" s="1000"/>
      <c r="Z13" s="662"/>
      <c r="AA13" s="662"/>
      <c r="AB13" s="662"/>
      <c r="AC13" s="662"/>
      <c r="AD13" s="662"/>
      <c r="AE13" s="662"/>
      <c r="AF13" s="662"/>
      <c r="AG13" s="662"/>
      <c r="AH13" s="662"/>
      <c r="AI13" s="662"/>
      <c r="AJ13" s="662"/>
      <c r="AK13" s="662"/>
      <c r="AL13" s="662"/>
      <c r="AM13" s="662"/>
      <c r="AN13" s="662"/>
      <c r="AO13" s="662"/>
      <c r="AP13" s="662"/>
      <c r="AQ13" s="662"/>
      <c r="AR13" s="662"/>
    </row>
    <row r="14" spans="1:44" s="26" customFormat="1">
      <c r="A14" s="1006"/>
      <c r="B14" s="895" t="s">
        <v>2219</v>
      </c>
      <c r="C14" s="887"/>
      <c r="D14" s="888"/>
      <c r="E14" s="888"/>
      <c r="F14" s="888"/>
      <c r="G14" s="888"/>
      <c r="H14" s="888"/>
      <c r="I14" s="888"/>
      <c r="J14" s="888"/>
      <c r="K14" s="888"/>
      <c r="L14" s="888"/>
      <c r="M14" s="890"/>
      <c r="N14" s="896"/>
      <c r="O14" s="897"/>
      <c r="P14" s="898"/>
      <c r="Q14" s="899"/>
      <c r="R14" s="900"/>
      <c r="S14" s="919"/>
      <c r="T14" s="891"/>
      <c r="U14" s="1000"/>
      <c r="V14" s="1000"/>
      <c r="W14" s="662"/>
      <c r="X14" s="1000"/>
      <c r="Y14" s="1000"/>
      <c r="Z14" s="662"/>
      <c r="AA14" s="662"/>
      <c r="AB14" s="662"/>
      <c r="AC14" s="662"/>
      <c r="AD14" s="662"/>
      <c r="AE14" s="662"/>
      <c r="AF14" s="662"/>
      <c r="AG14" s="662"/>
      <c r="AH14" s="662"/>
      <c r="AI14" s="662"/>
      <c r="AJ14" s="662"/>
      <c r="AK14" s="662"/>
      <c r="AL14" s="662"/>
      <c r="AM14" s="662"/>
      <c r="AN14" s="662"/>
      <c r="AO14" s="662"/>
      <c r="AP14" s="662"/>
      <c r="AQ14" s="662"/>
      <c r="AR14" s="662"/>
    </row>
    <row r="15" spans="1:44" s="26" customFormat="1" ht="13.5" thickBot="1">
      <c r="A15" s="1006"/>
      <c r="B15" s="877"/>
      <c r="C15" s="878">
        <v>100</v>
      </c>
      <c r="D15" s="879">
        <f t="shared" ref="D15:M15" si="12">C15-$T$14</f>
        <v>100</v>
      </c>
      <c r="E15" s="879">
        <f t="shared" si="12"/>
        <v>100</v>
      </c>
      <c r="F15" s="879">
        <f t="shared" si="12"/>
        <v>100</v>
      </c>
      <c r="G15" s="879">
        <f t="shared" si="12"/>
        <v>100</v>
      </c>
      <c r="H15" s="879">
        <f t="shared" si="12"/>
        <v>100</v>
      </c>
      <c r="I15" s="879">
        <f t="shared" si="12"/>
        <v>100</v>
      </c>
      <c r="J15" s="879">
        <f t="shared" si="12"/>
        <v>100</v>
      </c>
      <c r="K15" s="879">
        <f t="shared" si="12"/>
        <v>100</v>
      </c>
      <c r="L15" s="879">
        <f t="shared" si="12"/>
        <v>100</v>
      </c>
      <c r="M15" s="880">
        <f t="shared" si="12"/>
        <v>100</v>
      </c>
      <c r="N15" s="880">
        <f t="shared" ref="N15:S15" si="13">M15-$T$14</f>
        <v>100</v>
      </c>
      <c r="O15" s="879">
        <f t="shared" si="13"/>
        <v>100</v>
      </c>
      <c r="P15" s="879">
        <f t="shared" si="13"/>
        <v>100</v>
      </c>
      <c r="Q15" s="879">
        <f t="shared" si="13"/>
        <v>100</v>
      </c>
      <c r="R15" s="879">
        <f t="shared" si="13"/>
        <v>100</v>
      </c>
      <c r="S15" s="916">
        <f t="shared" si="13"/>
        <v>100</v>
      </c>
      <c r="T15" s="881"/>
      <c r="U15" s="1000"/>
      <c r="V15" s="1000"/>
      <c r="W15" s="662"/>
      <c r="X15" s="1000"/>
      <c r="Y15" s="1000"/>
      <c r="Z15" s="662"/>
      <c r="AA15" s="662"/>
      <c r="AB15" s="662"/>
      <c r="AC15" s="662"/>
      <c r="AD15" s="662"/>
      <c r="AE15" s="662"/>
      <c r="AF15" s="662"/>
      <c r="AG15" s="662"/>
      <c r="AH15" s="662"/>
      <c r="AI15" s="662"/>
      <c r="AJ15" s="662"/>
      <c r="AK15" s="662"/>
      <c r="AL15" s="662"/>
      <c r="AM15" s="662"/>
      <c r="AN15" s="662"/>
      <c r="AO15" s="662"/>
      <c r="AP15" s="662"/>
      <c r="AQ15" s="662"/>
      <c r="AR15" s="662"/>
    </row>
    <row r="16" spans="1:44" s="26" customFormat="1">
      <c r="A16" s="1006"/>
      <c r="B16" s="895" t="s">
        <v>2220</v>
      </c>
      <c r="C16" s="887"/>
      <c r="D16" s="888"/>
      <c r="E16" s="888"/>
      <c r="F16" s="888"/>
      <c r="G16" s="888"/>
      <c r="H16" s="888"/>
      <c r="I16" s="888"/>
      <c r="J16" s="888"/>
      <c r="K16" s="888"/>
      <c r="L16" s="888"/>
      <c r="M16" s="890"/>
      <c r="N16" s="896"/>
      <c r="O16" s="897"/>
      <c r="P16" s="898"/>
      <c r="Q16" s="899"/>
      <c r="R16" s="900"/>
      <c r="S16" s="919"/>
      <c r="T16" s="911"/>
      <c r="U16" s="1000"/>
      <c r="V16" s="1000"/>
      <c r="W16" s="662"/>
      <c r="X16" s="1000"/>
      <c r="Y16" s="1000"/>
      <c r="Z16" s="662"/>
      <c r="AA16" s="662"/>
      <c r="AB16" s="662"/>
      <c r="AC16" s="662"/>
      <c r="AD16" s="662"/>
      <c r="AE16" s="662"/>
      <c r="AF16" s="662"/>
      <c r="AG16" s="662"/>
      <c r="AH16" s="662"/>
      <c r="AI16" s="662"/>
      <c r="AJ16" s="662"/>
      <c r="AK16" s="662"/>
      <c r="AL16" s="662"/>
      <c r="AM16" s="662"/>
      <c r="AN16" s="662"/>
      <c r="AO16" s="662"/>
      <c r="AP16" s="662"/>
      <c r="AQ16" s="662"/>
      <c r="AR16" s="662"/>
    </row>
    <row r="17" spans="1:45" s="26" customFormat="1" ht="13.5" thickBot="1">
      <c r="A17" s="1006"/>
      <c r="B17" s="877"/>
      <c r="C17" s="908"/>
      <c r="D17" s="909"/>
      <c r="E17" s="909"/>
      <c r="F17" s="909"/>
      <c r="G17" s="909"/>
      <c r="H17" s="909"/>
      <c r="I17" s="909"/>
      <c r="J17" s="909"/>
      <c r="K17" s="909"/>
      <c r="L17" s="909"/>
      <c r="M17" s="910"/>
      <c r="N17" s="910"/>
      <c r="O17" s="909"/>
      <c r="P17" s="909"/>
      <c r="Q17" s="909"/>
      <c r="R17" s="909"/>
      <c r="S17" s="920"/>
      <c r="T17" s="881"/>
      <c r="U17" s="1000"/>
      <c r="V17" s="1000"/>
      <c r="W17" s="662"/>
      <c r="X17" s="1000"/>
      <c r="Y17" s="1000"/>
      <c r="Z17" s="662"/>
      <c r="AA17" s="662"/>
      <c r="AB17" s="662"/>
      <c r="AC17" s="662"/>
      <c r="AD17" s="662"/>
      <c r="AE17" s="662"/>
      <c r="AF17" s="662"/>
      <c r="AG17" s="662"/>
      <c r="AH17" s="662"/>
      <c r="AI17" s="662"/>
      <c r="AJ17" s="662"/>
      <c r="AK17" s="662"/>
      <c r="AL17" s="662"/>
      <c r="AM17" s="662"/>
      <c r="AN17" s="662"/>
      <c r="AO17" s="662"/>
      <c r="AP17" s="662"/>
      <c r="AQ17" s="662"/>
      <c r="AR17" s="662"/>
    </row>
    <row r="18" spans="1:45" s="26" customFormat="1">
      <c r="A18" s="1006"/>
      <c r="B18" s="895" t="s">
        <v>2221</v>
      </c>
      <c r="C18" s="887"/>
      <c r="D18" s="888"/>
      <c r="E18" s="888"/>
      <c r="F18" s="888"/>
      <c r="G18" s="888"/>
      <c r="H18" s="888"/>
      <c r="I18" s="888"/>
      <c r="J18" s="888"/>
      <c r="K18" s="888"/>
      <c r="L18" s="888"/>
      <c r="M18" s="890"/>
      <c r="N18" s="896"/>
      <c r="O18" s="897"/>
      <c r="P18" s="898"/>
      <c r="Q18" s="899"/>
      <c r="R18" s="900"/>
      <c r="S18" s="919"/>
      <c r="T18" s="911"/>
      <c r="U18" s="1000"/>
      <c r="V18" s="1000"/>
      <c r="W18" s="662"/>
      <c r="X18" s="1000"/>
      <c r="Y18" s="1000"/>
      <c r="Z18" s="662"/>
      <c r="AA18" s="662"/>
      <c r="AB18" s="662"/>
      <c r="AC18" s="662"/>
      <c r="AD18" s="662"/>
      <c r="AE18" s="662"/>
      <c r="AF18" s="662"/>
      <c r="AG18" s="662"/>
      <c r="AH18" s="662"/>
      <c r="AI18" s="662"/>
      <c r="AJ18" s="662"/>
      <c r="AK18" s="662"/>
      <c r="AL18" s="662"/>
      <c r="AM18" s="662"/>
      <c r="AN18" s="662"/>
      <c r="AO18" s="662"/>
      <c r="AP18" s="662"/>
      <c r="AQ18" s="662"/>
      <c r="AR18" s="662"/>
    </row>
    <row r="19" spans="1:45" s="26" customFormat="1" ht="13.5" thickBot="1">
      <c r="A19" s="1006"/>
      <c r="B19" s="882"/>
      <c r="C19" s="883"/>
      <c r="D19" s="884"/>
      <c r="E19" s="884"/>
      <c r="F19" s="884"/>
      <c r="G19" s="884"/>
      <c r="H19" s="884"/>
      <c r="I19" s="884"/>
      <c r="J19" s="884"/>
      <c r="K19" s="884"/>
      <c r="L19" s="884"/>
      <c r="M19" s="885"/>
      <c r="N19" s="885"/>
      <c r="O19" s="884"/>
      <c r="P19" s="884"/>
      <c r="Q19" s="884"/>
      <c r="R19" s="884"/>
      <c r="S19" s="914"/>
      <c r="T19" s="596"/>
      <c r="U19" s="1000"/>
      <c r="V19" s="1000"/>
      <c r="W19" s="662"/>
      <c r="X19" s="1000"/>
      <c r="Y19" s="1000"/>
      <c r="Z19" s="662"/>
      <c r="AA19" s="662"/>
      <c r="AB19" s="662"/>
      <c r="AC19" s="662"/>
      <c r="AD19" s="662"/>
      <c r="AE19" s="662"/>
      <c r="AF19" s="662"/>
      <c r="AG19" s="662"/>
      <c r="AH19" s="662"/>
      <c r="AI19" s="662"/>
      <c r="AJ19" s="662"/>
      <c r="AK19" s="662"/>
      <c r="AL19" s="662"/>
      <c r="AM19" s="662"/>
      <c r="AN19" s="662"/>
      <c r="AO19" s="662"/>
      <c r="AP19" s="662"/>
      <c r="AQ19" s="662"/>
      <c r="AR19" s="662"/>
    </row>
    <row r="20" spans="1:45" s="26" customFormat="1">
      <c r="A20" s="1552" t="s">
        <v>2222</v>
      </c>
      <c r="B20" s="1553" t="s">
        <v>2223</v>
      </c>
      <c r="C20" s="1007"/>
      <c r="D20" s="1008"/>
      <c r="E20" s="1008"/>
      <c r="F20" s="1008"/>
      <c r="G20" s="1008"/>
      <c r="H20" s="1008"/>
      <c r="I20" s="1008"/>
      <c r="J20" s="1008"/>
      <c r="K20" s="1008"/>
      <c r="L20" s="1009"/>
      <c r="M20" s="1010"/>
      <c r="N20" s="1011"/>
      <c r="O20" s="1012"/>
      <c r="P20" s="1013"/>
      <c r="Q20" s="1014"/>
      <c r="R20" s="1015"/>
      <c r="S20" s="1016"/>
      <c r="T20" s="1016"/>
      <c r="U20" s="1016"/>
      <c r="V20" s="1016"/>
      <c r="W20" s="1016"/>
      <c r="X20" s="1016"/>
      <c r="Y20" s="1016"/>
      <c r="Z20" s="1016"/>
      <c r="AA20" s="1016"/>
      <c r="AB20" s="1016"/>
      <c r="AC20" s="1016"/>
      <c r="AD20" s="1016"/>
      <c r="AE20" s="1016"/>
      <c r="AF20" s="1016"/>
      <c r="AG20" s="1016"/>
      <c r="AH20" s="1016"/>
      <c r="AI20" s="1016"/>
      <c r="AJ20" s="1016"/>
      <c r="AK20" s="1016"/>
      <c r="AL20" s="1016"/>
      <c r="AM20" s="1016"/>
      <c r="AN20" s="1016"/>
      <c r="AO20" s="1016"/>
      <c r="AP20" s="1016"/>
      <c r="AQ20" s="1016"/>
      <c r="AR20" s="1016"/>
      <c r="AS20" s="1016"/>
    </row>
    <row r="21" spans="1:45" s="26" customFormat="1" ht="13.5" thickBot="1">
      <c r="A21" s="1017"/>
      <c r="B21" s="1018"/>
      <c r="C21" s="1019"/>
      <c r="D21" s="1020"/>
      <c r="E21" s="1020"/>
      <c r="F21" s="1020"/>
      <c r="G21" s="1020"/>
      <c r="H21" s="1020"/>
      <c r="I21" s="1020"/>
      <c r="J21" s="1020"/>
      <c r="K21" s="1020"/>
      <c r="L21" s="1020"/>
      <c r="M21" s="1021"/>
      <c r="N21" s="1021"/>
      <c r="O21" s="1020"/>
      <c r="P21" s="1020"/>
      <c r="Q21" s="1020"/>
      <c r="R21" s="1020"/>
      <c r="S21" s="1022"/>
      <c r="T21" s="1022"/>
      <c r="U21" s="1022"/>
      <c r="V21" s="1022"/>
      <c r="W21" s="1022"/>
      <c r="X21" s="1022"/>
      <c r="Y21" s="1022"/>
      <c r="Z21" s="1022"/>
      <c r="AA21" s="1022"/>
      <c r="AB21" s="1022"/>
      <c r="AC21" s="1022"/>
      <c r="AD21" s="1022"/>
      <c r="AE21" s="1022"/>
      <c r="AF21" s="1022"/>
      <c r="AG21" s="1022"/>
      <c r="AH21" s="1022"/>
      <c r="AI21" s="1022"/>
      <c r="AJ21" s="1022"/>
      <c r="AK21" s="1022"/>
      <c r="AL21" s="1022"/>
      <c r="AM21" s="1022"/>
      <c r="AN21" s="1022"/>
      <c r="AO21" s="1022"/>
      <c r="AP21" s="1022"/>
      <c r="AQ21" s="1022"/>
      <c r="AR21" s="1022"/>
      <c r="AS21" s="1022"/>
    </row>
    <row r="22" spans="1:45">
      <c r="A22" s="31"/>
      <c r="B22" s="37"/>
      <c r="C22" s="37"/>
      <c r="D22" s="37"/>
      <c r="E22" s="37"/>
      <c r="F22" s="1554" t="s">
        <v>2224</v>
      </c>
      <c r="G22" s="1324"/>
      <c r="H22" s="1324"/>
      <c r="I22" s="1324"/>
      <c r="J22" s="1325"/>
      <c r="K22" s="37"/>
      <c r="L22" s="37"/>
      <c r="M22" s="37"/>
      <c r="N22" s="37"/>
      <c r="O22" s="37"/>
      <c r="P22" s="37"/>
      <c r="Q22" s="37"/>
      <c r="R22" s="645"/>
      <c r="S22" s="31"/>
      <c r="T22" s="31"/>
      <c r="U22" s="999"/>
      <c r="V22" s="1000"/>
      <c r="W22" s="662"/>
      <c r="X22" s="662"/>
      <c r="Y22" s="662"/>
      <c r="Z22" s="662"/>
    </row>
    <row r="23" spans="1:45" ht="16.5" thickBot="1">
      <c r="A23" s="81" t="s">
        <v>2225</v>
      </c>
      <c r="B23" s="224">
        <f ca="1">IF(F23="——",IF(C23="万元",T25,S25),IF(C23="万元",T25-H23,S25-H23))</f>
        <v>2708</v>
      </c>
      <c r="C23" s="1555" t="str">
        <f>'数据-取费表'!B3</f>
        <v>万元</v>
      </c>
      <c r="D23" s="37"/>
      <c r="E23" s="37"/>
      <c r="F23" s="1556" t="s">
        <v>1241</v>
      </c>
      <c r="G23" s="1326"/>
      <c r="H23" s="575" t="e">
        <f ca="1">SUMIF(INDIRECT("'"&amp;J23&amp;"'"&amp;"!A:A"),"承租人权益价值",INDIRECT("'"&amp;J23&amp;"'"&amp;"!c:c"))</f>
        <v>#REF!</v>
      </c>
      <c r="I23" s="575" t="str">
        <f>C2</f>
        <v>万元</v>
      </c>
      <c r="J23" s="1557"/>
      <c r="K23" s="37"/>
      <c r="L23" s="37"/>
      <c r="M23" s="37"/>
      <c r="N23" s="37"/>
      <c r="O23" s="37"/>
      <c r="P23" s="37"/>
      <c r="Q23" s="37"/>
      <c r="R23" s="645"/>
      <c r="S23" s="31"/>
      <c r="T23" s="31"/>
      <c r="U23" s="999"/>
      <c r="V23" s="1000"/>
      <c r="W23" s="662"/>
      <c r="X23" s="662"/>
      <c r="Y23" s="662"/>
      <c r="Z23" s="662"/>
    </row>
    <row r="24" spans="1:45" ht="15.75">
      <c r="A24" s="1555" t="s">
        <v>2226</v>
      </c>
      <c r="B24" s="224">
        <f ca="1">ROUND(B23*10000/B25,0)</f>
        <v>32189</v>
      </c>
      <c r="C24" s="864"/>
      <c r="D24" s="37"/>
      <c r="E24" s="37"/>
      <c r="F24" s="37"/>
      <c r="G24" s="37"/>
      <c r="H24" s="37"/>
      <c r="I24" s="37"/>
      <c r="J24" s="37"/>
      <c r="K24" s="37"/>
      <c r="L24" s="37"/>
      <c r="M24" s="37"/>
      <c r="N24" s="37"/>
      <c r="O24" s="37"/>
      <c r="P24" s="37"/>
      <c r="Q24" s="37"/>
      <c r="R24" s="645"/>
      <c r="S24" s="13" t="s">
        <v>2227</v>
      </c>
      <c r="T24" s="1332" t="s">
        <v>2228</v>
      </c>
      <c r="U24" s="2245" t="s">
        <v>2229</v>
      </c>
      <c r="V24" s="2985"/>
      <c r="W24" s="2986" t="s">
        <v>2230</v>
      </c>
      <c r="X24" s="2245" t="s">
        <v>2231</v>
      </c>
      <c r="Y24" s="2985"/>
      <c r="Z24" s="2987" t="s">
        <v>2230</v>
      </c>
    </row>
    <row r="25" spans="1:45">
      <c r="A25" s="250" t="s">
        <v>2232</v>
      </c>
      <c r="B25" s="13">
        <f>SUM(B27:B10000)</f>
        <v>841.27</v>
      </c>
      <c r="C25" s="3489" t="s">
        <v>45</v>
      </c>
      <c r="D25" s="3490"/>
      <c r="E25" s="3490"/>
      <c r="F25" s="3490"/>
      <c r="G25" s="3490"/>
      <c r="H25" s="3490"/>
      <c r="I25" s="3490"/>
      <c r="J25" s="3490"/>
      <c r="K25" s="3490"/>
      <c r="L25" s="3490"/>
      <c r="M25" s="3490"/>
      <c r="N25" s="3490"/>
      <c r="O25" s="3490"/>
      <c r="P25" s="3490"/>
      <c r="Q25" s="3491"/>
      <c r="R25" s="597">
        <f ca="1">IF(C23="万元",ROUND(T25*10000/B25,0),ROUND(S25/B25,0))</f>
        <v>32189</v>
      </c>
      <c r="S25" s="13">
        <f ca="1">SUM(S27:S10000)</f>
        <v>27078897</v>
      </c>
      <c r="T25" s="13">
        <f ca="1">SUM(T27:T10000)</f>
        <v>2708</v>
      </c>
      <c r="U25" s="17">
        <f>SUM(U27:U10000)</f>
        <v>0</v>
      </c>
      <c r="V25" s="17">
        <f>SUM(V27:V10000)</f>
        <v>0</v>
      </c>
      <c r="W25" s="2989"/>
      <c r="X25" s="17">
        <f>SUM(X27:X10000)</f>
        <v>0</v>
      </c>
      <c r="Y25" s="17">
        <f>SUM(Y27:Y10000)</f>
        <v>0</v>
      </c>
      <c r="Z25" s="1558"/>
    </row>
    <row r="26" spans="1:45" s="11" customFormat="1" ht="24">
      <c r="A26" s="10" t="s">
        <v>2233</v>
      </c>
      <c r="B26" s="10" t="s">
        <v>2234</v>
      </c>
      <c r="C26" s="10" t="s">
        <v>2235</v>
      </c>
      <c r="D26" s="10" t="str">
        <f>B8</f>
        <v>修正项2</v>
      </c>
      <c r="E26" s="10" t="s">
        <v>2235</v>
      </c>
      <c r="F26" s="10" t="str">
        <f>B10</f>
        <v>修正项3</v>
      </c>
      <c r="G26" s="10" t="s">
        <v>2235</v>
      </c>
      <c r="H26" s="10" t="str">
        <f>B12</f>
        <v>修正项4</v>
      </c>
      <c r="I26" s="10" t="s">
        <v>2235</v>
      </c>
      <c r="J26" s="10" t="str">
        <f>B14</f>
        <v>修正项5</v>
      </c>
      <c r="K26" s="10" t="s">
        <v>2235</v>
      </c>
      <c r="L26" s="10" t="str">
        <f>B16</f>
        <v>修正项6</v>
      </c>
      <c r="M26" s="10" t="s">
        <v>2235</v>
      </c>
      <c r="N26" s="10" t="str">
        <f>B18</f>
        <v>修正项7</v>
      </c>
      <c r="O26" s="10" t="s">
        <v>2235</v>
      </c>
      <c r="P26" s="10" t="str">
        <f>B20</f>
        <v>楼层</v>
      </c>
      <c r="Q26" s="10" t="s">
        <v>2235</v>
      </c>
      <c r="R26" s="598" t="s">
        <v>2236</v>
      </c>
      <c r="S26" s="10" t="s">
        <v>2237</v>
      </c>
      <c r="T26" s="10" t="s">
        <v>2237</v>
      </c>
      <c r="U26" s="684" t="s">
        <v>2238</v>
      </c>
      <c r="V26" s="684" t="s">
        <v>2239</v>
      </c>
      <c r="W26" s="10" t="s">
        <v>2240</v>
      </c>
      <c r="X26" s="684" t="s">
        <v>2238</v>
      </c>
      <c r="Y26" s="684" t="s">
        <v>2239</v>
      </c>
      <c r="Z26" s="10" t="s">
        <v>2240</v>
      </c>
      <c r="AA26" s="663"/>
      <c r="AB26" s="663"/>
      <c r="AC26" s="663"/>
      <c r="AD26" s="663"/>
      <c r="AE26" s="663"/>
      <c r="AF26" s="663"/>
      <c r="AG26" s="663"/>
      <c r="AH26" s="663"/>
      <c r="AI26" s="663"/>
      <c r="AJ26" s="663"/>
      <c r="AK26" s="663"/>
      <c r="AL26" s="663"/>
      <c r="AM26" s="663"/>
      <c r="AN26" s="663"/>
      <c r="AO26" s="663"/>
      <c r="AP26" s="663"/>
      <c r="AQ26" s="663"/>
      <c r="AR26" s="663"/>
    </row>
    <row r="27" spans="1:45" s="602" customFormat="1">
      <c r="A27" s="599">
        <v>1801</v>
      </c>
      <c r="B27" s="600">
        <f>'数据-取费表'!E5</f>
        <v>155.91999999999999</v>
      </c>
      <c r="C27" s="901">
        <v>1</v>
      </c>
      <c r="D27" s="601"/>
      <c r="E27" s="901">
        <v>1</v>
      </c>
      <c r="F27" s="601"/>
      <c r="G27" s="901">
        <v>1</v>
      </c>
      <c r="H27" s="601"/>
      <c r="I27" s="901">
        <v>1</v>
      </c>
      <c r="J27" s="601"/>
      <c r="K27" s="901">
        <v>1</v>
      </c>
      <c r="L27" s="601"/>
      <c r="M27" s="901">
        <v>1</v>
      </c>
      <c r="N27" s="601"/>
      <c r="O27" s="901">
        <v>1</v>
      </c>
      <c r="P27" s="601"/>
      <c r="Q27" s="901">
        <v>1</v>
      </c>
      <c r="R27" s="907">
        <f ca="1">'结果表 (1修多)'!G20</f>
        <v>32341</v>
      </c>
      <c r="S27" s="600">
        <f ca="1">ROUND(R27*B27,0)</f>
        <v>5042609</v>
      </c>
      <c r="T27" s="600">
        <f ca="1">ROUND(R27*B27/10000,0)</f>
        <v>504</v>
      </c>
      <c r="U27" s="2988">
        <f>ROUND(W27*B27,0)</f>
        <v>0</v>
      </c>
      <c r="V27" s="2988">
        <f>ROUND(W27*B27/10000,0)</f>
        <v>0</v>
      </c>
      <c r="W27" s="997"/>
      <c r="X27" s="2988">
        <f>ROUND(Z27*B27,0)</f>
        <v>0</v>
      </c>
      <c r="Y27" s="2988">
        <f>ROUND(Z27*B27/10000,0)</f>
        <v>0</v>
      </c>
      <c r="Z27" s="997"/>
      <c r="AA27" s="664"/>
      <c r="AB27" s="664"/>
      <c r="AC27" s="664"/>
      <c r="AD27" s="664"/>
      <c r="AE27" s="664"/>
      <c r="AF27" s="664"/>
      <c r="AG27" s="664"/>
      <c r="AH27" s="664"/>
      <c r="AI27" s="664"/>
      <c r="AJ27" s="664"/>
      <c r="AK27" s="664"/>
      <c r="AL27" s="664"/>
      <c r="AM27" s="664"/>
      <c r="AN27" s="664"/>
      <c r="AO27" s="664"/>
      <c r="AP27" s="664"/>
      <c r="AQ27" s="664"/>
      <c r="AR27" s="664"/>
    </row>
    <row r="28" spans="1:45">
      <c r="A28" s="35">
        <v>1802</v>
      </c>
      <c r="B28" s="20">
        <v>243.28</v>
      </c>
      <c r="C28" s="13">
        <f t="shared" ref="C28:C91" si="14">IF(B28="",1,(LOOKUP(B28,$6:$6,$7:$7)-LOOKUP($B$27,$6:$6,$7:$7)+100)/100)</f>
        <v>1.02</v>
      </c>
      <c r="D28" s="601"/>
      <c r="E28" s="13">
        <f t="shared" ref="E28:E91" si="15">(SUMIF($8:$8,D28,$9:$9)-SUMIF($8:$8,$D$27,$9:$9)+100)/100</f>
        <v>1</v>
      </c>
      <c r="F28" s="601"/>
      <c r="G28" s="13">
        <f t="shared" ref="G28:G91" si="16">(SUMIF($10:$10,F28,$11:$11)-SUMIF($10:$10,$F$27,$11:$11)+100)/100</f>
        <v>1</v>
      </c>
      <c r="H28" s="601"/>
      <c r="I28" s="13">
        <f t="shared" ref="I28:I91" si="17">(SUMIF($12:$12,H28,$13:$13)-SUMIF($12:$12,$H$27,$13:$13)+100)/100</f>
        <v>1</v>
      </c>
      <c r="J28" s="601"/>
      <c r="K28" s="13">
        <f t="shared" ref="K28:K91" si="18">(SUMIF($14:$14,J28,$15:$15)-SUMIF($14:$14,$J$27,$15:$15)+100)/100</f>
        <v>1</v>
      </c>
      <c r="L28" s="601"/>
      <c r="M28" s="13">
        <f t="shared" ref="M28:M91" si="19">(SUMIF($16:$16,L28,$17:$17)-SUMIF($16:$16,$L$27,$17:$17)+100)/100</f>
        <v>1</v>
      </c>
      <c r="N28" s="601"/>
      <c r="O28" s="13">
        <f t="shared" ref="O28:O91" si="20">(SUMIF($18:$18,N28,$19:$19)-SUMIF($18:$18,$N$27,$19:$19)+100)/100</f>
        <v>1</v>
      </c>
      <c r="P28" s="601"/>
      <c r="Q28" s="13">
        <f t="shared" ref="Q28:Q91" si="21">(SUMIF($20:$20,P28,$21:$21)-SUMIF($20:$20,$P$27,$21:$21)+100)/100</f>
        <v>1</v>
      </c>
      <c r="R28" s="597">
        <f ca="1">IF(B28="",0,ROUND($R$27*C28*E28*G28*I28*K28*M28*O28*Q28,0))</f>
        <v>32988</v>
      </c>
      <c r="S28" s="250">
        <f ca="1">ROUND(R28*B28,0)</f>
        <v>8025321</v>
      </c>
      <c r="T28" s="901">
        <f ca="1">ROUND(R28*B28/10000,0)</f>
        <v>803</v>
      </c>
      <c r="U28" s="2988">
        <f t="shared" ref="U28:U91" si="22">ROUND(W28*B28,0)</f>
        <v>0</v>
      </c>
      <c r="V28" s="2988">
        <f t="shared" ref="V28:V91" si="23">ROUND(W28*B28/10000,0)</f>
        <v>0</v>
      </c>
      <c r="W28" s="998"/>
      <c r="X28" s="2988">
        <f t="shared" ref="X28:X91" si="24">ROUND(Z28*B28,0)</f>
        <v>0</v>
      </c>
      <c r="Y28" s="2988">
        <f t="shared" ref="Y28:Y91" si="25">ROUND(Z28*B28/10000,0)</f>
        <v>0</v>
      </c>
      <c r="Z28" s="998"/>
    </row>
    <row r="29" spans="1:45">
      <c r="A29" s="35">
        <v>1803</v>
      </c>
      <c r="B29" s="20">
        <v>442.07</v>
      </c>
      <c r="C29" s="13">
        <f t="shared" si="14"/>
        <v>0.98</v>
      </c>
      <c r="D29" s="601"/>
      <c r="E29" s="13">
        <f t="shared" si="15"/>
        <v>1</v>
      </c>
      <c r="F29" s="601"/>
      <c r="G29" s="13">
        <f t="shared" si="16"/>
        <v>1</v>
      </c>
      <c r="H29" s="601"/>
      <c r="I29" s="13">
        <f t="shared" si="17"/>
        <v>1</v>
      </c>
      <c r="J29" s="601"/>
      <c r="K29" s="13">
        <f t="shared" si="18"/>
        <v>1</v>
      </c>
      <c r="L29" s="601"/>
      <c r="M29" s="13">
        <f t="shared" si="19"/>
        <v>1</v>
      </c>
      <c r="N29" s="601"/>
      <c r="O29" s="13">
        <f t="shared" si="20"/>
        <v>1</v>
      </c>
      <c r="P29" s="601"/>
      <c r="Q29" s="13">
        <f t="shared" si="21"/>
        <v>1</v>
      </c>
      <c r="R29" s="597">
        <f t="shared" ref="R29:R92" ca="1" si="26">IF(B29="",0,ROUND($R$27*C29*E29*G29*I29*K29*M29*O29*Q29,0))</f>
        <v>31694</v>
      </c>
      <c r="S29" s="250">
        <f t="shared" ref="S29:S92" ca="1" si="27">ROUND(R29*B29,0)</f>
        <v>14010967</v>
      </c>
      <c r="T29" s="901">
        <f t="shared" ref="T29:T92" ca="1" si="28">ROUND(R29*B29/10000,0)</f>
        <v>1401</v>
      </c>
      <c r="U29" s="2988">
        <f t="shared" si="22"/>
        <v>0</v>
      </c>
      <c r="V29" s="2988">
        <f t="shared" si="23"/>
        <v>0</v>
      </c>
      <c r="W29" s="998"/>
      <c r="X29" s="2988">
        <f t="shared" si="24"/>
        <v>0</v>
      </c>
      <c r="Y29" s="2988">
        <f t="shared" si="25"/>
        <v>0</v>
      </c>
      <c r="Z29" s="998"/>
    </row>
    <row r="30" spans="1:45">
      <c r="A30" s="35"/>
      <c r="B30" s="20"/>
      <c r="C30" s="13">
        <f t="shared" si="14"/>
        <v>1</v>
      </c>
      <c r="D30" s="601"/>
      <c r="E30" s="13">
        <f t="shared" si="15"/>
        <v>1</v>
      </c>
      <c r="F30" s="601"/>
      <c r="G30" s="13">
        <f t="shared" si="16"/>
        <v>1</v>
      </c>
      <c r="H30" s="601"/>
      <c r="I30" s="13">
        <f t="shared" si="17"/>
        <v>1</v>
      </c>
      <c r="J30" s="601"/>
      <c r="K30" s="13">
        <f t="shared" si="18"/>
        <v>1</v>
      </c>
      <c r="L30" s="601"/>
      <c r="M30" s="13">
        <f t="shared" si="19"/>
        <v>1</v>
      </c>
      <c r="N30" s="601"/>
      <c r="O30" s="13">
        <f t="shared" si="20"/>
        <v>1</v>
      </c>
      <c r="P30" s="601"/>
      <c r="Q30" s="13">
        <f t="shared" si="21"/>
        <v>1</v>
      </c>
      <c r="R30" s="597">
        <f t="shared" si="26"/>
        <v>0</v>
      </c>
      <c r="S30" s="250">
        <f t="shared" si="27"/>
        <v>0</v>
      </c>
      <c r="T30" s="901">
        <f t="shared" si="28"/>
        <v>0</v>
      </c>
      <c r="U30" s="2988">
        <f t="shared" si="22"/>
        <v>0</v>
      </c>
      <c r="V30" s="2988">
        <f t="shared" si="23"/>
        <v>0</v>
      </c>
      <c r="W30" s="998"/>
      <c r="X30" s="2988">
        <f t="shared" si="24"/>
        <v>0</v>
      </c>
      <c r="Y30" s="2988">
        <f t="shared" si="25"/>
        <v>0</v>
      </c>
      <c r="Z30" s="998"/>
    </row>
    <row r="31" spans="1:45">
      <c r="A31" s="35"/>
      <c r="B31" s="20"/>
      <c r="C31" s="13">
        <f t="shared" si="14"/>
        <v>1</v>
      </c>
      <c r="D31" s="601"/>
      <c r="E31" s="13">
        <f t="shared" si="15"/>
        <v>1</v>
      </c>
      <c r="F31" s="601"/>
      <c r="G31" s="13">
        <f t="shared" si="16"/>
        <v>1</v>
      </c>
      <c r="H31" s="601"/>
      <c r="I31" s="13">
        <f t="shared" si="17"/>
        <v>1</v>
      </c>
      <c r="J31" s="601"/>
      <c r="K31" s="13">
        <f t="shared" si="18"/>
        <v>1</v>
      </c>
      <c r="L31" s="601"/>
      <c r="M31" s="13">
        <f t="shared" si="19"/>
        <v>1</v>
      </c>
      <c r="N31" s="601"/>
      <c r="O31" s="13">
        <f t="shared" si="20"/>
        <v>1</v>
      </c>
      <c r="P31" s="601"/>
      <c r="Q31" s="13">
        <f t="shared" si="21"/>
        <v>1</v>
      </c>
      <c r="R31" s="597">
        <f t="shared" si="26"/>
        <v>0</v>
      </c>
      <c r="S31" s="250">
        <f t="shared" si="27"/>
        <v>0</v>
      </c>
      <c r="T31" s="901">
        <f t="shared" si="28"/>
        <v>0</v>
      </c>
      <c r="U31" s="2988">
        <f t="shared" si="22"/>
        <v>0</v>
      </c>
      <c r="V31" s="2988">
        <f t="shared" si="23"/>
        <v>0</v>
      </c>
      <c r="W31" s="998"/>
      <c r="X31" s="2988">
        <f t="shared" si="24"/>
        <v>0</v>
      </c>
      <c r="Y31" s="2988">
        <f t="shared" si="25"/>
        <v>0</v>
      </c>
      <c r="Z31" s="998"/>
    </row>
    <row r="32" spans="1:45">
      <c r="A32" s="35"/>
      <c r="B32" s="20"/>
      <c r="C32" s="13">
        <f t="shared" si="14"/>
        <v>1</v>
      </c>
      <c r="D32" s="601"/>
      <c r="E32" s="13">
        <f t="shared" si="15"/>
        <v>1</v>
      </c>
      <c r="F32" s="601"/>
      <c r="G32" s="13">
        <f t="shared" si="16"/>
        <v>1</v>
      </c>
      <c r="H32" s="601"/>
      <c r="I32" s="13">
        <f t="shared" si="17"/>
        <v>1</v>
      </c>
      <c r="J32" s="601"/>
      <c r="K32" s="13">
        <f t="shared" si="18"/>
        <v>1</v>
      </c>
      <c r="L32" s="601"/>
      <c r="M32" s="13">
        <f t="shared" si="19"/>
        <v>1</v>
      </c>
      <c r="N32" s="601"/>
      <c r="O32" s="13">
        <f t="shared" si="20"/>
        <v>1</v>
      </c>
      <c r="P32" s="601"/>
      <c r="Q32" s="13">
        <f t="shared" si="21"/>
        <v>1</v>
      </c>
      <c r="R32" s="597">
        <f t="shared" si="26"/>
        <v>0</v>
      </c>
      <c r="S32" s="250">
        <f t="shared" si="27"/>
        <v>0</v>
      </c>
      <c r="T32" s="901">
        <f t="shared" si="28"/>
        <v>0</v>
      </c>
      <c r="U32" s="2988">
        <f t="shared" si="22"/>
        <v>0</v>
      </c>
      <c r="V32" s="2988">
        <f t="shared" si="23"/>
        <v>0</v>
      </c>
      <c r="W32" s="998"/>
      <c r="X32" s="2988">
        <f t="shared" si="24"/>
        <v>0</v>
      </c>
      <c r="Y32" s="2988">
        <f t="shared" si="25"/>
        <v>0</v>
      </c>
      <c r="Z32" s="998"/>
    </row>
    <row r="33" spans="1:26">
      <c r="A33" s="35"/>
      <c r="B33" s="20"/>
      <c r="C33" s="13">
        <f t="shared" si="14"/>
        <v>1</v>
      </c>
      <c r="D33" s="601"/>
      <c r="E33" s="13">
        <f t="shared" si="15"/>
        <v>1</v>
      </c>
      <c r="F33" s="601"/>
      <c r="G33" s="13">
        <f t="shared" si="16"/>
        <v>1</v>
      </c>
      <c r="H33" s="601"/>
      <c r="I33" s="13">
        <f t="shared" si="17"/>
        <v>1</v>
      </c>
      <c r="J33" s="601"/>
      <c r="K33" s="13">
        <f t="shared" si="18"/>
        <v>1</v>
      </c>
      <c r="L33" s="601"/>
      <c r="M33" s="13">
        <f t="shared" si="19"/>
        <v>1</v>
      </c>
      <c r="N33" s="601"/>
      <c r="O33" s="13">
        <f t="shared" si="20"/>
        <v>1</v>
      </c>
      <c r="P33" s="601"/>
      <c r="Q33" s="13">
        <f t="shared" si="21"/>
        <v>1</v>
      </c>
      <c r="R33" s="597">
        <f t="shared" si="26"/>
        <v>0</v>
      </c>
      <c r="S33" s="250">
        <f t="shared" si="27"/>
        <v>0</v>
      </c>
      <c r="T33" s="901">
        <f t="shared" si="28"/>
        <v>0</v>
      </c>
      <c r="U33" s="2988">
        <f t="shared" si="22"/>
        <v>0</v>
      </c>
      <c r="V33" s="2988">
        <f t="shared" si="23"/>
        <v>0</v>
      </c>
      <c r="W33" s="998"/>
      <c r="X33" s="2988">
        <f t="shared" si="24"/>
        <v>0</v>
      </c>
      <c r="Y33" s="2988">
        <f t="shared" si="25"/>
        <v>0</v>
      </c>
      <c r="Z33" s="998"/>
    </row>
    <row r="34" spans="1:26">
      <c r="A34" s="35"/>
      <c r="B34" s="20"/>
      <c r="C34" s="13">
        <f t="shared" si="14"/>
        <v>1</v>
      </c>
      <c r="D34" s="601"/>
      <c r="E34" s="13">
        <f t="shared" si="15"/>
        <v>1</v>
      </c>
      <c r="F34" s="601"/>
      <c r="G34" s="13">
        <f t="shared" si="16"/>
        <v>1</v>
      </c>
      <c r="H34" s="601"/>
      <c r="I34" s="13">
        <f t="shared" si="17"/>
        <v>1</v>
      </c>
      <c r="J34" s="601"/>
      <c r="K34" s="13">
        <f t="shared" si="18"/>
        <v>1</v>
      </c>
      <c r="L34" s="601"/>
      <c r="M34" s="13">
        <f t="shared" si="19"/>
        <v>1</v>
      </c>
      <c r="N34" s="601"/>
      <c r="O34" s="13">
        <f t="shared" si="20"/>
        <v>1</v>
      </c>
      <c r="P34" s="601"/>
      <c r="Q34" s="13">
        <f t="shared" si="21"/>
        <v>1</v>
      </c>
      <c r="R34" s="597">
        <f t="shared" si="26"/>
        <v>0</v>
      </c>
      <c r="S34" s="250">
        <f t="shared" si="27"/>
        <v>0</v>
      </c>
      <c r="T34" s="901">
        <f t="shared" si="28"/>
        <v>0</v>
      </c>
      <c r="U34" s="2988">
        <f t="shared" si="22"/>
        <v>0</v>
      </c>
      <c r="V34" s="2988">
        <f t="shared" si="23"/>
        <v>0</v>
      </c>
      <c r="W34" s="998"/>
      <c r="X34" s="2988">
        <f t="shared" si="24"/>
        <v>0</v>
      </c>
      <c r="Y34" s="2988">
        <f t="shared" si="25"/>
        <v>0</v>
      </c>
      <c r="Z34" s="998"/>
    </row>
    <row r="35" spans="1:26">
      <c r="A35" s="35"/>
      <c r="B35" s="20"/>
      <c r="C35" s="13">
        <f t="shared" si="14"/>
        <v>1</v>
      </c>
      <c r="D35" s="601"/>
      <c r="E35" s="13">
        <f t="shared" si="15"/>
        <v>1</v>
      </c>
      <c r="F35" s="601"/>
      <c r="G35" s="13">
        <f t="shared" si="16"/>
        <v>1</v>
      </c>
      <c r="H35" s="601"/>
      <c r="I35" s="13">
        <f t="shared" si="17"/>
        <v>1</v>
      </c>
      <c r="J35" s="601"/>
      <c r="K35" s="13">
        <f t="shared" si="18"/>
        <v>1</v>
      </c>
      <c r="L35" s="601"/>
      <c r="M35" s="13">
        <f t="shared" si="19"/>
        <v>1</v>
      </c>
      <c r="N35" s="601"/>
      <c r="O35" s="13">
        <f t="shared" si="20"/>
        <v>1</v>
      </c>
      <c r="P35" s="601"/>
      <c r="Q35" s="13">
        <f t="shared" si="21"/>
        <v>1</v>
      </c>
      <c r="R35" s="597">
        <f t="shared" si="26"/>
        <v>0</v>
      </c>
      <c r="S35" s="250">
        <f t="shared" si="27"/>
        <v>0</v>
      </c>
      <c r="T35" s="901">
        <f t="shared" si="28"/>
        <v>0</v>
      </c>
      <c r="U35" s="2988">
        <f t="shared" si="22"/>
        <v>0</v>
      </c>
      <c r="V35" s="2988">
        <f t="shared" si="23"/>
        <v>0</v>
      </c>
      <c r="W35" s="998"/>
      <c r="X35" s="2988">
        <f t="shared" si="24"/>
        <v>0</v>
      </c>
      <c r="Y35" s="2988">
        <f t="shared" si="25"/>
        <v>0</v>
      </c>
      <c r="Z35" s="998"/>
    </row>
    <row r="36" spans="1:26">
      <c r="A36" s="35"/>
      <c r="B36" s="20"/>
      <c r="C36" s="13">
        <f t="shared" si="14"/>
        <v>1</v>
      </c>
      <c r="D36" s="601"/>
      <c r="E36" s="13">
        <f t="shared" si="15"/>
        <v>1</v>
      </c>
      <c r="F36" s="601"/>
      <c r="G36" s="13">
        <f t="shared" si="16"/>
        <v>1</v>
      </c>
      <c r="H36" s="601"/>
      <c r="I36" s="13">
        <f t="shared" si="17"/>
        <v>1</v>
      </c>
      <c r="J36" s="601"/>
      <c r="K36" s="13">
        <f t="shared" si="18"/>
        <v>1</v>
      </c>
      <c r="L36" s="601"/>
      <c r="M36" s="13">
        <f t="shared" si="19"/>
        <v>1</v>
      </c>
      <c r="N36" s="601"/>
      <c r="O36" s="13">
        <f t="shared" si="20"/>
        <v>1</v>
      </c>
      <c r="P36" s="601"/>
      <c r="Q36" s="13">
        <f t="shared" si="21"/>
        <v>1</v>
      </c>
      <c r="R36" s="597">
        <f t="shared" si="26"/>
        <v>0</v>
      </c>
      <c r="S36" s="250">
        <f t="shared" si="27"/>
        <v>0</v>
      </c>
      <c r="T36" s="901">
        <f t="shared" si="28"/>
        <v>0</v>
      </c>
      <c r="U36" s="2988">
        <f t="shared" si="22"/>
        <v>0</v>
      </c>
      <c r="V36" s="2988">
        <f t="shared" si="23"/>
        <v>0</v>
      </c>
      <c r="W36" s="998"/>
      <c r="X36" s="2988">
        <f t="shared" si="24"/>
        <v>0</v>
      </c>
      <c r="Y36" s="2988">
        <f t="shared" si="25"/>
        <v>0</v>
      </c>
      <c r="Z36" s="998"/>
    </row>
    <row r="37" spans="1:26">
      <c r="A37" s="35"/>
      <c r="B37" s="20"/>
      <c r="C37" s="13">
        <f t="shared" si="14"/>
        <v>1</v>
      </c>
      <c r="D37" s="601"/>
      <c r="E37" s="13">
        <f t="shared" si="15"/>
        <v>1</v>
      </c>
      <c r="F37" s="601"/>
      <c r="G37" s="13">
        <f t="shared" si="16"/>
        <v>1</v>
      </c>
      <c r="H37" s="601"/>
      <c r="I37" s="13">
        <f t="shared" si="17"/>
        <v>1</v>
      </c>
      <c r="J37" s="601"/>
      <c r="K37" s="13">
        <f t="shared" si="18"/>
        <v>1</v>
      </c>
      <c r="L37" s="601"/>
      <c r="M37" s="13">
        <f t="shared" si="19"/>
        <v>1</v>
      </c>
      <c r="N37" s="601"/>
      <c r="O37" s="13">
        <f t="shared" si="20"/>
        <v>1</v>
      </c>
      <c r="P37" s="601"/>
      <c r="Q37" s="13">
        <f t="shared" si="21"/>
        <v>1</v>
      </c>
      <c r="R37" s="597">
        <f t="shared" si="26"/>
        <v>0</v>
      </c>
      <c r="S37" s="250">
        <f t="shared" si="27"/>
        <v>0</v>
      </c>
      <c r="T37" s="901">
        <f t="shared" si="28"/>
        <v>0</v>
      </c>
      <c r="U37" s="2988">
        <f t="shared" si="22"/>
        <v>0</v>
      </c>
      <c r="V37" s="2988">
        <f t="shared" si="23"/>
        <v>0</v>
      </c>
      <c r="W37" s="998"/>
      <c r="X37" s="2988">
        <f t="shared" si="24"/>
        <v>0</v>
      </c>
      <c r="Y37" s="2988">
        <f t="shared" si="25"/>
        <v>0</v>
      </c>
      <c r="Z37" s="998"/>
    </row>
    <row r="38" spans="1:26">
      <c r="A38" s="35"/>
      <c r="B38" s="20"/>
      <c r="C38" s="13">
        <f t="shared" si="14"/>
        <v>1</v>
      </c>
      <c r="D38" s="601"/>
      <c r="E38" s="13">
        <f t="shared" si="15"/>
        <v>1</v>
      </c>
      <c r="F38" s="601"/>
      <c r="G38" s="13">
        <f t="shared" si="16"/>
        <v>1</v>
      </c>
      <c r="H38" s="601"/>
      <c r="I38" s="13">
        <f t="shared" si="17"/>
        <v>1</v>
      </c>
      <c r="J38" s="601"/>
      <c r="K38" s="13">
        <f t="shared" si="18"/>
        <v>1</v>
      </c>
      <c r="L38" s="601"/>
      <c r="M38" s="13">
        <f t="shared" si="19"/>
        <v>1</v>
      </c>
      <c r="N38" s="601"/>
      <c r="O38" s="13">
        <f t="shared" si="20"/>
        <v>1</v>
      </c>
      <c r="P38" s="601"/>
      <c r="Q38" s="13">
        <f t="shared" si="21"/>
        <v>1</v>
      </c>
      <c r="R38" s="597">
        <f t="shared" si="26"/>
        <v>0</v>
      </c>
      <c r="S38" s="250">
        <f t="shared" si="27"/>
        <v>0</v>
      </c>
      <c r="T38" s="901">
        <f t="shared" si="28"/>
        <v>0</v>
      </c>
      <c r="U38" s="2988">
        <f t="shared" si="22"/>
        <v>0</v>
      </c>
      <c r="V38" s="2988">
        <f t="shared" si="23"/>
        <v>0</v>
      </c>
      <c r="W38" s="998"/>
      <c r="X38" s="2988">
        <f t="shared" si="24"/>
        <v>0</v>
      </c>
      <c r="Y38" s="2988">
        <f t="shared" si="25"/>
        <v>0</v>
      </c>
      <c r="Z38" s="998"/>
    </row>
    <row r="39" spans="1:26">
      <c r="A39" s="35"/>
      <c r="B39" s="20"/>
      <c r="C39" s="13">
        <f t="shared" si="14"/>
        <v>1</v>
      </c>
      <c r="D39" s="601"/>
      <c r="E39" s="13">
        <f t="shared" si="15"/>
        <v>1</v>
      </c>
      <c r="F39" s="601"/>
      <c r="G39" s="13">
        <f t="shared" si="16"/>
        <v>1</v>
      </c>
      <c r="H39" s="601"/>
      <c r="I39" s="13">
        <f t="shared" si="17"/>
        <v>1</v>
      </c>
      <c r="J39" s="601"/>
      <c r="K39" s="13">
        <f t="shared" si="18"/>
        <v>1</v>
      </c>
      <c r="L39" s="601"/>
      <c r="M39" s="13">
        <f t="shared" si="19"/>
        <v>1</v>
      </c>
      <c r="N39" s="601"/>
      <c r="O39" s="13">
        <f t="shared" si="20"/>
        <v>1</v>
      </c>
      <c r="P39" s="601"/>
      <c r="Q39" s="13">
        <f t="shared" si="21"/>
        <v>1</v>
      </c>
      <c r="R39" s="597">
        <f t="shared" si="26"/>
        <v>0</v>
      </c>
      <c r="S39" s="250">
        <f t="shared" si="27"/>
        <v>0</v>
      </c>
      <c r="T39" s="901">
        <f t="shared" si="28"/>
        <v>0</v>
      </c>
      <c r="U39" s="2988">
        <f t="shared" si="22"/>
        <v>0</v>
      </c>
      <c r="V39" s="2988">
        <f t="shared" si="23"/>
        <v>0</v>
      </c>
      <c r="W39" s="998"/>
      <c r="X39" s="2988">
        <f t="shared" si="24"/>
        <v>0</v>
      </c>
      <c r="Y39" s="2988">
        <f t="shared" si="25"/>
        <v>0</v>
      </c>
      <c r="Z39" s="998"/>
    </row>
    <row r="40" spans="1:26">
      <c r="A40" s="35"/>
      <c r="B40" s="20"/>
      <c r="C40" s="13">
        <f t="shared" si="14"/>
        <v>1</v>
      </c>
      <c r="D40" s="601"/>
      <c r="E40" s="13">
        <f t="shared" si="15"/>
        <v>1</v>
      </c>
      <c r="F40" s="601"/>
      <c r="G40" s="13">
        <f t="shared" si="16"/>
        <v>1</v>
      </c>
      <c r="H40" s="601"/>
      <c r="I40" s="13">
        <f t="shared" si="17"/>
        <v>1</v>
      </c>
      <c r="J40" s="601"/>
      <c r="K40" s="13">
        <f t="shared" si="18"/>
        <v>1</v>
      </c>
      <c r="L40" s="601"/>
      <c r="M40" s="13">
        <f t="shared" si="19"/>
        <v>1</v>
      </c>
      <c r="N40" s="601"/>
      <c r="O40" s="13">
        <f t="shared" si="20"/>
        <v>1</v>
      </c>
      <c r="P40" s="601"/>
      <c r="Q40" s="13">
        <f t="shared" si="21"/>
        <v>1</v>
      </c>
      <c r="R40" s="597">
        <f t="shared" si="26"/>
        <v>0</v>
      </c>
      <c r="S40" s="250">
        <f t="shared" si="27"/>
        <v>0</v>
      </c>
      <c r="T40" s="901">
        <f t="shared" si="28"/>
        <v>0</v>
      </c>
      <c r="U40" s="2988">
        <f t="shared" si="22"/>
        <v>0</v>
      </c>
      <c r="V40" s="2988">
        <f t="shared" si="23"/>
        <v>0</v>
      </c>
      <c r="W40" s="998"/>
      <c r="X40" s="2988">
        <f t="shared" si="24"/>
        <v>0</v>
      </c>
      <c r="Y40" s="2988">
        <f t="shared" si="25"/>
        <v>0</v>
      </c>
      <c r="Z40" s="998"/>
    </row>
    <row r="41" spans="1:26">
      <c r="A41" s="35"/>
      <c r="B41" s="20"/>
      <c r="C41" s="13">
        <f t="shared" si="14"/>
        <v>1</v>
      </c>
      <c r="D41" s="601"/>
      <c r="E41" s="13">
        <f t="shared" si="15"/>
        <v>1</v>
      </c>
      <c r="F41" s="601"/>
      <c r="G41" s="13">
        <f t="shared" si="16"/>
        <v>1</v>
      </c>
      <c r="H41" s="601"/>
      <c r="I41" s="13">
        <f t="shared" si="17"/>
        <v>1</v>
      </c>
      <c r="J41" s="601"/>
      <c r="K41" s="13">
        <f t="shared" si="18"/>
        <v>1</v>
      </c>
      <c r="L41" s="601"/>
      <c r="M41" s="13">
        <f t="shared" si="19"/>
        <v>1</v>
      </c>
      <c r="N41" s="601"/>
      <c r="O41" s="13">
        <f t="shared" si="20"/>
        <v>1</v>
      </c>
      <c r="P41" s="601"/>
      <c r="Q41" s="13">
        <f t="shared" si="21"/>
        <v>1</v>
      </c>
      <c r="R41" s="597">
        <f t="shared" si="26"/>
        <v>0</v>
      </c>
      <c r="S41" s="250">
        <f t="shared" si="27"/>
        <v>0</v>
      </c>
      <c r="T41" s="901">
        <f t="shared" si="28"/>
        <v>0</v>
      </c>
      <c r="U41" s="2988">
        <f t="shared" si="22"/>
        <v>0</v>
      </c>
      <c r="V41" s="2988">
        <f t="shared" si="23"/>
        <v>0</v>
      </c>
      <c r="W41" s="998"/>
      <c r="X41" s="2988">
        <f t="shared" si="24"/>
        <v>0</v>
      </c>
      <c r="Y41" s="2988">
        <f t="shared" si="25"/>
        <v>0</v>
      </c>
      <c r="Z41" s="998"/>
    </row>
    <row r="42" spans="1:26">
      <c r="A42" s="35"/>
      <c r="B42" s="20"/>
      <c r="C42" s="13">
        <f t="shared" si="14"/>
        <v>1</v>
      </c>
      <c r="D42" s="601"/>
      <c r="E42" s="13">
        <f t="shared" si="15"/>
        <v>1</v>
      </c>
      <c r="F42" s="601"/>
      <c r="G42" s="13">
        <f t="shared" si="16"/>
        <v>1</v>
      </c>
      <c r="H42" s="601"/>
      <c r="I42" s="13">
        <f t="shared" si="17"/>
        <v>1</v>
      </c>
      <c r="J42" s="601"/>
      <c r="K42" s="13">
        <f t="shared" si="18"/>
        <v>1</v>
      </c>
      <c r="L42" s="601"/>
      <c r="M42" s="13">
        <f t="shared" si="19"/>
        <v>1</v>
      </c>
      <c r="N42" s="601"/>
      <c r="O42" s="13">
        <f t="shared" si="20"/>
        <v>1</v>
      </c>
      <c r="P42" s="601"/>
      <c r="Q42" s="13">
        <f t="shared" si="21"/>
        <v>1</v>
      </c>
      <c r="R42" s="597">
        <f t="shared" si="26"/>
        <v>0</v>
      </c>
      <c r="S42" s="250">
        <f t="shared" si="27"/>
        <v>0</v>
      </c>
      <c r="T42" s="901">
        <f t="shared" si="28"/>
        <v>0</v>
      </c>
      <c r="U42" s="2988">
        <f t="shared" si="22"/>
        <v>0</v>
      </c>
      <c r="V42" s="2988">
        <f t="shared" si="23"/>
        <v>0</v>
      </c>
      <c r="W42" s="998"/>
      <c r="X42" s="2988">
        <f t="shared" si="24"/>
        <v>0</v>
      </c>
      <c r="Y42" s="2988">
        <f t="shared" si="25"/>
        <v>0</v>
      </c>
      <c r="Z42" s="998"/>
    </row>
    <row r="43" spans="1:26">
      <c r="A43" s="35"/>
      <c r="B43" s="20"/>
      <c r="C43" s="13">
        <f t="shared" si="14"/>
        <v>1</v>
      </c>
      <c r="D43" s="601"/>
      <c r="E43" s="13">
        <f t="shared" si="15"/>
        <v>1</v>
      </c>
      <c r="F43" s="601"/>
      <c r="G43" s="13">
        <f t="shared" si="16"/>
        <v>1</v>
      </c>
      <c r="H43" s="601"/>
      <c r="I43" s="13">
        <f t="shared" si="17"/>
        <v>1</v>
      </c>
      <c r="J43" s="601"/>
      <c r="K43" s="13">
        <f t="shared" si="18"/>
        <v>1</v>
      </c>
      <c r="L43" s="601"/>
      <c r="M43" s="13">
        <f t="shared" si="19"/>
        <v>1</v>
      </c>
      <c r="N43" s="601"/>
      <c r="O43" s="13">
        <f t="shared" si="20"/>
        <v>1</v>
      </c>
      <c r="P43" s="601"/>
      <c r="Q43" s="13">
        <f t="shared" si="21"/>
        <v>1</v>
      </c>
      <c r="R43" s="597">
        <f t="shared" si="26"/>
        <v>0</v>
      </c>
      <c r="S43" s="250">
        <f t="shared" si="27"/>
        <v>0</v>
      </c>
      <c r="T43" s="901">
        <f t="shared" si="28"/>
        <v>0</v>
      </c>
      <c r="U43" s="2988">
        <f t="shared" si="22"/>
        <v>0</v>
      </c>
      <c r="V43" s="2988">
        <f t="shared" si="23"/>
        <v>0</v>
      </c>
      <c r="W43" s="998"/>
      <c r="X43" s="2988">
        <f t="shared" si="24"/>
        <v>0</v>
      </c>
      <c r="Y43" s="2988">
        <f t="shared" si="25"/>
        <v>0</v>
      </c>
      <c r="Z43" s="998"/>
    </row>
    <row r="44" spans="1:26">
      <c r="A44" s="35"/>
      <c r="B44" s="20"/>
      <c r="C44" s="13">
        <f t="shared" si="14"/>
        <v>1</v>
      </c>
      <c r="D44" s="601"/>
      <c r="E44" s="13">
        <f t="shared" si="15"/>
        <v>1</v>
      </c>
      <c r="F44" s="601"/>
      <c r="G44" s="13">
        <f t="shared" si="16"/>
        <v>1</v>
      </c>
      <c r="H44" s="601"/>
      <c r="I44" s="13">
        <f t="shared" si="17"/>
        <v>1</v>
      </c>
      <c r="J44" s="601"/>
      <c r="K44" s="13">
        <f t="shared" si="18"/>
        <v>1</v>
      </c>
      <c r="L44" s="601"/>
      <c r="M44" s="13">
        <f t="shared" si="19"/>
        <v>1</v>
      </c>
      <c r="N44" s="601"/>
      <c r="O44" s="13">
        <f t="shared" si="20"/>
        <v>1</v>
      </c>
      <c r="P44" s="601"/>
      <c r="Q44" s="13">
        <f t="shared" si="21"/>
        <v>1</v>
      </c>
      <c r="R44" s="597">
        <f t="shared" si="26"/>
        <v>0</v>
      </c>
      <c r="S44" s="250">
        <f t="shared" si="27"/>
        <v>0</v>
      </c>
      <c r="T44" s="901">
        <f t="shared" si="28"/>
        <v>0</v>
      </c>
      <c r="U44" s="2988">
        <f t="shared" si="22"/>
        <v>0</v>
      </c>
      <c r="V44" s="2988">
        <f t="shared" si="23"/>
        <v>0</v>
      </c>
      <c r="W44" s="998"/>
      <c r="X44" s="2988">
        <f t="shared" si="24"/>
        <v>0</v>
      </c>
      <c r="Y44" s="2988">
        <f t="shared" si="25"/>
        <v>0</v>
      </c>
      <c r="Z44" s="998"/>
    </row>
    <row r="45" spans="1:26">
      <c r="A45" s="35"/>
      <c r="B45" s="20"/>
      <c r="C45" s="13">
        <f t="shared" si="14"/>
        <v>1</v>
      </c>
      <c r="D45" s="601"/>
      <c r="E45" s="13">
        <f t="shared" si="15"/>
        <v>1</v>
      </c>
      <c r="F45" s="601"/>
      <c r="G45" s="13">
        <f t="shared" si="16"/>
        <v>1</v>
      </c>
      <c r="H45" s="601"/>
      <c r="I45" s="13">
        <f t="shared" si="17"/>
        <v>1</v>
      </c>
      <c r="J45" s="601"/>
      <c r="K45" s="13">
        <f t="shared" si="18"/>
        <v>1</v>
      </c>
      <c r="L45" s="601"/>
      <c r="M45" s="13">
        <f t="shared" si="19"/>
        <v>1</v>
      </c>
      <c r="N45" s="601"/>
      <c r="O45" s="13">
        <f t="shared" si="20"/>
        <v>1</v>
      </c>
      <c r="P45" s="601"/>
      <c r="Q45" s="13">
        <f t="shared" si="21"/>
        <v>1</v>
      </c>
      <c r="R45" s="597">
        <f t="shared" si="26"/>
        <v>0</v>
      </c>
      <c r="S45" s="250">
        <f t="shared" si="27"/>
        <v>0</v>
      </c>
      <c r="T45" s="901">
        <f t="shared" si="28"/>
        <v>0</v>
      </c>
      <c r="U45" s="2988">
        <f t="shared" si="22"/>
        <v>0</v>
      </c>
      <c r="V45" s="2988">
        <f t="shared" si="23"/>
        <v>0</v>
      </c>
      <c r="W45" s="998"/>
      <c r="X45" s="2988">
        <f t="shared" si="24"/>
        <v>0</v>
      </c>
      <c r="Y45" s="2988">
        <f t="shared" si="25"/>
        <v>0</v>
      </c>
      <c r="Z45" s="998"/>
    </row>
    <row r="46" spans="1:26">
      <c r="A46" s="35"/>
      <c r="B46" s="20"/>
      <c r="C46" s="13">
        <f t="shared" si="14"/>
        <v>1</v>
      </c>
      <c r="D46" s="601"/>
      <c r="E46" s="13">
        <f t="shared" si="15"/>
        <v>1</v>
      </c>
      <c r="F46" s="601"/>
      <c r="G46" s="13">
        <f t="shared" si="16"/>
        <v>1</v>
      </c>
      <c r="H46" s="601"/>
      <c r="I46" s="13">
        <f t="shared" si="17"/>
        <v>1</v>
      </c>
      <c r="J46" s="601"/>
      <c r="K46" s="13">
        <f t="shared" si="18"/>
        <v>1</v>
      </c>
      <c r="L46" s="601"/>
      <c r="M46" s="13">
        <f t="shared" si="19"/>
        <v>1</v>
      </c>
      <c r="N46" s="601"/>
      <c r="O46" s="13">
        <f t="shared" si="20"/>
        <v>1</v>
      </c>
      <c r="P46" s="601"/>
      <c r="Q46" s="13">
        <f t="shared" si="21"/>
        <v>1</v>
      </c>
      <c r="R46" s="597">
        <f t="shared" si="26"/>
        <v>0</v>
      </c>
      <c r="S46" s="250">
        <f t="shared" si="27"/>
        <v>0</v>
      </c>
      <c r="T46" s="901">
        <f t="shared" si="28"/>
        <v>0</v>
      </c>
      <c r="U46" s="2988">
        <f t="shared" si="22"/>
        <v>0</v>
      </c>
      <c r="V46" s="2988">
        <f t="shared" si="23"/>
        <v>0</v>
      </c>
      <c r="W46" s="998"/>
      <c r="X46" s="2988">
        <f t="shared" si="24"/>
        <v>0</v>
      </c>
      <c r="Y46" s="2988">
        <f t="shared" si="25"/>
        <v>0</v>
      </c>
      <c r="Z46" s="998"/>
    </row>
    <row r="47" spans="1:26">
      <c r="A47" s="35"/>
      <c r="B47" s="20"/>
      <c r="C47" s="13">
        <f t="shared" si="14"/>
        <v>1</v>
      </c>
      <c r="D47" s="601"/>
      <c r="E47" s="13">
        <f t="shared" si="15"/>
        <v>1</v>
      </c>
      <c r="F47" s="601"/>
      <c r="G47" s="13">
        <f t="shared" si="16"/>
        <v>1</v>
      </c>
      <c r="H47" s="601"/>
      <c r="I47" s="13">
        <f t="shared" si="17"/>
        <v>1</v>
      </c>
      <c r="J47" s="601"/>
      <c r="K47" s="13">
        <f t="shared" si="18"/>
        <v>1</v>
      </c>
      <c r="L47" s="601"/>
      <c r="M47" s="13">
        <f t="shared" si="19"/>
        <v>1</v>
      </c>
      <c r="N47" s="601"/>
      <c r="O47" s="13">
        <f t="shared" si="20"/>
        <v>1</v>
      </c>
      <c r="P47" s="601"/>
      <c r="Q47" s="13">
        <f t="shared" si="21"/>
        <v>1</v>
      </c>
      <c r="R47" s="597">
        <f t="shared" si="26"/>
        <v>0</v>
      </c>
      <c r="S47" s="250">
        <f t="shared" si="27"/>
        <v>0</v>
      </c>
      <c r="T47" s="901">
        <f t="shared" si="28"/>
        <v>0</v>
      </c>
      <c r="U47" s="2988">
        <f t="shared" si="22"/>
        <v>0</v>
      </c>
      <c r="V47" s="2988">
        <f t="shared" si="23"/>
        <v>0</v>
      </c>
      <c r="W47" s="998"/>
      <c r="X47" s="2988">
        <f t="shared" si="24"/>
        <v>0</v>
      </c>
      <c r="Y47" s="2988">
        <f t="shared" si="25"/>
        <v>0</v>
      </c>
      <c r="Z47" s="998"/>
    </row>
    <row r="48" spans="1:26">
      <c r="A48" s="35"/>
      <c r="B48" s="20"/>
      <c r="C48" s="13">
        <f t="shared" si="14"/>
        <v>1</v>
      </c>
      <c r="D48" s="601"/>
      <c r="E48" s="13">
        <f t="shared" si="15"/>
        <v>1</v>
      </c>
      <c r="F48" s="601"/>
      <c r="G48" s="13">
        <f t="shared" si="16"/>
        <v>1</v>
      </c>
      <c r="H48" s="601"/>
      <c r="I48" s="13">
        <f t="shared" si="17"/>
        <v>1</v>
      </c>
      <c r="J48" s="601"/>
      <c r="K48" s="13">
        <f t="shared" si="18"/>
        <v>1</v>
      </c>
      <c r="L48" s="601"/>
      <c r="M48" s="13">
        <f t="shared" si="19"/>
        <v>1</v>
      </c>
      <c r="N48" s="601"/>
      <c r="O48" s="13">
        <f t="shared" si="20"/>
        <v>1</v>
      </c>
      <c r="P48" s="601"/>
      <c r="Q48" s="13">
        <f t="shared" si="21"/>
        <v>1</v>
      </c>
      <c r="R48" s="597">
        <f t="shared" si="26"/>
        <v>0</v>
      </c>
      <c r="S48" s="250">
        <f t="shared" si="27"/>
        <v>0</v>
      </c>
      <c r="T48" s="901">
        <f t="shared" si="28"/>
        <v>0</v>
      </c>
      <c r="U48" s="2988">
        <f t="shared" si="22"/>
        <v>0</v>
      </c>
      <c r="V48" s="2988">
        <f t="shared" si="23"/>
        <v>0</v>
      </c>
      <c r="W48" s="998"/>
      <c r="X48" s="2988">
        <f t="shared" si="24"/>
        <v>0</v>
      </c>
      <c r="Y48" s="2988">
        <f t="shared" si="25"/>
        <v>0</v>
      </c>
      <c r="Z48" s="998"/>
    </row>
    <row r="49" spans="1:26">
      <c r="A49" s="35"/>
      <c r="B49" s="20"/>
      <c r="C49" s="13">
        <f t="shared" si="14"/>
        <v>1</v>
      </c>
      <c r="D49" s="601"/>
      <c r="E49" s="13">
        <f t="shared" si="15"/>
        <v>1</v>
      </c>
      <c r="F49" s="601"/>
      <c r="G49" s="13">
        <f t="shared" si="16"/>
        <v>1</v>
      </c>
      <c r="H49" s="601"/>
      <c r="I49" s="13">
        <f t="shared" si="17"/>
        <v>1</v>
      </c>
      <c r="J49" s="601"/>
      <c r="K49" s="13">
        <f t="shared" si="18"/>
        <v>1</v>
      </c>
      <c r="L49" s="601"/>
      <c r="M49" s="13">
        <f t="shared" si="19"/>
        <v>1</v>
      </c>
      <c r="N49" s="601"/>
      <c r="O49" s="13">
        <f t="shared" si="20"/>
        <v>1</v>
      </c>
      <c r="P49" s="601"/>
      <c r="Q49" s="13">
        <f t="shared" si="21"/>
        <v>1</v>
      </c>
      <c r="R49" s="597">
        <f t="shared" si="26"/>
        <v>0</v>
      </c>
      <c r="S49" s="250">
        <f t="shared" si="27"/>
        <v>0</v>
      </c>
      <c r="T49" s="901">
        <f t="shared" si="28"/>
        <v>0</v>
      </c>
      <c r="U49" s="2988">
        <f t="shared" si="22"/>
        <v>0</v>
      </c>
      <c r="V49" s="2988">
        <f t="shared" si="23"/>
        <v>0</v>
      </c>
      <c r="W49" s="998"/>
      <c r="X49" s="2988">
        <f t="shared" si="24"/>
        <v>0</v>
      </c>
      <c r="Y49" s="2988">
        <f t="shared" si="25"/>
        <v>0</v>
      </c>
      <c r="Z49" s="998"/>
    </row>
    <row r="50" spans="1:26">
      <c r="A50" s="35"/>
      <c r="B50" s="20"/>
      <c r="C50" s="13">
        <f t="shared" si="14"/>
        <v>1</v>
      </c>
      <c r="D50" s="601"/>
      <c r="E50" s="13">
        <f t="shared" si="15"/>
        <v>1</v>
      </c>
      <c r="F50" s="601"/>
      <c r="G50" s="13">
        <f t="shared" si="16"/>
        <v>1</v>
      </c>
      <c r="H50" s="601"/>
      <c r="I50" s="13">
        <f t="shared" si="17"/>
        <v>1</v>
      </c>
      <c r="J50" s="601"/>
      <c r="K50" s="13">
        <f t="shared" si="18"/>
        <v>1</v>
      </c>
      <c r="L50" s="601"/>
      <c r="M50" s="13">
        <f t="shared" si="19"/>
        <v>1</v>
      </c>
      <c r="N50" s="601"/>
      <c r="O50" s="13">
        <f t="shared" si="20"/>
        <v>1</v>
      </c>
      <c r="P50" s="601"/>
      <c r="Q50" s="13">
        <f t="shared" si="21"/>
        <v>1</v>
      </c>
      <c r="R50" s="597">
        <f t="shared" si="26"/>
        <v>0</v>
      </c>
      <c r="S50" s="250">
        <f t="shared" si="27"/>
        <v>0</v>
      </c>
      <c r="T50" s="901">
        <f t="shared" si="28"/>
        <v>0</v>
      </c>
      <c r="U50" s="2988">
        <f t="shared" si="22"/>
        <v>0</v>
      </c>
      <c r="V50" s="2988">
        <f t="shared" si="23"/>
        <v>0</v>
      </c>
      <c r="W50" s="998"/>
      <c r="X50" s="2988">
        <f t="shared" si="24"/>
        <v>0</v>
      </c>
      <c r="Y50" s="2988">
        <f t="shared" si="25"/>
        <v>0</v>
      </c>
      <c r="Z50" s="998"/>
    </row>
    <row r="51" spans="1:26">
      <c r="A51" s="35"/>
      <c r="B51" s="20"/>
      <c r="C51" s="13">
        <f t="shared" si="14"/>
        <v>1</v>
      </c>
      <c r="D51" s="601"/>
      <c r="E51" s="13">
        <f t="shared" si="15"/>
        <v>1</v>
      </c>
      <c r="F51" s="601"/>
      <c r="G51" s="13">
        <f t="shared" si="16"/>
        <v>1</v>
      </c>
      <c r="H51" s="601"/>
      <c r="I51" s="13">
        <f t="shared" si="17"/>
        <v>1</v>
      </c>
      <c r="J51" s="601"/>
      <c r="K51" s="13">
        <f t="shared" si="18"/>
        <v>1</v>
      </c>
      <c r="L51" s="601"/>
      <c r="M51" s="13">
        <f t="shared" si="19"/>
        <v>1</v>
      </c>
      <c r="N51" s="601"/>
      <c r="O51" s="13">
        <f t="shared" si="20"/>
        <v>1</v>
      </c>
      <c r="P51" s="601"/>
      <c r="Q51" s="13">
        <f t="shared" si="21"/>
        <v>1</v>
      </c>
      <c r="R51" s="597">
        <f t="shared" si="26"/>
        <v>0</v>
      </c>
      <c r="S51" s="250">
        <f t="shared" si="27"/>
        <v>0</v>
      </c>
      <c r="T51" s="901">
        <f t="shared" si="28"/>
        <v>0</v>
      </c>
      <c r="U51" s="2988">
        <f t="shared" si="22"/>
        <v>0</v>
      </c>
      <c r="V51" s="2988">
        <f t="shared" si="23"/>
        <v>0</v>
      </c>
      <c r="W51" s="998"/>
      <c r="X51" s="2988">
        <f t="shared" si="24"/>
        <v>0</v>
      </c>
      <c r="Y51" s="2988">
        <f t="shared" si="25"/>
        <v>0</v>
      </c>
      <c r="Z51" s="998"/>
    </row>
    <row r="52" spans="1:26">
      <c r="A52" s="35"/>
      <c r="B52" s="20"/>
      <c r="C52" s="13">
        <f t="shared" si="14"/>
        <v>1</v>
      </c>
      <c r="D52" s="601"/>
      <c r="E52" s="13">
        <f t="shared" si="15"/>
        <v>1</v>
      </c>
      <c r="F52" s="601"/>
      <c r="G52" s="13">
        <f t="shared" si="16"/>
        <v>1</v>
      </c>
      <c r="H52" s="601"/>
      <c r="I52" s="13">
        <f t="shared" si="17"/>
        <v>1</v>
      </c>
      <c r="J52" s="601"/>
      <c r="K52" s="13">
        <f t="shared" si="18"/>
        <v>1</v>
      </c>
      <c r="L52" s="601"/>
      <c r="M52" s="13">
        <f t="shared" si="19"/>
        <v>1</v>
      </c>
      <c r="N52" s="601"/>
      <c r="O52" s="13">
        <f t="shared" si="20"/>
        <v>1</v>
      </c>
      <c r="P52" s="601"/>
      <c r="Q52" s="13">
        <f t="shared" si="21"/>
        <v>1</v>
      </c>
      <c r="R52" s="597">
        <f t="shared" si="26"/>
        <v>0</v>
      </c>
      <c r="S52" s="250">
        <f t="shared" si="27"/>
        <v>0</v>
      </c>
      <c r="T52" s="901">
        <f t="shared" si="28"/>
        <v>0</v>
      </c>
      <c r="U52" s="2988">
        <f t="shared" si="22"/>
        <v>0</v>
      </c>
      <c r="V52" s="2988">
        <f t="shared" si="23"/>
        <v>0</v>
      </c>
      <c r="W52" s="998"/>
      <c r="X52" s="2988">
        <f t="shared" si="24"/>
        <v>0</v>
      </c>
      <c r="Y52" s="2988">
        <f t="shared" si="25"/>
        <v>0</v>
      </c>
      <c r="Z52" s="998"/>
    </row>
    <row r="53" spans="1:26">
      <c r="A53" s="35"/>
      <c r="B53" s="20"/>
      <c r="C53" s="13">
        <f t="shared" si="14"/>
        <v>1</v>
      </c>
      <c r="D53" s="601"/>
      <c r="E53" s="13">
        <f t="shared" si="15"/>
        <v>1</v>
      </c>
      <c r="F53" s="601"/>
      <c r="G53" s="13">
        <f t="shared" si="16"/>
        <v>1</v>
      </c>
      <c r="H53" s="601"/>
      <c r="I53" s="13">
        <f t="shared" si="17"/>
        <v>1</v>
      </c>
      <c r="J53" s="601"/>
      <c r="K53" s="13">
        <f t="shared" si="18"/>
        <v>1</v>
      </c>
      <c r="L53" s="601"/>
      <c r="M53" s="13">
        <f t="shared" si="19"/>
        <v>1</v>
      </c>
      <c r="N53" s="601"/>
      <c r="O53" s="13">
        <f t="shared" si="20"/>
        <v>1</v>
      </c>
      <c r="P53" s="601"/>
      <c r="Q53" s="13">
        <f t="shared" si="21"/>
        <v>1</v>
      </c>
      <c r="R53" s="597">
        <f t="shared" si="26"/>
        <v>0</v>
      </c>
      <c r="S53" s="250">
        <f t="shared" si="27"/>
        <v>0</v>
      </c>
      <c r="T53" s="901">
        <f t="shared" si="28"/>
        <v>0</v>
      </c>
      <c r="U53" s="2988">
        <f t="shared" si="22"/>
        <v>0</v>
      </c>
      <c r="V53" s="2988">
        <f t="shared" si="23"/>
        <v>0</v>
      </c>
      <c r="W53" s="998"/>
      <c r="X53" s="2988">
        <f t="shared" si="24"/>
        <v>0</v>
      </c>
      <c r="Y53" s="2988">
        <f t="shared" si="25"/>
        <v>0</v>
      </c>
      <c r="Z53" s="998"/>
    </row>
    <row r="54" spans="1:26">
      <c r="A54" s="35"/>
      <c r="B54" s="20"/>
      <c r="C54" s="13">
        <f t="shared" si="14"/>
        <v>1</v>
      </c>
      <c r="D54" s="601"/>
      <c r="E54" s="13">
        <f t="shared" si="15"/>
        <v>1</v>
      </c>
      <c r="F54" s="601"/>
      <c r="G54" s="13">
        <f t="shared" si="16"/>
        <v>1</v>
      </c>
      <c r="H54" s="601"/>
      <c r="I54" s="13">
        <f t="shared" si="17"/>
        <v>1</v>
      </c>
      <c r="J54" s="601"/>
      <c r="K54" s="13">
        <f t="shared" si="18"/>
        <v>1</v>
      </c>
      <c r="L54" s="601"/>
      <c r="M54" s="13">
        <f t="shared" si="19"/>
        <v>1</v>
      </c>
      <c r="N54" s="601"/>
      <c r="O54" s="13">
        <f t="shared" si="20"/>
        <v>1</v>
      </c>
      <c r="P54" s="601"/>
      <c r="Q54" s="13">
        <f t="shared" si="21"/>
        <v>1</v>
      </c>
      <c r="R54" s="597">
        <f t="shared" si="26"/>
        <v>0</v>
      </c>
      <c r="S54" s="250">
        <f t="shared" si="27"/>
        <v>0</v>
      </c>
      <c r="T54" s="901">
        <f t="shared" si="28"/>
        <v>0</v>
      </c>
      <c r="U54" s="2988">
        <f t="shared" si="22"/>
        <v>0</v>
      </c>
      <c r="V54" s="2988">
        <f t="shared" si="23"/>
        <v>0</v>
      </c>
      <c r="W54" s="998"/>
      <c r="X54" s="2988">
        <f t="shared" si="24"/>
        <v>0</v>
      </c>
      <c r="Y54" s="2988">
        <f t="shared" si="25"/>
        <v>0</v>
      </c>
      <c r="Z54" s="998"/>
    </row>
    <row r="55" spans="1:26">
      <c r="A55" s="35"/>
      <c r="B55" s="20"/>
      <c r="C55" s="13">
        <f t="shared" si="14"/>
        <v>1</v>
      </c>
      <c r="D55" s="601"/>
      <c r="E55" s="13">
        <f t="shared" si="15"/>
        <v>1</v>
      </c>
      <c r="F55" s="601"/>
      <c r="G55" s="13">
        <f t="shared" si="16"/>
        <v>1</v>
      </c>
      <c r="H55" s="601"/>
      <c r="I55" s="13">
        <f t="shared" si="17"/>
        <v>1</v>
      </c>
      <c r="J55" s="601"/>
      <c r="K55" s="13">
        <f t="shared" si="18"/>
        <v>1</v>
      </c>
      <c r="L55" s="601"/>
      <c r="M55" s="13">
        <f t="shared" si="19"/>
        <v>1</v>
      </c>
      <c r="N55" s="601"/>
      <c r="O55" s="13">
        <f t="shared" si="20"/>
        <v>1</v>
      </c>
      <c r="P55" s="601"/>
      <c r="Q55" s="13">
        <f t="shared" si="21"/>
        <v>1</v>
      </c>
      <c r="R55" s="597">
        <f t="shared" si="26"/>
        <v>0</v>
      </c>
      <c r="S55" s="250">
        <f t="shared" si="27"/>
        <v>0</v>
      </c>
      <c r="T55" s="901">
        <f t="shared" si="28"/>
        <v>0</v>
      </c>
      <c r="U55" s="2988">
        <f t="shared" si="22"/>
        <v>0</v>
      </c>
      <c r="V55" s="2988">
        <f t="shared" si="23"/>
        <v>0</v>
      </c>
      <c r="W55" s="998"/>
      <c r="X55" s="2988">
        <f t="shared" si="24"/>
        <v>0</v>
      </c>
      <c r="Y55" s="2988">
        <f t="shared" si="25"/>
        <v>0</v>
      </c>
      <c r="Z55" s="998"/>
    </row>
    <row r="56" spans="1:26">
      <c r="A56" s="35"/>
      <c r="B56" s="20"/>
      <c r="C56" s="13">
        <f t="shared" si="14"/>
        <v>1</v>
      </c>
      <c r="D56" s="601"/>
      <c r="E56" s="13">
        <f t="shared" si="15"/>
        <v>1</v>
      </c>
      <c r="F56" s="601"/>
      <c r="G56" s="13">
        <f t="shared" si="16"/>
        <v>1</v>
      </c>
      <c r="H56" s="601"/>
      <c r="I56" s="13">
        <f t="shared" si="17"/>
        <v>1</v>
      </c>
      <c r="J56" s="601"/>
      <c r="K56" s="13">
        <f t="shared" si="18"/>
        <v>1</v>
      </c>
      <c r="L56" s="601"/>
      <c r="M56" s="13">
        <f t="shared" si="19"/>
        <v>1</v>
      </c>
      <c r="N56" s="601"/>
      <c r="O56" s="13">
        <f t="shared" si="20"/>
        <v>1</v>
      </c>
      <c r="P56" s="601"/>
      <c r="Q56" s="13">
        <f t="shared" si="21"/>
        <v>1</v>
      </c>
      <c r="R56" s="597">
        <f t="shared" si="26"/>
        <v>0</v>
      </c>
      <c r="S56" s="250">
        <f t="shared" si="27"/>
        <v>0</v>
      </c>
      <c r="T56" s="901">
        <f t="shared" si="28"/>
        <v>0</v>
      </c>
      <c r="U56" s="2988">
        <f t="shared" si="22"/>
        <v>0</v>
      </c>
      <c r="V56" s="2988">
        <f t="shared" si="23"/>
        <v>0</v>
      </c>
      <c r="W56" s="998"/>
      <c r="X56" s="2988">
        <f t="shared" si="24"/>
        <v>0</v>
      </c>
      <c r="Y56" s="2988">
        <f t="shared" si="25"/>
        <v>0</v>
      </c>
      <c r="Z56" s="998"/>
    </row>
    <row r="57" spans="1:26">
      <c r="A57" s="35"/>
      <c r="B57" s="20"/>
      <c r="C57" s="13">
        <f t="shared" si="14"/>
        <v>1</v>
      </c>
      <c r="D57" s="601"/>
      <c r="E57" s="13">
        <f t="shared" si="15"/>
        <v>1</v>
      </c>
      <c r="F57" s="601"/>
      <c r="G57" s="13">
        <f t="shared" si="16"/>
        <v>1</v>
      </c>
      <c r="H57" s="601"/>
      <c r="I57" s="13">
        <f t="shared" si="17"/>
        <v>1</v>
      </c>
      <c r="J57" s="601"/>
      <c r="K57" s="13">
        <f t="shared" si="18"/>
        <v>1</v>
      </c>
      <c r="L57" s="601"/>
      <c r="M57" s="13">
        <f t="shared" si="19"/>
        <v>1</v>
      </c>
      <c r="N57" s="601"/>
      <c r="O57" s="13">
        <f t="shared" si="20"/>
        <v>1</v>
      </c>
      <c r="P57" s="601"/>
      <c r="Q57" s="13">
        <f t="shared" si="21"/>
        <v>1</v>
      </c>
      <c r="R57" s="597">
        <f t="shared" si="26"/>
        <v>0</v>
      </c>
      <c r="S57" s="250">
        <f t="shared" si="27"/>
        <v>0</v>
      </c>
      <c r="T57" s="901">
        <f t="shared" si="28"/>
        <v>0</v>
      </c>
      <c r="U57" s="2988">
        <f t="shared" si="22"/>
        <v>0</v>
      </c>
      <c r="V57" s="2988">
        <f t="shared" si="23"/>
        <v>0</v>
      </c>
      <c r="W57" s="998"/>
      <c r="X57" s="2988">
        <f t="shared" si="24"/>
        <v>0</v>
      </c>
      <c r="Y57" s="2988">
        <f t="shared" si="25"/>
        <v>0</v>
      </c>
      <c r="Z57" s="998"/>
    </row>
    <row r="58" spans="1:26">
      <c r="A58" s="35"/>
      <c r="B58" s="20"/>
      <c r="C58" s="13">
        <f t="shared" si="14"/>
        <v>1</v>
      </c>
      <c r="D58" s="601"/>
      <c r="E58" s="13">
        <f t="shared" si="15"/>
        <v>1</v>
      </c>
      <c r="F58" s="601"/>
      <c r="G58" s="13">
        <f t="shared" si="16"/>
        <v>1</v>
      </c>
      <c r="H58" s="601"/>
      <c r="I58" s="13">
        <f t="shared" si="17"/>
        <v>1</v>
      </c>
      <c r="J58" s="601"/>
      <c r="K58" s="13">
        <f t="shared" si="18"/>
        <v>1</v>
      </c>
      <c r="L58" s="601"/>
      <c r="M58" s="13">
        <f t="shared" si="19"/>
        <v>1</v>
      </c>
      <c r="N58" s="601"/>
      <c r="O58" s="13">
        <f t="shared" si="20"/>
        <v>1</v>
      </c>
      <c r="P58" s="601"/>
      <c r="Q58" s="13">
        <f t="shared" si="21"/>
        <v>1</v>
      </c>
      <c r="R58" s="597">
        <f t="shared" si="26"/>
        <v>0</v>
      </c>
      <c r="S58" s="250">
        <f t="shared" si="27"/>
        <v>0</v>
      </c>
      <c r="T58" s="901">
        <f t="shared" si="28"/>
        <v>0</v>
      </c>
      <c r="U58" s="2988">
        <f t="shared" si="22"/>
        <v>0</v>
      </c>
      <c r="V58" s="2988">
        <f t="shared" si="23"/>
        <v>0</v>
      </c>
      <c r="W58" s="998"/>
      <c r="X58" s="2988">
        <f t="shared" si="24"/>
        <v>0</v>
      </c>
      <c r="Y58" s="2988">
        <f t="shared" si="25"/>
        <v>0</v>
      </c>
      <c r="Z58" s="998"/>
    </row>
    <row r="59" spans="1:26">
      <c r="A59" s="35"/>
      <c r="B59" s="20"/>
      <c r="C59" s="13">
        <f t="shared" si="14"/>
        <v>1</v>
      </c>
      <c r="D59" s="601"/>
      <c r="E59" s="13">
        <f t="shared" si="15"/>
        <v>1</v>
      </c>
      <c r="F59" s="601"/>
      <c r="G59" s="13">
        <f t="shared" si="16"/>
        <v>1</v>
      </c>
      <c r="H59" s="601"/>
      <c r="I59" s="13">
        <f t="shared" si="17"/>
        <v>1</v>
      </c>
      <c r="J59" s="601"/>
      <c r="K59" s="13">
        <f t="shared" si="18"/>
        <v>1</v>
      </c>
      <c r="L59" s="601"/>
      <c r="M59" s="13">
        <f t="shared" si="19"/>
        <v>1</v>
      </c>
      <c r="N59" s="601"/>
      <c r="O59" s="13">
        <f t="shared" si="20"/>
        <v>1</v>
      </c>
      <c r="P59" s="601"/>
      <c r="Q59" s="13">
        <f t="shared" si="21"/>
        <v>1</v>
      </c>
      <c r="R59" s="597">
        <f t="shared" si="26"/>
        <v>0</v>
      </c>
      <c r="S59" s="250">
        <f t="shared" si="27"/>
        <v>0</v>
      </c>
      <c r="T59" s="901">
        <f t="shared" si="28"/>
        <v>0</v>
      </c>
      <c r="U59" s="2988">
        <f t="shared" si="22"/>
        <v>0</v>
      </c>
      <c r="V59" s="2988">
        <f t="shared" si="23"/>
        <v>0</v>
      </c>
      <c r="W59" s="998"/>
      <c r="X59" s="2988">
        <f t="shared" si="24"/>
        <v>0</v>
      </c>
      <c r="Y59" s="2988">
        <f t="shared" si="25"/>
        <v>0</v>
      </c>
      <c r="Z59" s="998"/>
    </row>
    <row r="60" spans="1:26">
      <c r="A60" s="35"/>
      <c r="B60" s="20"/>
      <c r="C60" s="13">
        <f t="shared" si="14"/>
        <v>1</v>
      </c>
      <c r="D60" s="601"/>
      <c r="E60" s="13">
        <f t="shared" si="15"/>
        <v>1</v>
      </c>
      <c r="F60" s="601"/>
      <c r="G60" s="13">
        <f t="shared" si="16"/>
        <v>1</v>
      </c>
      <c r="H60" s="601"/>
      <c r="I60" s="13">
        <f t="shared" si="17"/>
        <v>1</v>
      </c>
      <c r="J60" s="601"/>
      <c r="K60" s="13">
        <f t="shared" si="18"/>
        <v>1</v>
      </c>
      <c r="L60" s="601"/>
      <c r="M60" s="13">
        <f t="shared" si="19"/>
        <v>1</v>
      </c>
      <c r="N60" s="601"/>
      <c r="O60" s="13">
        <f t="shared" si="20"/>
        <v>1</v>
      </c>
      <c r="P60" s="601"/>
      <c r="Q60" s="13">
        <f t="shared" si="21"/>
        <v>1</v>
      </c>
      <c r="R60" s="597">
        <f t="shared" si="26"/>
        <v>0</v>
      </c>
      <c r="S60" s="250">
        <f t="shared" si="27"/>
        <v>0</v>
      </c>
      <c r="T60" s="901">
        <f t="shared" si="28"/>
        <v>0</v>
      </c>
      <c r="U60" s="2988">
        <f t="shared" si="22"/>
        <v>0</v>
      </c>
      <c r="V60" s="2988">
        <f t="shared" si="23"/>
        <v>0</v>
      </c>
      <c r="W60" s="998"/>
      <c r="X60" s="2988">
        <f t="shared" si="24"/>
        <v>0</v>
      </c>
      <c r="Y60" s="2988">
        <f t="shared" si="25"/>
        <v>0</v>
      </c>
      <c r="Z60" s="998"/>
    </row>
    <row r="61" spans="1:26">
      <c r="A61" s="35"/>
      <c r="B61" s="20"/>
      <c r="C61" s="13">
        <f t="shared" si="14"/>
        <v>1</v>
      </c>
      <c r="D61" s="601"/>
      <c r="E61" s="13">
        <f t="shared" si="15"/>
        <v>1</v>
      </c>
      <c r="F61" s="601"/>
      <c r="G61" s="13">
        <f t="shared" si="16"/>
        <v>1</v>
      </c>
      <c r="H61" s="601"/>
      <c r="I61" s="13">
        <f t="shared" si="17"/>
        <v>1</v>
      </c>
      <c r="J61" s="601"/>
      <c r="K61" s="13">
        <f t="shared" si="18"/>
        <v>1</v>
      </c>
      <c r="L61" s="601"/>
      <c r="M61" s="13">
        <f t="shared" si="19"/>
        <v>1</v>
      </c>
      <c r="N61" s="601"/>
      <c r="O61" s="13">
        <f t="shared" si="20"/>
        <v>1</v>
      </c>
      <c r="P61" s="601"/>
      <c r="Q61" s="13">
        <f t="shared" si="21"/>
        <v>1</v>
      </c>
      <c r="R61" s="597">
        <f t="shared" si="26"/>
        <v>0</v>
      </c>
      <c r="S61" s="250">
        <f t="shared" si="27"/>
        <v>0</v>
      </c>
      <c r="T61" s="901">
        <f t="shared" si="28"/>
        <v>0</v>
      </c>
      <c r="U61" s="2988">
        <f t="shared" si="22"/>
        <v>0</v>
      </c>
      <c r="V61" s="2988">
        <f t="shared" si="23"/>
        <v>0</v>
      </c>
      <c r="W61" s="998"/>
      <c r="X61" s="2988">
        <f t="shared" si="24"/>
        <v>0</v>
      </c>
      <c r="Y61" s="2988">
        <f t="shared" si="25"/>
        <v>0</v>
      </c>
      <c r="Z61" s="998"/>
    </row>
    <row r="62" spans="1:26">
      <c r="A62" s="35"/>
      <c r="B62" s="20"/>
      <c r="C62" s="13">
        <f t="shared" si="14"/>
        <v>1</v>
      </c>
      <c r="D62" s="601"/>
      <c r="E62" s="13">
        <f t="shared" si="15"/>
        <v>1</v>
      </c>
      <c r="F62" s="601"/>
      <c r="G62" s="13">
        <f t="shared" si="16"/>
        <v>1</v>
      </c>
      <c r="H62" s="601"/>
      <c r="I62" s="13">
        <f t="shared" si="17"/>
        <v>1</v>
      </c>
      <c r="J62" s="601"/>
      <c r="K62" s="13">
        <f t="shared" si="18"/>
        <v>1</v>
      </c>
      <c r="L62" s="601"/>
      <c r="M62" s="13">
        <f t="shared" si="19"/>
        <v>1</v>
      </c>
      <c r="N62" s="601"/>
      <c r="O62" s="13">
        <f t="shared" si="20"/>
        <v>1</v>
      </c>
      <c r="P62" s="601"/>
      <c r="Q62" s="13">
        <f t="shared" si="21"/>
        <v>1</v>
      </c>
      <c r="R62" s="597">
        <f t="shared" si="26"/>
        <v>0</v>
      </c>
      <c r="S62" s="250">
        <f t="shared" si="27"/>
        <v>0</v>
      </c>
      <c r="T62" s="901">
        <f t="shared" si="28"/>
        <v>0</v>
      </c>
      <c r="U62" s="2988">
        <f t="shared" si="22"/>
        <v>0</v>
      </c>
      <c r="V62" s="2988">
        <f t="shared" si="23"/>
        <v>0</v>
      </c>
      <c r="W62" s="998"/>
      <c r="X62" s="2988">
        <f t="shared" si="24"/>
        <v>0</v>
      </c>
      <c r="Y62" s="2988">
        <f t="shared" si="25"/>
        <v>0</v>
      </c>
      <c r="Z62" s="998"/>
    </row>
    <row r="63" spans="1:26">
      <c r="A63" s="35"/>
      <c r="B63" s="20"/>
      <c r="C63" s="13">
        <f t="shared" si="14"/>
        <v>1</v>
      </c>
      <c r="D63" s="601"/>
      <c r="E63" s="13">
        <f t="shared" si="15"/>
        <v>1</v>
      </c>
      <c r="F63" s="601"/>
      <c r="G63" s="13">
        <f t="shared" si="16"/>
        <v>1</v>
      </c>
      <c r="H63" s="601"/>
      <c r="I63" s="13">
        <f t="shared" si="17"/>
        <v>1</v>
      </c>
      <c r="J63" s="601"/>
      <c r="K63" s="13">
        <f t="shared" si="18"/>
        <v>1</v>
      </c>
      <c r="L63" s="601"/>
      <c r="M63" s="13">
        <f t="shared" si="19"/>
        <v>1</v>
      </c>
      <c r="N63" s="601"/>
      <c r="O63" s="13">
        <f t="shared" si="20"/>
        <v>1</v>
      </c>
      <c r="P63" s="601"/>
      <c r="Q63" s="13">
        <f t="shared" si="21"/>
        <v>1</v>
      </c>
      <c r="R63" s="597">
        <f t="shared" si="26"/>
        <v>0</v>
      </c>
      <c r="S63" s="250">
        <f t="shared" si="27"/>
        <v>0</v>
      </c>
      <c r="T63" s="901">
        <f t="shared" si="28"/>
        <v>0</v>
      </c>
      <c r="U63" s="2988">
        <f t="shared" si="22"/>
        <v>0</v>
      </c>
      <c r="V63" s="2988">
        <f t="shared" si="23"/>
        <v>0</v>
      </c>
      <c r="W63" s="998"/>
      <c r="X63" s="2988">
        <f t="shared" si="24"/>
        <v>0</v>
      </c>
      <c r="Y63" s="2988">
        <f t="shared" si="25"/>
        <v>0</v>
      </c>
      <c r="Z63" s="998"/>
    </row>
    <row r="64" spans="1:26">
      <c r="A64" s="35"/>
      <c r="B64" s="20"/>
      <c r="C64" s="13">
        <f t="shared" si="14"/>
        <v>1</v>
      </c>
      <c r="D64" s="601"/>
      <c r="E64" s="13">
        <f t="shared" si="15"/>
        <v>1</v>
      </c>
      <c r="F64" s="601"/>
      <c r="G64" s="13">
        <f t="shared" si="16"/>
        <v>1</v>
      </c>
      <c r="H64" s="601"/>
      <c r="I64" s="13">
        <f t="shared" si="17"/>
        <v>1</v>
      </c>
      <c r="J64" s="601"/>
      <c r="K64" s="13">
        <f t="shared" si="18"/>
        <v>1</v>
      </c>
      <c r="L64" s="601"/>
      <c r="M64" s="13">
        <f t="shared" si="19"/>
        <v>1</v>
      </c>
      <c r="N64" s="601"/>
      <c r="O64" s="13">
        <f t="shared" si="20"/>
        <v>1</v>
      </c>
      <c r="P64" s="601"/>
      <c r="Q64" s="13">
        <f t="shared" si="21"/>
        <v>1</v>
      </c>
      <c r="R64" s="597">
        <f t="shared" si="26"/>
        <v>0</v>
      </c>
      <c r="S64" s="250">
        <f t="shared" si="27"/>
        <v>0</v>
      </c>
      <c r="T64" s="901">
        <f t="shared" si="28"/>
        <v>0</v>
      </c>
      <c r="U64" s="2988">
        <f t="shared" si="22"/>
        <v>0</v>
      </c>
      <c r="V64" s="2988">
        <f t="shared" si="23"/>
        <v>0</v>
      </c>
      <c r="W64" s="998"/>
      <c r="X64" s="2988">
        <f t="shared" si="24"/>
        <v>0</v>
      </c>
      <c r="Y64" s="2988">
        <f t="shared" si="25"/>
        <v>0</v>
      </c>
      <c r="Z64" s="998"/>
    </row>
    <row r="65" spans="1:26">
      <c r="A65" s="35"/>
      <c r="B65" s="20"/>
      <c r="C65" s="13">
        <f t="shared" si="14"/>
        <v>1</v>
      </c>
      <c r="D65" s="601"/>
      <c r="E65" s="13">
        <f t="shared" si="15"/>
        <v>1</v>
      </c>
      <c r="F65" s="601"/>
      <c r="G65" s="13">
        <f t="shared" si="16"/>
        <v>1</v>
      </c>
      <c r="H65" s="601"/>
      <c r="I65" s="13">
        <f t="shared" si="17"/>
        <v>1</v>
      </c>
      <c r="J65" s="601"/>
      <c r="K65" s="13">
        <f t="shared" si="18"/>
        <v>1</v>
      </c>
      <c r="L65" s="601"/>
      <c r="M65" s="13">
        <f t="shared" si="19"/>
        <v>1</v>
      </c>
      <c r="N65" s="601"/>
      <c r="O65" s="13">
        <f t="shared" si="20"/>
        <v>1</v>
      </c>
      <c r="P65" s="601"/>
      <c r="Q65" s="13">
        <f t="shared" si="21"/>
        <v>1</v>
      </c>
      <c r="R65" s="597">
        <f t="shared" si="26"/>
        <v>0</v>
      </c>
      <c r="S65" s="250">
        <f t="shared" si="27"/>
        <v>0</v>
      </c>
      <c r="T65" s="901">
        <f t="shared" si="28"/>
        <v>0</v>
      </c>
      <c r="U65" s="2988">
        <f t="shared" si="22"/>
        <v>0</v>
      </c>
      <c r="V65" s="2988">
        <f t="shared" si="23"/>
        <v>0</v>
      </c>
      <c r="W65" s="998"/>
      <c r="X65" s="2988">
        <f t="shared" si="24"/>
        <v>0</v>
      </c>
      <c r="Y65" s="2988">
        <f t="shared" si="25"/>
        <v>0</v>
      </c>
      <c r="Z65" s="998"/>
    </row>
    <row r="66" spans="1:26">
      <c r="A66" s="35"/>
      <c r="B66" s="20"/>
      <c r="C66" s="13">
        <f t="shared" si="14"/>
        <v>1</v>
      </c>
      <c r="D66" s="601"/>
      <c r="E66" s="13">
        <f t="shared" si="15"/>
        <v>1</v>
      </c>
      <c r="F66" s="601"/>
      <c r="G66" s="13">
        <f t="shared" si="16"/>
        <v>1</v>
      </c>
      <c r="H66" s="601"/>
      <c r="I66" s="13">
        <f t="shared" si="17"/>
        <v>1</v>
      </c>
      <c r="J66" s="601"/>
      <c r="K66" s="13">
        <f t="shared" si="18"/>
        <v>1</v>
      </c>
      <c r="L66" s="601"/>
      <c r="M66" s="13">
        <f t="shared" si="19"/>
        <v>1</v>
      </c>
      <c r="N66" s="601"/>
      <c r="O66" s="13">
        <f t="shared" si="20"/>
        <v>1</v>
      </c>
      <c r="P66" s="601"/>
      <c r="Q66" s="13">
        <f t="shared" si="21"/>
        <v>1</v>
      </c>
      <c r="R66" s="597">
        <f t="shared" si="26"/>
        <v>0</v>
      </c>
      <c r="S66" s="250">
        <f t="shared" si="27"/>
        <v>0</v>
      </c>
      <c r="T66" s="901">
        <f t="shared" si="28"/>
        <v>0</v>
      </c>
      <c r="U66" s="2988">
        <f t="shared" si="22"/>
        <v>0</v>
      </c>
      <c r="V66" s="2988">
        <f t="shared" si="23"/>
        <v>0</v>
      </c>
      <c r="W66" s="998"/>
      <c r="X66" s="2988">
        <f t="shared" si="24"/>
        <v>0</v>
      </c>
      <c r="Y66" s="2988">
        <f t="shared" si="25"/>
        <v>0</v>
      </c>
      <c r="Z66" s="998"/>
    </row>
    <row r="67" spans="1:26">
      <c r="A67" s="35"/>
      <c r="B67" s="20"/>
      <c r="C67" s="13">
        <f t="shared" si="14"/>
        <v>1</v>
      </c>
      <c r="D67" s="601"/>
      <c r="E67" s="13">
        <f t="shared" si="15"/>
        <v>1</v>
      </c>
      <c r="F67" s="601"/>
      <c r="G67" s="13">
        <f t="shared" si="16"/>
        <v>1</v>
      </c>
      <c r="H67" s="601"/>
      <c r="I67" s="13">
        <f t="shared" si="17"/>
        <v>1</v>
      </c>
      <c r="J67" s="601"/>
      <c r="K67" s="13">
        <f t="shared" si="18"/>
        <v>1</v>
      </c>
      <c r="L67" s="601"/>
      <c r="M67" s="13">
        <f t="shared" si="19"/>
        <v>1</v>
      </c>
      <c r="N67" s="601"/>
      <c r="O67" s="13">
        <f t="shared" si="20"/>
        <v>1</v>
      </c>
      <c r="P67" s="601"/>
      <c r="Q67" s="13">
        <f t="shared" si="21"/>
        <v>1</v>
      </c>
      <c r="R67" s="597">
        <f t="shared" si="26"/>
        <v>0</v>
      </c>
      <c r="S67" s="250">
        <f t="shared" si="27"/>
        <v>0</v>
      </c>
      <c r="T67" s="901">
        <f t="shared" si="28"/>
        <v>0</v>
      </c>
      <c r="U67" s="2988">
        <f t="shared" si="22"/>
        <v>0</v>
      </c>
      <c r="V67" s="2988">
        <f t="shared" si="23"/>
        <v>0</v>
      </c>
      <c r="W67" s="998"/>
      <c r="X67" s="2988">
        <f t="shared" si="24"/>
        <v>0</v>
      </c>
      <c r="Y67" s="2988">
        <f t="shared" si="25"/>
        <v>0</v>
      </c>
      <c r="Z67" s="998"/>
    </row>
    <row r="68" spans="1:26">
      <c r="A68" s="35"/>
      <c r="B68" s="20"/>
      <c r="C68" s="13">
        <f t="shared" si="14"/>
        <v>1</v>
      </c>
      <c r="D68" s="601"/>
      <c r="E68" s="13">
        <f t="shared" si="15"/>
        <v>1</v>
      </c>
      <c r="F68" s="601"/>
      <c r="G68" s="13">
        <f t="shared" si="16"/>
        <v>1</v>
      </c>
      <c r="H68" s="601"/>
      <c r="I68" s="13">
        <f t="shared" si="17"/>
        <v>1</v>
      </c>
      <c r="J68" s="601"/>
      <c r="K68" s="13">
        <f t="shared" si="18"/>
        <v>1</v>
      </c>
      <c r="L68" s="601"/>
      <c r="M68" s="13">
        <f t="shared" si="19"/>
        <v>1</v>
      </c>
      <c r="N68" s="601"/>
      <c r="O68" s="13">
        <f t="shared" si="20"/>
        <v>1</v>
      </c>
      <c r="P68" s="601"/>
      <c r="Q68" s="13">
        <f t="shared" si="21"/>
        <v>1</v>
      </c>
      <c r="R68" s="597">
        <f t="shared" si="26"/>
        <v>0</v>
      </c>
      <c r="S68" s="250">
        <f t="shared" si="27"/>
        <v>0</v>
      </c>
      <c r="T68" s="901">
        <f t="shared" si="28"/>
        <v>0</v>
      </c>
      <c r="U68" s="2988">
        <f t="shared" si="22"/>
        <v>0</v>
      </c>
      <c r="V68" s="2988">
        <f t="shared" si="23"/>
        <v>0</v>
      </c>
      <c r="W68" s="998"/>
      <c r="X68" s="2988">
        <f t="shared" si="24"/>
        <v>0</v>
      </c>
      <c r="Y68" s="2988">
        <f t="shared" si="25"/>
        <v>0</v>
      </c>
      <c r="Z68" s="998"/>
    </row>
    <row r="69" spans="1:26">
      <c r="A69" s="35"/>
      <c r="B69" s="20"/>
      <c r="C69" s="13">
        <f t="shared" si="14"/>
        <v>1</v>
      </c>
      <c r="D69" s="601"/>
      <c r="E69" s="13">
        <f t="shared" si="15"/>
        <v>1</v>
      </c>
      <c r="F69" s="601"/>
      <c r="G69" s="13">
        <f t="shared" si="16"/>
        <v>1</v>
      </c>
      <c r="H69" s="601"/>
      <c r="I69" s="13">
        <f t="shared" si="17"/>
        <v>1</v>
      </c>
      <c r="J69" s="601"/>
      <c r="K69" s="13">
        <f t="shared" si="18"/>
        <v>1</v>
      </c>
      <c r="L69" s="601"/>
      <c r="M69" s="13">
        <f t="shared" si="19"/>
        <v>1</v>
      </c>
      <c r="N69" s="601"/>
      <c r="O69" s="13">
        <f t="shared" si="20"/>
        <v>1</v>
      </c>
      <c r="P69" s="601"/>
      <c r="Q69" s="13">
        <f t="shared" si="21"/>
        <v>1</v>
      </c>
      <c r="R69" s="597">
        <f t="shared" si="26"/>
        <v>0</v>
      </c>
      <c r="S69" s="250">
        <f t="shared" si="27"/>
        <v>0</v>
      </c>
      <c r="T69" s="901">
        <f t="shared" si="28"/>
        <v>0</v>
      </c>
      <c r="U69" s="2988">
        <f t="shared" si="22"/>
        <v>0</v>
      </c>
      <c r="V69" s="2988">
        <f t="shared" si="23"/>
        <v>0</v>
      </c>
      <c r="W69" s="998"/>
      <c r="X69" s="2988">
        <f t="shared" si="24"/>
        <v>0</v>
      </c>
      <c r="Y69" s="2988">
        <f t="shared" si="25"/>
        <v>0</v>
      </c>
      <c r="Z69" s="998"/>
    </row>
    <row r="70" spans="1:26">
      <c r="A70" s="35"/>
      <c r="B70" s="20"/>
      <c r="C70" s="13">
        <f t="shared" si="14"/>
        <v>1</v>
      </c>
      <c r="D70" s="601"/>
      <c r="E70" s="13">
        <f t="shared" si="15"/>
        <v>1</v>
      </c>
      <c r="F70" s="601"/>
      <c r="G70" s="13">
        <f t="shared" si="16"/>
        <v>1</v>
      </c>
      <c r="H70" s="601"/>
      <c r="I70" s="13">
        <f t="shared" si="17"/>
        <v>1</v>
      </c>
      <c r="J70" s="601"/>
      <c r="K70" s="13">
        <f t="shared" si="18"/>
        <v>1</v>
      </c>
      <c r="L70" s="601"/>
      <c r="M70" s="13">
        <f t="shared" si="19"/>
        <v>1</v>
      </c>
      <c r="N70" s="601"/>
      <c r="O70" s="13">
        <f t="shared" si="20"/>
        <v>1</v>
      </c>
      <c r="P70" s="601"/>
      <c r="Q70" s="13">
        <f t="shared" si="21"/>
        <v>1</v>
      </c>
      <c r="R70" s="597">
        <f t="shared" si="26"/>
        <v>0</v>
      </c>
      <c r="S70" s="250">
        <f t="shared" si="27"/>
        <v>0</v>
      </c>
      <c r="T70" s="901">
        <f t="shared" si="28"/>
        <v>0</v>
      </c>
      <c r="U70" s="2988">
        <f t="shared" si="22"/>
        <v>0</v>
      </c>
      <c r="V70" s="2988">
        <f t="shared" si="23"/>
        <v>0</v>
      </c>
      <c r="W70" s="998"/>
      <c r="X70" s="2988">
        <f t="shared" si="24"/>
        <v>0</v>
      </c>
      <c r="Y70" s="2988">
        <f t="shared" si="25"/>
        <v>0</v>
      </c>
      <c r="Z70" s="998"/>
    </row>
    <row r="71" spans="1:26">
      <c r="A71" s="35"/>
      <c r="B71" s="20"/>
      <c r="C71" s="13">
        <f t="shared" si="14"/>
        <v>1</v>
      </c>
      <c r="D71" s="601"/>
      <c r="E71" s="13">
        <f t="shared" si="15"/>
        <v>1</v>
      </c>
      <c r="F71" s="601"/>
      <c r="G71" s="13">
        <f t="shared" si="16"/>
        <v>1</v>
      </c>
      <c r="H71" s="601"/>
      <c r="I71" s="13">
        <f t="shared" si="17"/>
        <v>1</v>
      </c>
      <c r="J71" s="601"/>
      <c r="K71" s="13">
        <f t="shared" si="18"/>
        <v>1</v>
      </c>
      <c r="L71" s="601"/>
      <c r="M71" s="13">
        <f t="shared" si="19"/>
        <v>1</v>
      </c>
      <c r="N71" s="601"/>
      <c r="O71" s="13">
        <f t="shared" si="20"/>
        <v>1</v>
      </c>
      <c r="P71" s="601"/>
      <c r="Q71" s="13">
        <f t="shared" si="21"/>
        <v>1</v>
      </c>
      <c r="R71" s="597">
        <f t="shared" si="26"/>
        <v>0</v>
      </c>
      <c r="S71" s="250">
        <f t="shared" si="27"/>
        <v>0</v>
      </c>
      <c r="T71" s="901">
        <f t="shared" si="28"/>
        <v>0</v>
      </c>
      <c r="U71" s="2988">
        <f t="shared" si="22"/>
        <v>0</v>
      </c>
      <c r="V71" s="2988">
        <f t="shared" si="23"/>
        <v>0</v>
      </c>
      <c r="W71" s="998"/>
      <c r="X71" s="2988">
        <f t="shared" si="24"/>
        <v>0</v>
      </c>
      <c r="Y71" s="2988">
        <f t="shared" si="25"/>
        <v>0</v>
      </c>
      <c r="Z71" s="998"/>
    </row>
    <row r="72" spans="1:26">
      <c r="A72" s="35"/>
      <c r="B72" s="20"/>
      <c r="C72" s="13">
        <f t="shared" si="14"/>
        <v>1</v>
      </c>
      <c r="D72" s="601"/>
      <c r="E72" s="13">
        <f t="shared" si="15"/>
        <v>1</v>
      </c>
      <c r="F72" s="601"/>
      <c r="G72" s="13">
        <f t="shared" si="16"/>
        <v>1</v>
      </c>
      <c r="H72" s="601"/>
      <c r="I72" s="13">
        <f t="shared" si="17"/>
        <v>1</v>
      </c>
      <c r="J72" s="601"/>
      <c r="K72" s="13">
        <f t="shared" si="18"/>
        <v>1</v>
      </c>
      <c r="L72" s="601"/>
      <c r="M72" s="13">
        <f t="shared" si="19"/>
        <v>1</v>
      </c>
      <c r="N72" s="601"/>
      <c r="O72" s="13">
        <f t="shared" si="20"/>
        <v>1</v>
      </c>
      <c r="P72" s="601"/>
      <c r="Q72" s="13">
        <f t="shared" si="21"/>
        <v>1</v>
      </c>
      <c r="R72" s="597">
        <f t="shared" si="26"/>
        <v>0</v>
      </c>
      <c r="S72" s="250">
        <f t="shared" si="27"/>
        <v>0</v>
      </c>
      <c r="T72" s="901">
        <f t="shared" si="28"/>
        <v>0</v>
      </c>
      <c r="U72" s="2988">
        <f t="shared" si="22"/>
        <v>0</v>
      </c>
      <c r="V72" s="2988">
        <f t="shared" si="23"/>
        <v>0</v>
      </c>
      <c r="W72" s="998"/>
      <c r="X72" s="2988">
        <f t="shared" si="24"/>
        <v>0</v>
      </c>
      <c r="Y72" s="2988">
        <f t="shared" si="25"/>
        <v>0</v>
      </c>
      <c r="Z72" s="998"/>
    </row>
    <row r="73" spans="1:26">
      <c r="A73" s="35"/>
      <c r="B73" s="20"/>
      <c r="C73" s="13">
        <f t="shared" si="14"/>
        <v>1</v>
      </c>
      <c r="D73" s="601"/>
      <c r="E73" s="13">
        <f t="shared" si="15"/>
        <v>1</v>
      </c>
      <c r="F73" s="601"/>
      <c r="G73" s="13">
        <f t="shared" si="16"/>
        <v>1</v>
      </c>
      <c r="H73" s="601"/>
      <c r="I73" s="13">
        <f t="shared" si="17"/>
        <v>1</v>
      </c>
      <c r="J73" s="601"/>
      <c r="K73" s="13">
        <f t="shared" si="18"/>
        <v>1</v>
      </c>
      <c r="L73" s="601"/>
      <c r="M73" s="13">
        <f t="shared" si="19"/>
        <v>1</v>
      </c>
      <c r="N73" s="601"/>
      <c r="O73" s="13">
        <f t="shared" si="20"/>
        <v>1</v>
      </c>
      <c r="P73" s="601"/>
      <c r="Q73" s="13">
        <f t="shared" si="21"/>
        <v>1</v>
      </c>
      <c r="R73" s="597">
        <f t="shared" si="26"/>
        <v>0</v>
      </c>
      <c r="S73" s="250">
        <f t="shared" si="27"/>
        <v>0</v>
      </c>
      <c r="T73" s="901">
        <f t="shared" si="28"/>
        <v>0</v>
      </c>
      <c r="U73" s="2988">
        <f t="shared" si="22"/>
        <v>0</v>
      </c>
      <c r="V73" s="2988">
        <f t="shared" si="23"/>
        <v>0</v>
      </c>
      <c r="W73" s="998"/>
      <c r="X73" s="2988">
        <f t="shared" si="24"/>
        <v>0</v>
      </c>
      <c r="Y73" s="2988">
        <f t="shared" si="25"/>
        <v>0</v>
      </c>
      <c r="Z73" s="998"/>
    </row>
    <row r="74" spans="1:26">
      <c r="A74" s="35"/>
      <c r="B74" s="20"/>
      <c r="C74" s="13">
        <f t="shared" si="14"/>
        <v>1</v>
      </c>
      <c r="D74" s="601"/>
      <c r="E74" s="13">
        <f t="shared" si="15"/>
        <v>1</v>
      </c>
      <c r="F74" s="601"/>
      <c r="G74" s="13">
        <f t="shared" si="16"/>
        <v>1</v>
      </c>
      <c r="H74" s="601"/>
      <c r="I74" s="13">
        <f t="shared" si="17"/>
        <v>1</v>
      </c>
      <c r="J74" s="601"/>
      <c r="K74" s="13">
        <f t="shared" si="18"/>
        <v>1</v>
      </c>
      <c r="L74" s="601"/>
      <c r="M74" s="13">
        <f t="shared" si="19"/>
        <v>1</v>
      </c>
      <c r="N74" s="601"/>
      <c r="O74" s="13">
        <f t="shared" si="20"/>
        <v>1</v>
      </c>
      <c r="P74" s="601"/>
      <c r="Q74" s="13">
        <f t="shared" si="21"/>
        <v>1</v>
      </c>
      <c r="R74" s="597">
        <f t="shared" si="26"/>
        <v>0</v>
      </c>
      <c r="S74" s="250">
        <f t="shared" si="27"/>
        <v>0</v>
      </c>
      <c r="T74" s="901">
        <f t="shared" si="28"/>
        <v>0</v>
      </c>
      <c r="U74" s="2988">
        <f t="shared" si="22"/>
        <v>0</v>
      </c>
      <c r="V74" s="2988">
        <f t="shared" si="23"/>
        <v>0</v>
      </c>
      <c r="W74" s="998"/>
      <c r="X74" s="2988">
        <f t="shared" si="24"/>
        <v>0</v>
      </c>
      <c r="Y74" s="2988">
        <f t="shared" si="25"/>
        <v>0</v>
      </c>
      <c r="Z74" s="998"/>
    </row>
    <row r="75" spans="1:26">
      <c r="A75" s="35"/>
      <c r="B75" s="20"/>
      <c r="C75" s="13">
        <f t="shared" si="14"/>
        <v>1</v>
      </c>
      <c r="D75" s="601"/>
      <c r="E75" s="13">
        <f t="shared" si="15"/>
        <v>1</v>
      </c>
      <c r="F75" s="601"/>
      <c r="G75" s="13">
        <f t="shared" si="16"/>
        <v>1</v>
      </c>
      <c r="H75" s="601"/>
      <c r="I75" s="13">
        <f t="shared" si="17"/>
        <v>1</v>
      </c>
      <c r="J75" s="601"/>
      <c r="K75" s="13">
        <f t="shared" si="18"/>
        <v>1</v>
      </c>
      <c r="L75" s="601"/>
      <c r="M75" s="13">
        <f t="shared" si="19"/>
        <v>1</v>
      </c>
      <c r="N75" s="601"/>
      <c r="O75" s="13">
        <f t="shared" si="20"/>
        <v>1</v>
      </c>
      <c r="P75" s="601"/>
      <c r="Q75" s="13">
        <f t="shared" si="21"/>
        <v>1</v>
      </c>
      <c r="R75" s="597">
        <f t="shared" si="26"/>
        <v>0</v>
      </c>
      <c r="S75" s="250">
        <f t="shared" si="27"/>
        <v>0</v>
      </c>
      <c r="T75" s="901">
        <f t="shared" si="28"/>
        <v>0</v>
      </c>
      <c r="U75" s="2988">
        <f t="shared" si="22"/>
        <v>0</v>
      </c>
      <c r="V75" s="2988">
        <f t="shared" si="23"/>
        <v>0</v>
      </c>
      <c r="W75" s="998"/>
      <c r="X75" s="2988">
        <f t="shared" si="24"/>
        <v>0</v>
      </c>
      <c r="Y75" s="2988">
        <f t="shared" si="25"/>
        <v>0</v>
      </c>
      <c r="Z75" s="998"/>
    </row>
    <row r="76" spans="1:26">
      <c r="A76" s="35"/>
      <c r="B76" s="20"/>
      <c r="C76" s="13">
        <f t="shared" si="14"/>
        <v>1</v>
      </c>
      <c r="D76" s="601"/>
      <c r="E76" s="13">
        <f t="shared" si="15"/>
        <v>1</v>
      </c>
      <c r="F76" s="601"/>
      <c r="G76" s="13">
        <f t="shared" si="16"/>
        <v>1</v>
      </c>
      <c r="H76" s="601"/>
      <c r="I76" s="13">
        <f t="shared" si="17"/>
        <v>1</v>
      </c>
      <c r="J76" s="601"/>
      <c r="K76" s="13">
        <f t="shared" si="18"/>
        <v>1</v>
      </c>
      <c r="L76" s="601"/>
      <c r="M76" s="13">
        <f t="shared" si="19"/>
        <v>1</v>
      </c>
      <c r="N76" s="601"/>
      <c r="O76" s="13">
        <f t="shared" si="20"/>
        <v>1</v>
      </c>
      <c r="P76" s="601"/>
      <c r="Q76" s="13">
        <f t="shared" si="21"/>
        <v>1</v>
      </c>
      <c r="R76" s="597">
        <f t="shared" si="26"/>
        <v>0</v>
      </c>
      <c r="S76" s="250">
        <f t="shared" si="27"/>
        <v>0</v>
      </c>
      <c r="T76" s="901">
        <f t="shared" si="28"/>
        <v>0</v>
      </c>
      <c r="U76" s="2988">
        <f t="shared" si="22"/>
        <v>0</v>
      </c>
      <c r="V76" s="2988">
        <f t="shared" si="23"/>
        <v>0</v>
      </c>
      <c r="W76" s="998"/>
      <c r="X76" s="2988">
        <f t="shared" si="24"/>
        <v>0</v>
      </c>
      <c r="Y76" s="2988">
        <f t="shared" si="25"/>
        <v>0</v>
      </c>
      <c r="Z76" s="998"/>
    </row>
    <row r="77" spans="1:26">
      <c r="A77" s="35"/>
      <c r="B77" s="20"/>
      <c r="C77" s="13">
        <f t="shared" si="14"/>
        <v>1</v>
      </c>
      <c r="D77" s="601"/>
      <c r="E77" s="13">
        <f t="shared" si="15"/>
        <v>1</v>
      </c>
      <c r="F77" s="601"/>
      <c r="G77" s="13">
        <f t="shared" si="16"/>
        <v>1</v>
      </c>
      <c r="H77" s="601"/>
      <c r="I77" s="13">
        <f t="shared" si="17"/>
        <v>1</v>
      </c>
      <c r="J77" s="601"/>
      <c r="K77" s="13">
        <f t="shared" si="18"/>
        <v>1</v>
      </c>
      <c r="L77" s="601"/>
      <c r="M77" s="13">
        <f t="shared" si="19"/>
        <v>1</v>
      </c>
      <c r="N77" s="601"/>
      <c r="O77" s="13">
        <f t="shared" si="20"/>
        <v>1</v>
      </c>
      <c r="P77" s="601"/>
      <c r="Q77" s="13">
        <f t="shared" si="21"/>
        <v>1</v>
      </c>
      <c r="R77" s="597">
        <f t="shared" si="26"/>
        <v>0</v>
      </c>
      <c r="S77" s="250">
        <f t="shared" si="27"/>
        <v>0</v>
      </c>
      <c r="T77" s="901">
        <f t="shared" si="28"/>
        <v>0</v>
      </c>
      <c r="U77" s="2988">
        <f t="shared" si="22"/>
        <v>0</v>
      </c>
      <c r="V77" s="2988">
        <f t="shared" si="23"/>
        <v>0</v>
      </c>
      <c r="W77" s="998"/>
      <c r="X77" s="2988">
        <f t="shared" si="24"/>
        <v>0</v>
      </c>
      <c r="Y77" s="2988">
        <f t="shared" si="25"/>
        <v>0</v>
      </c>
      <c r="Z77" s="998"/>
    </row>
    <row r="78" spans="1:26">
      <c r="A78" s="35"/>
      <c r="B78" s="20"/>
      <c r="C78" s="13">
        <f t="shared" si="14"/>
        <v>1</v>
      </c>
      <c r="D78" s="601"/>
      <c r="E78" s="13">
        <f t="shared" si="15"/>
        <v>1</v>
      </c>
      <c r="F78" s="601"/>
      <c r="G78" s="13">
        <f t="shared" si="16"/>
        <v>1</v>
      </c>
      <c r="H78" s="601"/>
      <c r="I78" s="13">
        <f t="shared" si="17"/>
        <v>1</v>
      </c>
      <c r="J78" s="601"/>
      <c r="K78" s="13">
        <f t="shared" si="18"/>
        <v>1</v>
      </c>
      <c r="L78" s="601"/>
      <c r="M78" s="13">
        <f t="shared" si="19"/>
        <v>1</v>
      </c>
      <c r="N78" s="601"/>
      <c r="O78" s="13">
        <f t="shared" si="20"/>
        <v>1</v>
      </c>
      <c r="P78" s="601"/>
      <c r="Q78" s="13">
        <f t="shared" si="21"/>
        <v>1</v>
      </c>
      <c r="R78" s="597">
        <f t="shared" si="26"/>
        <v>0</v>
      </c>
      <c r="S78" s="250">
        <f t="shared" si="27"/>
        <v>0</v>
      </c>
      <c r="T78" s="901">
        <f t="shared" si="28"/>
        <v>0</v>
      </c>
      <c r="U78" s="2988">
        <f t="shared" si="22"/>
        <v>0</v>
      </c>
      <c r="V78" s="2988">
        <f t="shared" si="23"/>
        <v>0</v>
      </c>
      <c r="W78" s="998"/>
      <c r="X78" s="2988">
        <f t="shared" si="24"/>
        <v>0</v>
      </c>
      <c r="Y78" s="2988">
        <f t="shared" si="25"/>
        <v>0</v>
      </c>
      <c r="Z78" s="998"/>
    </row>
    <row r="79" spans="1:26">
      <c r="A79" s="35"/>
      <c r="B79" s="20"/>
      <c r="C79" s="13">
        <f t="shared" si="14"/>
        <v>1</v>
      </c>
      <c r="D79" s="601"/>
      <c r="E79" s="13">
        <f t="shared" si="15"/>
        <v>1</v>
      </c>
      <c r="F79" s="601"/>
      <c r="G79" s="13">
        <f t="shared" si="16"/>
        <v>1</v>
      </c>
      <c r="H79" s="601"/>
      <c r="I79" s="13">
        <f t="shared" si="17"/>
        <v>1</v>
      </c>
      <c r="J79" s="601"/>
      <c r="K79" s="13">
        <f t="shared" si="18"/>
        <v>1</v>
      </c>
      <c r="L79" s="601"/>
      <c r="M79" s="13">
        <f t="shared" si="19"/>
        <v>1</v>
      </c>
      <c r="N79" s="601"/>
      <c r="O79" s="13">
        <f t="shared" si="20"/>
        <v>1</v>
      </c>
      <c r="P79" s="601"/>
      <c r="Q79" s="13">
        <f t="shared" si="21"/>
        <v>1</v>
      </c>
      <c r="R79" s="597">
        <f t="shared" si="26"/>
        <v>0</v>
      </c>
      <c r="S79" s="250">
        <f t="shared" si="27"/>
        <v>0</v>
      </c>
      <c r="T79" s="901">
        <f t="shared" si="28"/>
        <v>0</v>
      </c>
      <c r="U79" s="2988">
        <f t="shared" si="22"/>
        <v>0</v>
      </c>
      <c r="V79" s="2988">
        <f t="shared" si="23"/>
        <v>0</v>
      </c>
      <c r="W79" s="998"/>
      <c r="X79" s="2988">
        <f t="shared" si="24"/>
        <v>0</v>
      </c>
      <c r="Y79" s="2988">
        <f t="shared" si="25"/>
        <v>0</v>
      </c>
      <c r="Z79" s="998"/>
    </row>
    <row r="80" spans="1:26">
      <c r="A80" s="35"/>
      <c r="B80" s="20"/>
      <c r="C80" s="13">
        <f t="shared" si="14"/>
        <v>1</v>
      </c>
      <c r="D80" s="601"/>
      <c r="E80" s="13">
        <f t="shared" si="15"/>
        <v>1</v>
      </c>
      <c r="F80" s="601"/>
      <c r="G80" s="13">
        <f t="shared" si="16"/>
        <v>1</v>
      </c>
      <c r="H80" s="601"/>
      <c r="I80" s="13">
        <f t="shared" si="17"/>
        <v>1</v>
      </c>
      <c r="J80" s="601"/>
      <c r="K80" s="13">
        <f t="shared" si="18"/>
        <v>1</v>
      </c>
      <c r="L80" s="601"/>
      <c r="M80" s="13">
        <f t="shared" si="19"/>
        <v>1</v>
      </c>
      <c r="N80" s="601"/>
      <c r="O80" s="13">
        <f t="shared" si="20"/>
        <v>1</v>
      </c>
      <c r="P80" s="601"/>
      <c r="Q80" s="13">
        <f t="shared" si="21"/>
        <v>1</v>
      </c>
      <c r="R80" s="597">
        <f t="shared" si="26"/>
        <v>0</v>
      </c>
      <c r="S80" s="250">
        <f t="shared" si="27"/>
        <v>0</v>
      </c>
      <c r="T80" s="901">
        <f t="shared" si="28"/>
        <v>0</v>
      </c>
      <c r="U80" s="2988">
        <f t="shared" si="22"/>
        <v>0</v>
      </c>
      <c r="V80" s="2988">
        <f t="shared" si="23"/>
        <v>0</v>
      </c>
      <c r="W80" s="998"/>
      <c r="X80" s="2988">
        <f t="shared" si="24"/>
        <v>0</v>
      </c>
      <c r="Y80" s="2988">
        <f t="shared" si="25"/>
        <v>0</v>
      </c>
      <c r="Z80" s="998"/>
    </row>
    <row r="81" spans="1:26">
      <c r="A81" s="35"/>
      <c r="B81" s="20"/>
      <c r="C81" s="13">
        <f t="shared" si="14"/>
        <v>1</v>
      </c>
      <c r="D81" s="601"/>
      <c r="E81" s="13">
        <f t="shared" si="15"/>
        <v>1</v>
      </c>
      <c r="F81" s="601"/>
      <c r="G81" s="13">
        <f t="shared" si="16"/>
        <v>1</v>
      </c>
      <c r="H81" s="601"/>
      <c r="I81" s="13">
        <f t="shared" si="17"/>
        <v>1</v>
      </c>
      <c r="J81" s="601"/>
      <c r="K81" s="13">
        <f t="shared" si="18"/>
        <v>1</v>
      </c>
      <c r="L81" s="601"/>
      <c r="M81" s="13">
        <f t="shared" si="19"/>
        <v>1</v>
      </c>
      <c r="N81" s="601"/>
      <c r="O81" s="13">
        <f t="shared" si="20"/>
        <v>1</v>
      </c>
      <c r="P81" s="601"/>
      <c r="Q81" s="13">
        <f t="shared" si="21"/>
        <v>1</v>
      </c>
      <c r="R81" s="597">
        <f t="shared" si="26"/>
        <v>0</v>
      </c>
      <c r="S81" s="250">
        <f t="shared" si="27"/>
        <v>0</v>
      </c>
      <c r="T81" s="901">
        <f t="shared" si="28"/>
        <v>0</v>
      </c>
      <c r="U81" s="2988">
        <f t="shared" si="22"/>
        <v>0</v>
      </c>
      <c r="V81" s="2988">
        <f t="shared" si="23"/>
        <v>0</v>
      </c>
      <c r="W81" s="998"/>
      <c r="X81" s="2988">
        <f t="shared" si="24"/>
        <v>0</v>
      </c>
      <c r="Y81" s="2988">
        <f t="shared" si="25"/>
        <v>0</v>
      </c>
      <c r="Z81" s="998"/>
    </row>
    <row r="82" spans="1:26">
      <c r="A82" s="35"/>
      <c r="B82" s="20"/>
      <c r="C82" s="13">
        <f t="shared" si="14"/>
        <v>1</v>
      </c>
      <c r="D82" s="601"/>
      <c r="E82" s="13">
        <f t="shared" si="15"/>
        <v>1</v>
      </c>
      <c r="F82" s="601"/>
      <c r="G82" s="13">
        <f t="shared" si="16"/>
        <v>1</v>
      </c>
      <c r="H82" s="601"/>
      <c r="I82" s="13">
        <f t="shared" si="17"/>
        <v>1</v>
      </c>
      <c r="J82" s="601"/>
      <c r="K82" s="13">
        <f t="shared" si="18"/>
        <v>1</v>
      </c>
      <c r="L82" s="601"/>
      <c r="M82" s="13">
        <f t="shared" si="19"/>
        <v>1</v>
      </c>
      <c r="N82" s="601"/>
      <c r="O82" s="13">
        <f t="shared" si="20"/>
        <v>1</v>
      </c>
      <c r="P82" s="601"/>
      <c r="Q82" s="13">
        <f t="shared" si="21"/>
        <v>1</v>
      </c>
      <c r="R82" s="597">
        <f t="shared" si="26"/>
        <v>0</v>
      </c>
      <c r="S82" s="250">
        <f t="shared" si="27"/>
        <v>0</v>
      </c>
      <c r="T82" s="901">
        <f t="shared" si="28"/>
        <v>0</v>
      </c>
      <c r="U82" s="2988">
        <f t="shared" si="22"/>
        <v>0</v>
      </c>
      <c r="V82" s="2988">
        <f t="shared" si="23"/>
        <v>0</v>
      </c>
      <c r="W82" s="998"/>
      <c r="X82" s="2988">
        <f t="shared" si="24"/>
        <v>0</v>
      </c>
      <c r="Y82" s="2988">
        <f t="shared" si="25"/>
        <v>0</v>
      </c>
      <c r="Z82" s="998"/>
    </row>
    <row r="83" spans="1:26">
      <c r="A83" s="35"/>
      <c r="B83" s="20"/>
      <c r="C83" s="13">
        <f t="shared" si="14"/>
        <v>1</v>
      </c>
      <c r="D83" s="601"/>
      <c r="E83" s="13">
        <f t="shared" si="15"/>
        <v>1</v>
      </c>
      <c r="F83" s="601"/>
      <c r="G83" s="13">
        <f t="shared" si="16"/>
        <v>1</v>
      </c>
      <c r="H83" s="601"/>
      <c r="I83" s="13">
        <f t="shared" si="17"/>
        <v>1</v>
      </c>
      <c r="J83" s="601"/>
      <c r="K83" s="13">
        <f t="shared" si="18"/>
        <v>1</v>
      </c>
      <c r="L83" s="601"/>
      <c r="M83" s="13">
        <f t="shared" si="19"/>
        <v>1</v>
      </c>
      <c r="N83" s="601"/>
      <c r="O83" s="13">
        <f t="shared" si="20"/>
        <v>1</v>
      </c>
      <c r="P83" s="601"/>
      <c r="Q83" s="13">
        <f t="shared" si="21"/>
        <v>1</v>
      </c>
      <c r="R83" s="597">
        <f t="shared" si="26"/>
        <v>0</v>
      </c>
      <c r="S83" s="250">
        <f t="shared" si="27"/>
        <v>0</v>
      </c>
      <c r="T83" s="901">
        <f t="shared" si="28"/>
        <v>0</v>
      </c>
      <c r="U83" s="2988">
        <f t="shared" si="22"/>
        <v>0</v>
      </c>
      <c r="V83" s="2988">
        <f t="shared" si="23"/>
        <v>0</v>
      </c>
      <c r="W83" s="998"/>
      <c r="X83" s="2988">
        <f t="shared" si="24"/>
        <v>0</v>
      </c>
      <c r="Y83" s="2988">
        <f t="shared" si="25"/>
        <v>0</v>
      </c>
      <c r="Z83" s="998"/>
    </row>
    <row r="84" spans="1:26">
      <c r="A84" s="35"/>
      <c r="B84" s="20"/>
      <c r="C84" s="13">
        <f t="shared" si="14"/>
        <v>1</v>
      </c>
      <c r="D84" s="601"/>
      <c r="E84" s="13">
        <f t="shared" si="15"/>
        <v>1</v>
      </c>
      <c r="F84" s="601"/>
      <c r="G84" s="13">
        <f t="shared" si="16"/>
        <v>1</v>
      </c>
      <c r="H84" s="601"/>
      <c r="I84" s="13">
        <f t="shared" si="17"/>
        <v>1</v>
      </c>
      <c r="J84" s="601"/>
      <c r="K84" s="13">
        <f t="shared" si="18"/>
        <v>1</v>
      </c>
      <c r="L84" s="601"/>
      <c r="M84" s="13">
        <f t="shared" si="19"/>
        <v>1</v>
      </c>
      <c r="N84" s="601"/>
      <c r="O84" s="13">
        <f t="shared" si="20"/>
        <v>1</v>
      </c>
      <c r="P84" s="601"/>
      <c r="Q84" s="13">
        <f t="shared" si="21"/>
        <v>1</v>
      </c>
      <c r="R84" s="597">
        <f t="shared" si="26"/>
        <v>0</v>
      </c>
      <c r="S84" s="250">
        <f t="shared" si="27"/>
        <v>0</v>
      </c>
      <c r="T84" s="901">
        <f t="shared" si="28"/>
        <v>0</v>
      </c>
      <c r="U84" s="2988">
        <f t="shared" si="22"/>
        <v>0</v>
      </c>
      <c r="V84" s="2988">
        <f t="shared" si="23"/>
        <v>0</v>
      </c>
      <c r="W84" s="998"/>
      <c r="X84" s="2988">
        <f t="shared" si="24"/>
        <v>0</v>
      </c>
      <c r="Y84" s="2988">
        <f t="shared" si="25"/>
        <v>0</v>
      </c>
      <c r="Z84" s="998"/>
    </row>
    <row r="85" spans="1:26">
      <c r="A85" s="35"/>
      <c r="B85" s="20"/>
      <c r="C85" s="13">
        <f t="shared" si="14"/>
        <v>1</v>
      </c>
      <c r="D85" s="601"/>
      <c r="E85" s="13">
        <f t="shared" si="15"/>
        <v>1</v>
      </c>
      <c r="F85" s="601"/>
      <c r="G85" s="13">
        <f t="shared" si="16"/>
        <v>1</v>
      </c>
      <c r="H85" s="601"/>
      <c r="I85" s="13">
        <f t="shared" si="17"/>
        <v>1</v>
      </c>
      <c r="J85" s="601"/>
      <c r="K85" s="13">
        <f t="shared" si="18"/>
        <v>1</v>
      </c>
      <c r="L85" s="601"/>
      <c r="M85" s="13">
        <f t="shared" si="19"/>
        <v>1</v>
      </c>
      <c r="N85" s="601"/>
      <c r="O85" s="13">
        <f t="shared" si="20"/>
        <v>1</v>
      </c>
      <c r="P85" s="601"/>
      <c r="Q85" s="13">
        <f t="shared" si="21"/>
        <v>1</v>
      </c>
      <c r="R85" s="597">
        <f t="shared" si="26"/>
        <v>0</v>
      </c>
      <c r="S85" s="250">
        <f t="shared" si="27"/>
        <v>0</v>
      </c>
      <c r="T85" s="901">
        <f t="shared" si="28"/>
        <v>0</v>
      </c>
      <c r="U85" s="2988">
        <f t="shared" si="22"/>
        <v>0</v>
      </c>
      <c r="V85" s="2988">
        <f t="shared" si="23"/>
        <v>0</v>
      </c>
      <c r="W85" s="998"/>
      <c r="X85" s="2988">
        <f t="shared" si="24"/>
        <v>0</v>
      </c>
      <c r="Y85" s="2988">
        <f t="shared" si="25"/>
        <v>0</v>
      </c>
      <c r="Z85" s="998"/>
    </row>
    <row r="86" spans="1:26">
      <c r="A86" s="35"/>
      <c r="B86" s="20"/>
      <c r="C86" s="13">
        <f t="shared" si="14"/>
        <v>1</v>
      </c>
      <c r="D86" s="601"/>
      <c r="E86" s="13">
        <f t="shared" si="15"/>
        <v>1</v>
      </c>
      <c r="F86" s="601"/>
      <c r="G86" s="13">
        <f t="shared" si="16"/>
        <v>1</v>
      </c>
      <c r="H86" s="601"/>
      <c r="I86" s="13">
        <f t="shared" si="17"/>
        <v>1</v>
      </c>
      <c r="J86" s="601"/>
      <c r="K86" s="13">
        <f t="shared" si="18"/>
        <v>1</v>
      </c>
      <c r="L86" s="601"/>
      <c r="M86" s="13">
        <f t="shared" si="19"/>
        <v>1</v>
      </c>
      <c r="N86" s="601"/>
      <c r="O86" s="13">
        <f t="shared" si="20"/>
        <v>1</v>
      </c>
      <c r="P86" s="601"/>
      <c r="Q86" s="13">
        <f t="shared" si="21"/>
        <v>1</v>
      </c>
      <c r="R86" s="597">
        <f t="shared" si="26"/>
        <v>0</v>
      </c>
      <c r="S86" s="250">
        <f t="shared" si="27"/>
        <v>0</v>
      </c>
      <c r="T86" s="901">
        <f t="shared" si="28"/>
        <v>0</v>
      </c>
      <c r="U86" s="2988">
        <f t="shared" si="22"/>
        <v>0</v>
      </c>
      <c r="V86" s="2988">
        <f t="shared" si="23"/>
        <v>0</v>
      </c>
      <c r="W86" s="998"/>
      <c r="X86" s="2988">
        <f t="shared" si="24"/>
        <v>0</v>
      </c>
      <c r="Y86" s="2988">
        <f t="shared" si="25"/>
        <v>0</v>
      </c>
      <c r="Z86" s="998"/>
    </row>
    <row r="87" spans="1:26">
      <c r="A87" s="35"/>
      <c r="B87" s="20"/>
      <c r="C87" s="13">
        <f t="shared" si="14"/>
        <v>1</v>
      </c>
      <c r="D87" s="601"/>
      <c r="E87" s="13">
        <f t="shared" si="15"/>
        <v>1</v>
      </c>
      <c r="F87" s="601"/>
      <c r="G87" s="13">
        <f t="shared" si="16"/>
        <v>1</v>
      </c>
      <c r="H87" s="601"/>
      <c r="I87" s="13">
        <f t="shared" si="17"/>
        <v>1</v>
      </c>
      <c r="J87" s="601"/>
      <c r="K87" s="13">
        <f t="shared" si="18"/>
        <v>1</v>
      </c>
      <c r="L87" s="601"/>
      <c r="M87" s="13">
        <f t="shared" si="19"/>
        <v>1</v>
      </c>
      <c r="N87" s="601"/>
      <c r="O87" s="13">
        <f t="shared" si="20"/>
        <v>1</v>
      </c>
      <c r="P87" s="601"/>
      <c r="Q87" s="13">
        <f t="shared" si="21"/>
        <v>1</v>
      </c>
      <c r="R87" s="597">
        <f t="shared" si="26"/>
        <v>0</v>
      </c>
      <c r="S87" s="250">
        <f t="shared" si="27"/>
        <v>0</v>
      </c>
      <c r="T87" s="901">
        <f t="shared" si="28"/>
        <v>0</v>
      </c>
      <c r="U87" s="2988">
        <f t="shared" si="22"/>
        <v>0</v>
      </c>
      <c r="V87" s="2988">
        <f t="shared" si="23"/>
        <v>0</v>
      </c>
      <c r="W87" s="998"/>
      <c r="X87" s="2988">
        <f t="shared" si="24"/>
        <v>0</v>
      </c>
      <c r="Y87" s="2988">
        <f t="shared" si="25"/>
        <v>0</v>
      </c>
      <c r="Z87" s="998"/>
    </row>
    <row r="88" spans="1:26">
      <c r="A88" s="35"/>
      <c r="B88" s="20"/>
      <c r="C88" s="13">
        <f t="shared" si="14"/>
        <v>1</v>
      </c>
      <c r="D88" s="601"/>
      <c r="E88" s="13">
        <f t="shared" si="15"/>
        <v>1</v>
      </c>
      <c r="F88" s="601"/>
      <c r="G88" s="13">
        <f t="shared" si="16"/>
        <v>1</v>
      </c>
      <c r="H88" s="601"/>
      <c r="I88" s="13">
        <f t="shared" si="17"/>
        <v>1</v>
      </c>
      <c r="J88" s="601"/>
      <c r="K88" s="13">
        <f t="shared" si="18"/>
        <v>1</v>
      </c>
      <c r="L88" s="601"/>
      <c r="M88" s="13">
        <f t="shared" si="19"/>
        <v>1</v>
      </c>
      <c r="N88" s="601"/>
      <c r="O88" s="13">
        <f t="shared" si="20"/>
        <v>1</v>
      </c>
      <c r="P88" s="601"/>
      <c r="Q88" s="13">
        <f t="shared" si="21"/>
        <v>1</v>
      </c>
      <c r="R88" s="597">
        <f t="shared" si="26"/>
        <v>0</v>
      </c>
      <c r="S88" s="250">
        <f t="shared" si="27"/>
        <v>0</v>
      </c>
      <c r="T88" s="901">
        <f t="shared" si="28"/>
        <v>0</v>
      </c>
      <c r="U88" s="2988">
        <f t="shared" si="22"/>
        <v>0</v>
      </c>
      <c r="V88" s="2988">
        <f t="shared" si="23"/>
        <v>0</v>
      </c>
      <c r="W88" s="998"/>
      <c r="X88" s="2988">
        <f t="shared" si="24"/>
        <v>0</v>
      </c>
      <c r="Y88" s="2988">
        <f t="shared" si="25"/>
        <v>0</v>
      </c>
      <c r="Z88" s="998"/>
    </row>
    <row r="89" spans="1:26">
      <c r="A89" s="35"/>
      <c r="B89" s="20"/>
      <c r="C89" s="13">
        <f t="shared" si="14"/>
        <v>1</v>
      </c>
      <c r="D89" s="601"/>
      <c r="E89" s="13">
        <f t="shared" si="15"/>
        <v>1</v>
      </c>
      <c r="F89" s="601"/>
      <c r="G89" s="13">
        <f t="shared" si="16"/>
        <v>1</v>
      </c>
      <c r="H89" s="601"/>
      <c r="I89" s="13">
        <f t="shared" si="17"/>
        <v>1</v>
      </c>
      <c r="J89" s="601"/>
      <c r="K89" s="13">
        <f t="shared" si="18"/>
        <v>1</v>
      </c>
      <c r="L89" s="601"/>
      <c r="M89" s="13">
        <f t="shared" si="19"/>
        <v>1</v>
      </c>
      <c r="N89" s="601"/>
      <c r="O89" s="13">
        <f t="shared" si="20"/>
        <v>1</v>
      </c>
      <c r="P89" s="601"/>
      <c r="Q89" s="13">
        <f t="shared" si="21"/>
        <v>1</v>
      </c>
      <c r="R89" s="597">
        <f t="shared" si="26"/>
        <v>0</v>
      </c>
      <c r="S89" s="250">
        <f t="shared" si="27"/>
        <v>0</v>
      </c>
      <c r="T89" s="901">
        <f t="shared" si="28"/>
        <v>0</v>
      </c>
      <c r="U89" s="2988">
        <f t="shared" si="22"/>
        <v>0</v>
      </c>
      <c r="V89" s="2988">
        <f t="shared" si="23"/>
        <v>0</v>
      </c>
      <c r="W89" s="998"/>
      <c r="X89" s="2988">
        <f t="shared" si="24"/>
        <v>0</v>
      </c>
      <c r="Y89" s="2988">
        <f t="shared" si="25"/>
        <v>0</v>
      </c>
      <c r="Z89" s="998"/>
    </row>
    <row r="90" spans="1:26">
      <c r="A90" s="35"/>
      <c r="B90" s="20"/>
      <c r="C90" s="13">
        <f t="shared" si="14"/>
        <v>1</v>
      </c>
      <c r="D90" s="601"/>
      <c r="E90" s="13">
        <f t="shared" si="15"/>
        <v>1</v>
      </c>
      <c r="F90" s="601"/>
      <c r="G90" s="13">
        <f t="shared" si="16"/>
        <v>1</v>
      </c>
      <c r="H90" s="601"/>
      <c r="I90" s="13">
        <f t="shared" si="17"/>
        <v>1</v>
      </c>
      <c r="J90" s="601"/>
      <c r="K90" s="13">
        <f t="shared" si="18"/>
        <v>1</v>
      </c>
      <c r="L90" s="601"/>
      <c r="M90" s="13">
        <f t="shared" si="19"/>
        <v>1</v>
      </c>
      <c r="N90" s="601"/>
      <c r="O90" s="13">
        <f t="shared" si="20"/>
        <v>1</v>
      </c>
      <c r="P90" s="601"/>
      <c r="Q90" s="13">
        <f t="shared" si="21"/>
        <v>1</v>
      </c>
      <c r="R90" s="597">
        <f t="shared" si="26"/>
        <v>0</v>
      </c>
      <c r="S90" s="250">
        <f t="shared" si="27"/>
        <v>0</v>
      </c>
      <c r="T90" s="901">
        <f t="shared" si="28"/>
        <v>0</v>
      </c>
      <c r="U90" s="2988">
        <f t="shared" si="22"/>
        <v>0</v>
      </c>
      <c r="V90" s="2988">
        <f t="shared" si="23"/>
        <v>0</v>
      </c>
      <c r="W90" s="998"/>
      <c r="X90" s="2988">
        <f t="shared" si="24"/>
        <v>0</v>
      </c>
      <c r="Y90" s="2988">
        <f t="shared" si="25"/>
        <v>0</v>
      </c>
      <c r="Z90" s="998"/>
    </row>
    <row r="91" spans="1:26">
      <c r="A91" s="35"/>
      <c r="B91" s="20"/>
      <c r="C91" s="13">
        <f t="shared" si="14"/>
        <v>1</v>
      </c>
      <c r="D91" s="601"/>
      <c r="E91" s="13">
        <f t="shared" si="15"/>
        <v>1</v>
      </c>
      <c r="F91" s="601"/>
      <c r="G91" s="13">
        <f t="shared" si="16"/>
        <v>1</v>
      </c>
      <c r="H91" s="601"/>
      <c r="I91" s="13">
        <f t="shared" si="17"/>
        <v>1</v>
      </c>
      <c r="J91" s="601"/>
      <c r="K91" s="13">
        <f t="shared" si="18"/>
        <v>1</v>
      </c>
      <c r="L91" s="601"/>
      <c r="M91" s="13">
        <f t="shared" si="19"/>
        <v>1</v>
      </c>
      <c r="N91" s="601"/>
      <c r="O91" s="13">
        <f t="shared" si="20"/>
        <v>1</v>
      </c>
      <c r="P91" s="601"/>
      <c r="Q91" s="13">
        <f t="shared" si="21"/>
        <v>1</v>
      </c>
      <c r="R91" s="597">
        <f t="shared" si="26"/>
        <v>0</v>
      </c>
      <c r="S91" s="250">
        <f t="shared" si="27"/>
        <v>0</v>
      </c>
      <c r="T91" s="901">
        <f t="shared" si="28"/>
        <v>0</v>
      </c>
      <c r="U91" s="2988">
        <f t="shared" si="22"/>
        <v>0</v>
      </c>
      <c r="V91" s="2988">
        <f t="shared" si="23"/>
        <v>0</v>
      </c>
      <c r="W91" s="998"/>
      <c r="X91" s="2988">
        <f t="shared" si="24"/>
        <v>0</v>
      </c>
      <c r="Y91" s="2988">
        <f t="shared" si="25"/>
        <v>0</v>
      </c>
      <c r="Z91" s="998"/>
    </row>
    <row r="92" spans="1:26">
      <c r="A92" s="35"/>
      <c r="B92" s="20"/>
      <c r="C92" s="13">
        <f t="shared" ref="C92:C155" si="29">IF(B92="",1,(LOOKUP(B92,$6:$6,$7:$7)-LOOKUP($B$27,$6:$6,$7:$7)+100)/100)</f>
        <v>1</v>
      </c>
      <c r="D92" s="601"/>
      <c r="E92" s="13">
        <f t="shared" ref="E92:E155" si="30">(SUMIF($8:$8,D92,$9:$9)-SUMIF($8:$8,$D$27,$9:$9)+100)/100</f>
        <v>1</v>
      </c>
      <c r="F92" s="601"/>
      <c r="G92" s="13">
        <f t="shared" ref="G92:G155" si="31">(SUMIF($10:$10,F92,$11:$11)-SUMIF($10:$10,$F$27,$11:$11)+100)/100</f>
        <v>1</v>
      </c>
      <c r="H92" s="601"/>
      <c r="I92" s="13">
        <f t="shared" ref="I92:I155" si="32">(SUMIF($12:$12,H92,$13:$13)-SUMIF($12:$12,$H$27,$13:$13)+100)/100</f>
        <v>1</v>
      </c>
      <c r="J92" s="601"/>
      <c r="K92" s="13">
        <f t="shared" ref="K92:K155" si="33">(SUMIF($14:$14,J92,$15:$15)-SUMIF($14:$14,$J$27,$15:$15)+100)/100</f>
        <v>1</v>
      </c>
      <c r="L92" s="601"/>
      <c r="M92" s="13">
        <f t="shared" ref="M92:M155" si="34">(SUMIF($16:$16,L92,$17:$17)-SUMIF($16:$16,$L$27,$17:$17)+100)/100</f>
        <v>1</v>
      </c>
      <c r="N92" s="601"/>
      <c r="O92" s="13">
        <f t="shared" ref="O92:O155" si="35">(SUMIF($18:$18,N92,$19:$19)-SUMIF($18:$18,$N$27,$19:$19)+100)/100</f>
        <v>1</v>
      </c>
      <c r="P92" s="601"/>
      <c r="Q92" s="13">
        <f t="shared" ref="Q92:Q155" si="36">(SUMIF($20:$20,P92,$21:$21)-SUMIF($20:$20,$P$27,$21:$21)+100)/100</f>
        <v>1</v>
      </c>
      <c r="R92" s="597">
        <f t="shared" si="26"/>
        <v>0</v>
      </c>
      <c r="S92" s="250">
        <f t="shared" si="27"/>
        <v>0</v>
      </c>
      <c r="T92" s="901">
        <f t="shared" si="28"/>
        <v>0</v>
      </c>
      <c r="U92" s="2988">
        <f t="shared" ref="U92:U155" si="37">ROUND(W92*B92,0)</f>
        <v>0</v>
      </c>
      <c r="V92" s="2988">
        <f t="shared" ref="V92:V155" si="38">ROUND(W92*B92/10000,0)</f>
        <v>0</v>
      </c>
      <c r="W92" s="998"/>
      <c r="X92" s="2988">
        <f t="shared" ref="X92:X155" si="39">ROUND(Z92*B92,0)</f>
        <v>0</v>
      </c>
      <c r="Y92" s="2988">
        <f t="shared" ref="Y92:Y155" si="40">ROUND(Z92*B92/10000,0)</f>
        <v>0</v>
      </c>
      <c r="Z92" s="998"/>
    </row>
    <row r="93" spans="1:26">
      <c r="A93" s="35"/>
      <c r="B93" s="20"/>
      <c r="C93" s="13">
        <f t="shared" si="29"/>
        <v>1</v>
      </c>
      <c r="D93" s="601"/>
      <c r="E93" s="13">
        <f t="shared" si="30"/>
        <v>1</v>
      </c>
      <c r="F93" s="601"/>
      <c r="G93" s="13">
        <f t="shared" si="31"/>
        <v>1</v>
      </c>
      <c r="H93" s="601"/>
      <c r="I93" s="13">
        <f t="shared" si="32"/>
        <v>1</v>
      </c>
      <c r="J93" s="601"/>
      <c r="K93" s="13">
        <f t="shared" si="33"/>
        <v>1</v>
      </c>
      <c r="L93" s="601"/>
      <c r="M93" s="13">
        <f t="shared" si="34"/>
        <v>1</v>
      </c>
      <c r="N93" s="601"/>
      <c r="O93" s="13">
        <f t="shared" si="35"/>
        <v>1</v>
      </c>
      <c r="P93" s="601"/>
      <c r="Q93" s="13">
        <f t="shared" si="36"/>
        <v>1</v>
      </c>
      <c r="R93" s="597">
        <f t="shared" ref="R93:R156" si="41">IF(B93="",0,ROUND($R$27*C93*E93*G93*I93*K93*M93*O93*Q93,0))</f>
        <v>0</v>
      </c>
      <c r="S93" s="250">
        <f t="shared" ref="S93:S156" si="42">ROUND(R93*B93,0)</f>
        <v>0</v>
      </c>
      <c r="T93" s="901">
        <f t="shared" ref="T93:T156" si="43">ROUND(R93*B93/10000,0)</f>
        <v>0</v>
      </c>
      <c r="U93" s="2988">
        <f t="shared" si="37"/>
        <v>0</v>
      </c>
      <c r="V93" s="2988">
        <f t="shared" si="38"/>
        <v>0</v>
      </c>
      <c r="W93" s="998"/>
      <c r="X93" s="2988">
        <f t="shared" si="39"/>
        <v>0</v>
      </c>
      <c r="Y93" s="2988">
        <f t="shared" si="40"/>
        <v>0</v>
      </c>
      <c r="Z93" s="998"/>
    </row>
    <row r="94" spans="1:26">
      <c r="A94" s="35"/>
      <c r="B94" s="20"/>
      <c r="C94" s="13">
        <f t="shared" si="29"/>
        <v>1</v>
      </c>
      <c r="D94" s="601"/>
      <c r="E94" s="13">
        <f t="shared" si="30"/>
        <v>1</v>
      </c>
      <c r="F94" s="601"/>
      <c r="G94" s="13">
        <f t="shared" si="31"/>
        <v>1</v>
      </c>
      <c r="H94" s="601"/>
      <c r="I94" s="13">
        <f t="shared" si="32"/>
        <v>1</v>
      </c>
      <c r="J94" s="601"/>
      <c r="K94" s="13">
        <f t="shared" si="33"/>
        <v>1</v>
      </c>
      <c r="L94" s="601"/>
      <c r="M94" s="13">
        <f t="shared" si="34"/>
        <v>1</v>
      </c>
      <c r="N94" s="601"/>
      <c r="O94" s="13">
        <f t="shared" si="35"/>
        <v>1</v>
      </c>
      <c r="P94" s="601"/>
      <c r="Q94" s="13">
        <f t="shared" si="36"/>
        <v>1</v>
      </c>
      <c r="R94" s="597">
        <f t="shared" si="41"/>
        <v>0</v>
      </c>
      <c r="S94" s="250">
        <f t="shared" si="42"/>
        <v>0</v>
      </c>
      <c r="T94" s="901">
        <f t="shared" si="43"/>
        <v>0</v>
      </c>
      <c r="U94" s="2988">
        <f t="shared" si="37"/>
        <v>0</v>
      </c>
      <c r="V94" s="2988">
        <f t="shared" si="38"/>
        <v>0</v>
      </c>
      <c r="W94" s="998"/>
      <c r="X94" s="2988">
        <f t="shared" si="39"/>
        <v>0</v>
      </c>
      <c r="Y94" s="2988">
        <f t="shared" si="40"/>
        <v>0</v>
      </c>
      <c r="Z94" s="998"/>
    </row>
    <row r="95" spans="1:26">
      <c r="A95" s="35"/>
      <c r="B95" s="20"/>
      <c r="C95" s="13">
        <f t="shared" si="29"/>
        <v>1</v>
      </c>
      <c r="D95" s="601"/>
      <c r="E95" s="13">
        <f t="shared" si="30"/>
        <v>1</v>
      </c>
      <c r="F95" s="601"/>
      <c r="G95" s="13">
        <f t="shared" si="31"/>
        <v>1</v>
      </c>
      <c r="H95" s="601"/>
      <c r="I95" s="13">
        <f t="shared" si="32"/>
        <v>1</v>
      </c>
      <c r="J95" s="601"/>
      <c r="K95" s="13">
        <f t="shared" si="33"/>
        <v>1</v>
      </c>
      <c r="L95" s="601"/>
      <c r="M95" s="13">
        <f t="shared" si="34"/>
        <v>1</v>
      </c>
      <c r="N95" s="601"/>
      <c r="O95" s="13">
        <f t="shared" si="35"/>
        <v>1</v>
      </c>
      <c r="P95" s="601"/>
      <c r="Q95" s="13">
        <f t="shared" si="36"/>
        <v>1</v>
      </c>
      <c r="R95" s="597">
        <f t="shared" si="41"/>
        <v>0</v>
      </c>
      <c r="S95" s="250">
        <f t="shared" si="42"/>
        <v>0</v>
      </c>
      <c r="T95" s="901">
        <f t="shared" si="43"/>
        <v>0</v>
      </c>
      <c r="U95" s="2988">
        <f t="shared" si="37"/>
        <v>0</v>
      </c>
      <c r="V95" s="2988">
        <f t="shared" si="38"/>
        <v>0</v>
      </c>
      <c r="W95" s="998"/>
      <c r="X95" s="2988">
        <f t="shared" si="39"/>
        <v>0</v>
      </c>
      <c r="Y95" s="2988">
        <f t="shared" si="40"/>
        <v>0</v>
      </c>
      <c r="Z95" s="998"/>
    </row>
    <row r="96" spans="1:26">
      <c r="A96" s="35"/>
      <c r="B96" s="20"/>
      <c r="C96" s="13">
        <f t="shared" si="29"/>
        <v>1</v>
      </c>
      <c r="D96" s="601"/>
      <c r="E96" s="13">
        <f t="shared" si="30"/>
        <v>1</v>
      </c>
      <c r="F96" s="601"/>
      <c r="G96" s="13">
        <f t="shared" si="31"/>
        <v>1</v>
      </c>
      <c r="H96" s="601"/>
      <c r="I96" s="13">
        <f t="shared" si="32"/>
        <v>1</v>
      </c>
      <c r="J96" s="601"/>
      <c r="K96" s="13">
        <f t="shared" si="33"/>
        <v>1</v>
      </c>
      <c r="L96" s="601"/>
      <c r="M96" s="13">
        <f t="shared" si="34"/>
        <v>1</v>
      </c>
      <c r="N96" s="601"/>
      <c r="O96" s="13">
        <f t="shared" si="35"/>
        <v>1</v>
      </c>
      <c r="P96" s="601"/>
      <c r="Q96" s="13">
        <f t="shared" si="36"/>
        <v>1</v>
      </c>
      <c r="R96" s="597">
        <f t="shared" si="41"/>
        <v>0</v>
      </c>
      <c r="S96" s="250">
        <f t="shared" si="42"/>
        <v>0</v>
      </c>
      <c r="T96" s="901">
        <f t="shared" si="43"/>
        <v>0</v>
      </c>
      <c r="U96" s="2988">
        <f t="shared" si="37"/>
        <v>0</v>
      </c>
      <c r="V96" s="2988">
        <f t="shared" si="38"/>
        <v>0</v>
      </c>
      <c r="W96" s="998"/>
      <c r="X96" s="2988">
        <f t="shared" si="39"/>
        <v>0</v>
      </c>
      <c r="Y96" s="2988">
        <f t="shared" si="40"/>
        <v>0</v>
      </c>
      <c r="Z96" s="998"/>
    </row>
    <row r="97" spans="1:26">
      <c r="A97" s="35"/>
      <c r="B97" s="20"/>
      <c r="C97" s="13">
        <f t="shared" si="29"/>
        <v>1</v>
      </c>
      <c r="D97" s="601"/>
      <c r="E97" s="13">
        <f t="shared" si="30"/>
        <v>1</v>
      </c>
      <c r="F97" s="601"/>
      <c r="G97" s="13">
        <f t="shared" si="31"/>
        <v>1</v>
      </c>
      <c r="H97" s="601"/>
      <c r="I97" s="13">
        <f t="shared" si="32"/>
        <v>1</v>
      </c>
      <c r="J97" s="601"/>
      <c r="K97" s="13">
        <f t="shared" si="33"/>
        <v>1</v>
      </c>
      <c r="L97" s="601"/>
      <c r="M97" s="13">
        <f t="shared" si="34"/>
        <v>1</v>
      </c>
      <c r="N97" s="601"/>
      <c r="O97" s="13">
        <f t="shared" si="35"/>
        <v>1</v>
      </c>
      <c r="P97" s="601"/>
      <c r="Q97" s="13">
        <f t="shared" si="36"/>
        <v>1</v>
      </c>
      <c r="R97" s="597">
        <f t="shared" si="41"/>
        <v>0</v>
      </c>
      <c r="S97" s="250">
        <f t="shared" si="42"/>
        <v>0</v>
      </c>
      <c r="T97" s="901">
        <f t="shared" si="43"/>
        <v>0</v>
      </c>
      <c r="U97" s="2988">
        <f t="shared" si="37"/>
        <v>0</v>
      </c>
      <c r="V97" s="2988">
        <f t="shared" si="38"/>
        <v>0</v>
      </c>
      <c r="W97" s="998"/>
      <c r="X97" s="2988">
        <f t="shared" si="39"/>
        <v>0</v>
      </c>
      <c r="Y97" s="2988">
        <f t="shared" si="40"/>
        <v>0</v>
      </c>
      <c r="Z97" s="998"/>
    </row>
    <row r="98" spans="1:26">
      <c r="A98" s="35"/>
      <c r="B98" s="20"/>
      <c r="C98" s="13">
        <f t="shared" si="29"/>
        <v>1</v>
      </c>
      <c r="D98" s="601"/>
      <c r="E98" s="13">
        <f t="shared" si="30"/>
        <v>1</v>
      </c>
      <c r="F98" s="601"/>
      <c r="G98" s="13">
        <f t="shared" si="31"/>
        <v>1</v>
      </c>
      <c r="H98" s="601"/>
      <c r="I98" s="13">
        <f t="shared" si="32"/>
        <v>1</v>
      </c>
      <c r="J98" s="601"/>
      <c r="K98" s="13">
        <f t="shared" si="33"/>
        <v>1</v>
      </c>
      <c r="L98" s="601"/>
      <c r="M98" s="13">
        <f t="shared" si="34"/>
        <v>1</v>
      </c>
      <c r="N98" s="601"/>
      <c r="O98" s="13">
        <f t="shared" si="35"/>
        <v>1</v>
      </c>
      <c r="P98" s="601"/>
      <c r="Q98" s="13">
        <f t="shared" si="36"/>
        <v>1</v>
      </c>
      <c r="R98" s="597">
        <f t="shared" si="41"/>
        <v>0</v>
      </c>
      <c r="S98" s="250">
        <f t="shared" si="42"/>
        <v>0</v>
      </c>
      <c r="T98" s="901">
        <f t="shared" si="43"/>
        <v>0</v>
      </c>
      <c r="U98" s="2988">
        <f t="shared" si="37"/>
        <v>0</v>
      </c>
      <c r="V98" s="2988">
        <f t="shared" si="38"/>
        <v>0</v>
      </c>
      <c r="W98" s="998"/>
      <c r="X98" s="2988">
        <f t="shared" si="39"/>
        <v>0</v>
      </c>
      <c r="Y98" s="2988">
        <f t="shared" si="40"/>
        <v>0</v>
      </c>
      <c r="Z98" s="998"/>
    </row>
    <row r="99" spans="1:26">
      <c r="A99" s="35"/>
      <c r="B99" s="20"/>
      <c r="C99" s="13">
        <f t="shared" si="29"/>
        <v>1</v>
      </c>
      <c r="D99" s="601"/>
      <c r="E99" s="13">
        <f t="shared" si="30"/>
        <v>1</v>
      </c>
      <c r="F99" s="601"/>
      <c r="G99" s="13">
        <f t="shared" si="31"/>
        <v>1</v>
      </c>
      <c r="H99" s="601"/>
      <c r="I99" s="13">
        <f t="shared" si="32"/>
        <v>1</v>
      </c>
      <c r="J99" s="601"/>
      <c r="K99" s="13">
        <f t="shared" si="33"/>
        <v>1</v>
      </c>
      <c r="L99" s="601"/>
      <c r="M99" s="13">
        <f t="shared" si="34"/>
        <v>1</v>
      </c>
      <c r="N99" s="601"/>
      <c r="O99" s="13">
        <f t="shared" si="35"/>
        <v>1</v>
      </c>
      <c r="P99" s="601"/>
      <c r="Q99" s="13">
        <f t="shared" si="36"/>
        <v>1</v>
      </c>
      <c r="R99" s="597">
        <f t="shared" si="41"/>
        <v>0</v>
      </c>
      <c r="S99" s="250">
        <f t="shared" si="42"/>
        <v>0</v>
      </c>
      <c r="T99" s="901">
        <f t="shared" si="43"/>
        <v>0</v>
      </c>
      <c r="U99" s="2988">
        <f t="shared" si="37"/>
        <v>0</v>
      </c>
      <c r="V99" s="2988">
        <f t="shared" si="38"/>
        <v>0</v>
      </c>
      <c r="W99" s="998"/>
      <c r="X99" s="2988">
        <f t="shared" si="39"/>
        <v>0</v>
      </c>
      <c r="Y99" s="2988">
        <f t="shared" si="40"/>
        <v>0</v>
      </c>
      <c r="Z99" s="998"/>
    </row>
    <row r="100" spans="1:26">
      <c r="A100" s="35"/>
      <c r="B100" s="20"/>
      <c r="C100" s="13">
        <f t="shared" si="29"/>
        <v>1</v>
      </c>
      <c r="D100" s="601"/>
      <c r="E100" s="13">
        <f t="shared" si="30"/>
        <v>1</v>
      </c>
      <c r="F100" s="601"/>
      <c r="G100" s="13">
        <f t="shared" si="31"/>
        <v>1</v>
      </c>
      <c r="H100" s="601"/>
      <c r="I100" s="13">
        <f t="shared" si="32"/>
        <v>1</v>
      </c>
      <c r="J100" s="601"/>
      <c r="K100" s="13">
        <f t="shared" si="33"/>
        <v>1</v>
      </c>
      <c r="L100" s="601"/>
      <c r="M100" s="13">
        <f t="shared" si="34"/>
        <v>1</v>
      </c>
      <c r="N100" s="601"/>
      <c r="O100" s="13">
        <f t="shared" si="35"/>
        <v>1</v>
      </c>
      <c r="P100" s="601"/>
      <c r="Q100" s="13">
        <f t="shared" si="36"/>
        <v>1</v>
      </c>
      <c r="R100" s="597">
        <f t="shared" si="41"/>
        <v>0</v>
      </c>
      <c r="S100" s="250">
        <f t="shared" si="42"/>
        <v>0</v>
      </c>
      <c r="T100" s="901">
        <f t="shared" si="43"/>
        <v>0</v>
      </c>
      <c r="U100" s="2988">
        <f t="shared" si="37"/>
        <v>0</v>
      </c>
      <c r="V100" s="2988">
        <f t="shared" si="38"/>
        <v>0</v>
      </c>
      <c r="W100" s="998"/>
      <c r="X100" s="2988">
        <f t="shared" si="39"/>
        <v>0</v>
      </c>
      <c r="Y100" s="2988">
        <f t="shared" si="40"/>
        <v>0</v>
      </c>
      <c r="Z100" s="998"/>
    </row>
    <row r="101" spans="1:26">
      <c r="A101" s="35"/>
      <c r="B101" s="20"/>
      <c r="C101" s="13">
        <f t="shared" si="29"/>
        <v>1</v>
      </c>
      <c r="D101" s="601"/>
      <c r="E101" s="13">
        <f t="shared" si="30"/>
        <v>1</v>
      </c>
      <c r="F101" s="601"/>
      <c r="G101" s="13">
        <f t="shared" si="31"/>
        <v>1</v>
      </c>
      <c r="H101" s="601"/>
      <c r="I101" s="13">
        <f t="shared" si="32"/>
        <v>1</v>
      </c>
      <c r="J101" s="601"/>
      <c r="K101" s="13">
        <f t="shared" si="33"/>
        <v>1</v>
      </c>
      <c r="L101" s="601"/>
      <c r="M101" s="13">
        <f t="shared" si="34"/>
        <v>1</v>
      </c>
      <c r="N101" s="601"/>
      <c r="O101" s="13">
        <f t="shared" si="35"/>
        <v>1</v>
      </c>
      <c r="P101" s="601"/>
      <c r="Q101" s="13">
        <f t="shared" si="36"/>
        <v>1</v>
      </c>
      <c r="R101" s="597">
        <f t="shared" si="41"/>
        <v>0</v>
      </c>
      <c r="S101" s="250">
        <f t="shared" si="42"/>
        <v>0</v>
      </c>
      <c r="T101" s="901">
        <f t="shared" si="43"/>
        <v>0</v>
      </c>
      <c r="U101" s="2988">
        <f t="shared" si="37"/>
        <v>0</v>
      </c>
      <c r="V101" s="2988">
        <f t="shared" si="38"/>
        <v>0</v>
      </c>
      <c r="W101" s="998"/>
      <c r="X101" s="2988">
        <f t="shared" si="39"/>
        <v>0</v>
      </c>
      <c r="Y101" s="2988">
        <f t="shared" si="40"/>
        <v>0</v>
      </c>
      <c r="Z101" s="998"/>
    </row>
    <row r="102" spans="1:26">
      <c r="A102" s="35"/>
      <c r="B102" s="20"/>
      <c r="C102" s="13">
        <f t="shared" si="29"/>
        <v>1</v>
      </c>
      <c r="D102" s="601"/>
      <c r="E102" s="13">
        <f t="shared" si="30"/>
        <v>1</v>
      </c>
      <c r="F102" s="601"/>
      <c r="G102" s="13">
        <f t="shared" si="31"/>
        <v>1</v>
      </c>
      <c r="H102" s="601"/>
      <c r="I102" s="13">
        <f t="shared" si="32"/>
        <v>1</v>
      </c>
      <c r="J102" s="601"/>
      <c r="K102" s="13">
        <f t="shared" si="33"/>
        <v>1</v>
      </c>
      <c r="L102" s="601"/>
      <c r="M102" s="13">
        <f t="shared" si="34"/>
        <v>1</v>
      </c>
      <c r="N102" s="601"/>
      <c r="O102" s="13">
        <f t="shared" si="35"/>
        <v>1</v>
      </c>
      <c r="P102" s="601"/>
      <c r="Q102" s="13">
        <f t="shared" si="36"/>
        <v>1</v>
      </c>
      <c r="R102" s="597">
        <f t="shared" si="41"/>
        <v>0</v>
      </c>
      <c r="S102" s="250">
        <f t="shared" si="42"/>
        <v>0</v>
      </c>
      <c r="T102" s="901">
        <f t="shared" si="43"/>
        <v>0</v>
      </c>
      <c r="U102" s="2988">
        <f t="shared" si="37"/>
        <v>0</v>
      </c>
      <c r="V102" s="2988">
        <f t="shared" si="38"/>
        <v>0</v>
      </c>
      <c r="W102" s="998"/>
      <c r="X102" s="2988">
        <f t="shared" si="39"/>
        <v>0</v>
      </c>
      <c r="Y102" s="2988">
        <f t="shared" si="40"/>
        <v>0</v>
      </c>
      <c r="Z102" s="998"/>
    </row>
    <row r="103" spans="1:26">
      <c r="A103" s="35"/>
      <c r="B103" s="20"/>
      <c r="C103" s="13">
        <f t="shared" si="29"/>
        <v>1</v>
      </c>
      <c r="D103" s="601"/>
      <c r="E103" s="13">
        <f t="shared" si="30"/>
        <v>1</v>
      </c>
      <c r="F103" s="601"/>
      <c r="G103" s="13">
        <f t="shared" si="31"/>
        <v>1</v>
      </c>
      <c r="H103" s="601"/>
      <c r="I103" s="13">
        <f t="shared" si="32"/>
        <v>1</v>
      </c>
      <c r="J103" s="601"/>
      <c r="K103" s="13">
        <f t="shared" si="33"/>
        <v>1</v>
      </c>
      <c r="L103" s="601"/>
      <c r="M103" s="13">
        <f t="shared" si="34"/>
        <v>1</v>
      </c>
      <c r="N103" s="601"/>
      <c r="O103" s="13">
        <f t="shared" si="35"/>
        <v>1</v>
      </c>
      <c r="P103" s="601"/>
      <c r="Q103" s="13">
        <f t="shared" si="36"/>
        <v>1</v>
      </c>
      <c r="R103" s="597">
        <f t="shared" si="41"/>
        <v>0</v>
      </c>
      <c r="S103" s="250">
        <f t="shared" si="42"/>
        <v>0</v>
      </c>
      <c r="T103" s="901">
        <f t="shared" si="43"/>
        <v>0</v>
      </c>
      <c r="U103" s="2988">
        <f t="shared" si="37"/>
        <v>0</v>
      </c>
      <c r="V103" s="2988">
        <f t="shared" si="38"/>
        <v>0</v>
      </c>
      <c r="W103" s="998"/>
      <c r="X103" s="2988">
        <f t="shared" si="39"/>
        <v>0</v>
      </c>
      <c r="Y103" s="2988">
        <f t="shared" si="40"/>
        <v>0</v>
      </c>
      <c r="Z103" s="998"/>
    </row>
    <row r="104" spans="1:26">
      <c r="A104" s="35"/>
      <c r="B104" s="20"/>
      <c r="C104" s="13">
        <f t="shared" si="29"/>
        <v>1</v>
      </c>
      <c r="D104" s="601"/>
      <c r="E104" s="13">
        <f t="shared" si="30"/>
        <v>1</v>
      </c>
      <c r="F104" s="601"/>
      <c r="G104" s="13">
        <f t="shared" si="31"/>
        <v>1</v>
      </c>
      <c r="H104" s="601"/>
      <c r="I104" s="13">
        <f t="shared" si="32"/>
        <v>1</v>
      </c>
      <c r="J104" s="601"/>
      <c r="K104" s="13">
        <f t="shared" si="33"/>
        <v>1</v>
      </c>
      <c r="L104" s="601"/>
      <c r="M104" s="13">
        <f t="shared" si="34"/>
        <v>1</v>
      </c>
      <c r="N104" s="601"/>
      <c r="O104" s="13">
        <f t="shared" si="35"/>
        <v>1</v>
      </c>
      <c r="P104" s="601"/>
      <c r="Q104" s="13">
        <f t="shared" si="36"/>
        <v>1</v>
      </c>
      <c r="R104" s="597">
        <f t="shared" si="41"/>
        <v>0</v>
      </c>
      <c r="S104" s="250">
        <f t="shared" si="42"/>
        <v>0</v>
      </c>
      <c r="T104" s="901">
        <f t="shared" si="43"/>
        <v>0</v>
      </c>
      <c r="U104" s="2988">
        <f t="shared" si="37"/>
        <v>0</v>
      </c>
      <c r="V104" s="2988">
        <f t="shared" si="38"/>
        <v>0</v>
      </c>
      <c r="W104" s="998"/>
      <c r="X104" s="2988">
        <f t="shared" si="39"/>
        <v>0</v>
      </c>
      <c r="Y104" s="2988">
        <f t="shared" si="40"/>
        <v>0</v>
      </c>
      <c r="Z104" s="998"/>
    </row>
    <row r="105" spans="1:26">
      <c r="A105" s="35"/>
      <c r="B105" s="20"/>
      <c r="C105" s="13">
        <f t="shared" si="29"/>
        <v>1</v>
      </c>
      <c r="D105" s="601"/>
      <c r="E105" s="13">
        <f t="shared" si="30"/>
        <v>1</v>
      </c>
      <c r="F105" s="601"/>
      <c r="G105" s="13">
        <f t="shared" si="31"/>
        <v>1</v>
      </c>
      <c r="H105" s="601"/>
      <c r="I105" s="13">
        <f t="shared" si="32"/>
        <v>1</v>
      </c>
      <c r="J105" s="601"/>
      <c r="K105" s="13">
        <f t="shared" si="33"/>
        <v>1</v>
      </c>
      <c r="L105" s="601"/>
      <c r="M105" s="13">
        <f t="shared" si="34"/>
        <v>1</v>
      </c>
      <c r="N105" s="601"/>
      <c r="O105" s="13">
        <f t="shared" si="35"/>
        <v>1</v>
      </c>
      <c r="P105" s="601"/>
      <c r="Q105" s="13">
        <f t="shared" si="36"/>
        <v>1</v>
      </c>
      <c r="R105" s="597">
        <f t="shared" si="41"/>
        <v>0</v>
      </c>
      <c r="S105" s="250">
        <f t="shared" si="42"/>
        <v>0</v>
      </c>
      <c r="T105" s="901">
        <f t="shared" si="43"/>
        <v>0</v>
      </c>
      <c r="U105" s="2988">
        <f t="shared" si="37"/>
        <v>0</v>
      </c>
      <c r="V105" s="2988">
        <f t="shared" si="38"/>
        <v>0</v>
      </c>
      <c r="W105" s="998"/>
      <c r="X105" s="2988">
        <f t="shared" si="39"/>
        <v>0</v>
      </c>
      <c r="Y105" s="2988">
        <f t="shared" si="40"/>
        <v>0</v>
      </c>
      <c r="Z105" s="998"/>
    </row>
    <row r="106" spans="1:26">
      <c r="A106" s="35"/>
      <c r="B106" s="20"/>
      <c r="C106" s="13">
        <f t="shared" si="29"/>
        <v>1</v>
      </c>
      <c r="D106" s="601"/>
      <c r="E106" s="13">
        <f t="shared" si="30"/>
        <v>1</v>
      </c>
      <c r="F106" s="601"/>
      <c r="G106" s="13">
        <f t="shared" si="31"/>
        <v>1</v>
      </c>
      <c r="H106" s="601"/>
      <c r="I106" s="13">
        <f t="shared" si="32"/>
        <v>1</v>
      </c>
      <c r="J106" s="601"/>
      <c r="K106" s="13">
        <f t="shared" si="33"/>
        <v>1</v>
      </c>
      <c r="L106" s="601"/>
      <c r="M106" s="13">
        <f t="shared" si="34"/>
        <v>1</v>
      </c>
      <c r="N106" s="601"/>
      <c r="O106" s="13">
        <f t="shared" si="35"/>
        <v>1</v>
      </c>
      <c r="P106" s="601"/>
      <c r="Q106" s="13">
        <f t="shared" si="36"/>
        <v>1</v>
      </c>
      <c r="R106" s="597">
        <f t="shared" si="41"/>
        <v>0</v>
      </c>
      <c r="S106" s="250">
        <f t="shared" si="42"/>
        <v>0</v>
      </c>
      <c r="T106" s="901">
        <f t="shared" si="43"/>
        <v>0</v>
      </c>
      <c r="U106" s="2988">
        <f t="shared" si="37"/>
        <v>0</v>
      </c>
      <c r="V106" s="2988">
        <f t="shared" si="38"/>
        <v>0</v>
      </c>
      <c r="W106" s="998"/>
      <c r="X106" s="2988">
        <f t="shared" si="39"/>
        <v>0</v>
      </c>
      <c r="Y106" s="2988">
        <f t="shared" si="40"/>
        <v>0</v>
      </c>
      <c r="Z106" s="998"/>
    </row>
    <row r="107" spans="1:26">
      <c r="A107" s="35"/>
      <c r="B107" s="20"/>
      <c r="C107" s="13">
        <f t="shared" si="29"/>
        <v>1</v>
      </c>
      <c r="D107" s="601"/>
      <c r="E107" s="13">
        <f t="shared" si="30"/>
        <v>1</v>
      </c>
      <c r="F107" s="601"/>
      <c r="G107" s="13">
        <f t="shared" si="31"/>
        <v>1</v>
      </c>
      <c r="H107" s="601"/>
      <c r="I107" s="13">
        <f t="shared" si="32"/>
        <v>1</v>
      </c>
      <c r="J107" s="601"/>
      <c r="K107" s="13">
        <f t="shared" si="33"/>
        <v>1</v>
      </c>
      <c r="L107" s="601"/>
      <c r="M107" s="13">
        <f t="shared" si="34"/>
        <v>1</v>
      </c>
      <c r="N107" s="601"/>
      <c r="O107" s="13">
        <f t="shared" si="35"/>
        <v>1</v>
      </c>
      <c r="P107" s="601"/>
      <c r="Q107" s="13">
        <f t="shared" si="36"/>
        <v>1</v>
      </c>
      <c r="R107" s="597">
        <f t="shared" si="41"/>
        <v>0</v>
      </c>
      <c r="S107" s="250">
        <f t="shared" si="42"/>
        <v>0</v>
      </c>
      <c r="T107" s="901">
        <f t="shared" si="43"/>
        <v>0</v>
      </c>
      <c r="U107" s="2988">
        <f t="shared" si="37"/>
        <v>0</v>
      </c>
      <c r="V107" s="2988">
        <f t="shared" si="38"/>
        <v>0</v>
      </c>
      <c r="W107" s="998"/>
      <c r="X107" s="2988">
        <f t="shared" si="39"/>
        <v>0</v>
      </c>
      <c r="Y107" s="2988">
        <f t="shared" si="40"/>
        <v>0</v>
      </c>
      <c r="Z107" s="998"/>
    </row>
    <row r="108" spans="1:26">
      <c r="A108" s="35"/>
      <c r="B108" s="20"/>
      <c r="C108" s="13">
        <f t="shared" si="29"/>
        <v>1</v>
      </c>
      <c r="D108" s="601"/>
      <c r="E108" s="13">
        <f t="shared" si="30"/>
        <v>1</v>
      </c>
      <c r="F108" s="601"/>
      <c r="G108" s="13">
        <f t="shared" si="31"/>
        <v>1</v>
      </c>
      <c r="H108" s="601"/>
      <c r="I108" s="13">
        <f t="shared" si="32"/>
        <v>1</v>
      </c>
      <c r="J108" s="601"/>
      <c r="K108" s="13">
        <f t="shared" si="33"/>
        <v>1</v>
      </c>
      <c r="L108" s="601"/>
      <c r="M108" s="13">
        <f t="shared" si="34"/>
        <v>1</v>
      </c>
      <c r="N108" s="601"/>
      <c r="O108" s="13">
        <f t="shared" si="35"/>
        <v>1</v>
      </c>
      <c r="P108" s="601"/>
      <c r="Q108" s="13">
        <f t="shared" si="36"/>
        <v>1</v>
      </c>
      <c r="R108" s="597">
        <f t="shared" si="41"/>
        <v>0</v>
      </c>
      <c r="S108" s="250">
        <f t="shared" si="42"/>
        <v>0</v>
      </c>
      <c r="T108" s="901">
        <f t="shared" si="43"/>
        <v>0</v>
      </c>
      <c r="U108" s="2988">
        <f t="shared" si="37"/>
        <v>0</v>
      </c>
      <c r="V108" s="2988">
        <f t="shared" si="38"/>
        <v>0</v>
      </c>
      <c r="W108" s="998"/>
      <c r="X108" s="2988">
        <f t="shared" si="39"/>
        <v>0</v>
      </c>
      <c r="Y108" s="2988">
        <f t="shared" si="40"/>
        <v>0</v>
      </c>
      <c r="Z108" s="998"/>
    </row>
    <row r="109" spans="1:26">
      <c r="A109" s="35"/>
      <c r="B109" s="20"/>
      <c r="C109" s="13">
        <f t="shared" si="29"/>
        <v>1</v>
      </c>
      <c r="D109" s="601"/>
      <c r="E109" s="13">
        <f t="shared" si="30"/>
        <v>1</v>
      </c>
      <c r="F109" s="601"/>
      <c r="G109" s="13">
        <f t="shared" si="31"/>
        <v>1</v>
      </c>
      <c r="H109" s="601"/>
      <c r="I109" s="13">
        <f t="shared" si="32"/>
        <v>1</v>
      </c>
      <c r="J109" s="601"/>
      <c r="K109" s="13">
        <f t="shared" si="33"/>
        <v>1</v>
      </c>
      <c r="L109" s="601"/>
      <c r="M109" s="13">
        <f t="shared" si="34"/>
        <v>1</v>
      </c>
      <c r="N109" s="601"/>
      <c r="O109" s="13">
        <f t="shared" si="35"/>
        <v>1</v>
      </c>
      <c r="P109" s="601"/>
      <c r="Q109" s="13">
        <f t="shared" si="36"/>
        <v>1</v>
      </c>
      <c r="R109" s="597">
        <f t="shared" si="41"/>
        <v>0</v>
      </c>
      <c r="S109" s="250">
        <f t="shared" si="42"/>
        <v>0</v>
      </c>
      <c r="T109" s="901">
        <f t="shared" si="43"/>
        <v>0</v>
      </c>
      <c r="U109" s="2988">
        <f t="shared" si="37"/>
        <v>0</v>
      </c>
      <c r="V109" s="2988">
        <f t="shared" si="38"/>
        <v>0</v>
      </c>
      <c r="W109" s="998"/>
      <c r="X109" s="2988">
        <f t="shared" si="39"/>
        <v>0</v>
      </c>
      <c r="Y109" s="2988">
        <f t="shared" si="40"/>
        <v>0</v>
      </c>
      <c r="Z109" s="998"/>
    </row>
    <row r="110" spans="1:26">
      <c r="A110" s="35"/>
      <c r="B110" s="20"/>
      <c r="C110" s="13">
        <f t="shared" si="29"/>
        <v>1</v>
      </c>
      <c r="D110" s="601"/>
      <c r="E110" s="13">
        <f t="shared" si="30"/>
        <v>1</v>
      </c>
      <c r="F110" s="601"/>
      <c r="G110" s="13">
        <f t="shared" si="31"/>
        <v>1</v>
      </c>
      <c r="H110" s="601"/>
      <c r="I110" s="13">
        <f t="shared" si="32"/>
        <v>1</v>
      </c>
      <c r="J110" s="601"/>
      <c r="K110" s="13">
        <f t="shared" si="33"/>
        <v>1</v>
      </c>
      <c r="L110" s="601"/>
      <c r="M110" s="13">
        <f t="shared" si="34"/>
        <v>1</v>
      </c>
      <c r="N110" s="601"/>
      <c r="O110" s="13">
        <f t="shared" si="35"/>
        <v>1</v>
      </c>
      <c r="P110" s="601"/>
      <c r="Q110" s="13">
        <f t="shared" si="36"/>
        <v>1</v>
      </c>
      <c r="R110" s="597">
        <f t="shared" si="41"/>
        <v>0</v>
      </c>
      <c r="S110" s="250">
        <f t="shared" si="42"/>
        <v>0</v>
      </c>
      <c r="T110" s="901">
        <f t="shared" si="43"/>
        <v>0</v>
      </c>
      <c r="U110" s="2988">
        <f t="shared" si="37"/>
        <v>0</v>
      </c>
      <c r="V110" s="2988">
        <f t="shared" si="38"/>
        <v>0</v>
      </c>
      <c r="W110" s="998"/>
      <c r="X110" s="2988">
        <f t="shared" si="39"/>
        <v>0</v>
      </c>
      <c r="Y110" s="2988">
        <f t="shared" si="40"/>
        <v>0</v>
      </c>
      <c r="Z110" s="998"/>
    </row>
    <row r="111" spans="1:26">
      <c r="A111" s="35"/>
      <c r="B111" s="20"/>
      <c r="C111" s="13">
        <f t="shared" si="29"/>
        <v>1</v>
      </c>
      <c r="D111" s="601"/>
      <c r="E111" s="13">
        <f t="shared" si="30"/>
        <v>1</v>
      </c>
      <c r="F111" s="601"/>
      <c r="G111" s="13">
        <f t="shared" si="31"/>
        <v>1</v>
      </c>
      <c r="H111" s="601"/>
      <c r="I111" s="13">
        <f t="shared" si="32"/>
        <v>1</v>
      </c>
      <c r="J111" s="601"/>
      <c r="K111" s="13">
        <f t="shared" si="33"/>
        <v>1</v>
      </c>
      <c r="L111" s="601"/>
      <c r="M111" s="13">
        <f t="shared" si="34"/>
        <v>1</v>
      </c>
      <c r="N111" s="601"/>
      <c r="O111" s="13">
        <f t="shared" si="35"/>
        <v>1</v>
      </c>
      <c r="P111" s="601"/>
      <c r="Q111" s="13">
        <f t="shared" si="36"/>
        <v>1</v>
      </c>
      <c r="R111" s="597">
        <f t="shared" si="41"/>
        <v>0</v>
      </c>
      <c r="S111" s="250">
        <f t="shared" si="42"/>
        <v>0</v>
      </c>
      <c r="T111" s="901">
        <f t="shared" si="43"/>
        <v>0</v>
      </c>
      <c r="U111" s="2988">
        <f t="shared" si="37"/>
        <v>0</v>
      </c>
      <c r="V111" s="2988">
        <f t="shared" si="38"/>
        <v>0</v>
      </c>
      <c r="W111" s="998"/>
      <c r="X111" s="2988">
        <f t="shared" si="39"/>
        <v>0</v>
      </c>
      <c r="Y111" s="2988">
        <f t="shared" si="40"/>
        <v>0</v>
      </c>
      <c r="Z111" s="998"/>
    </row>
    <row r="112" spans="1:26">
      <c r="A112" s="35"/>
      <c r="B112" s="20"/>
      <c r="C112" s="13">
        <f t="shared" si="29"/>
        <v>1</v>
      </c>
      <c r="D112" s="601"/>
      <c r="E112" s="13">
        <f t="shared" si="30"/>
        <v>1</v>
      </c>
      <c r="F112" s="601"/>
      <c r="G112" s="13">
        <f t="shared" si="31"/>
        <v>1</v>
      </c>
      <c r="H112" s="601"/>
      <c r="I112" s="13">
        <f t="shared" si="32"/>
        <v>1</v>
      </c>
      <c r="J112" s="601"/>
      <c r="K112" s="13">
        <f t="shared" si="33"/>
        <v>1</v>
      </c>
      <c r="L112" s="601"/>
      <c r="M112" s="13">
        <f t="shared" si="34"/>
        <v>1</v>
      </c>
      <c r="N112" s="601"/>
      <c r="O112" s="13">
        <f t="shared" si="35"/>
        <v>1</v>
      </c>
      <c r="P112" s="601"/>
      <c r="Q112" s="13">
        <f t="shared" si="36"/>
        <v>1</v>
      </c>
      <c r="R112" s="597">
        <f t="shared" si="41"/>
        <v>0</v>
      </c>
      <c r="S112" s="250">
        <f t="shared" si="42"/>
        <v>0</v>
      </c>
      <c r="T112" s="901">
        <f t="shared" si="43"/>
        <v>0</v>
      </c>
      <c r="U112" s="2988">
        <f t="shared" si="37"/>
        <v>0</v>
      </c>
      <c r="V112" s="2988">
        <f t="shared" si="38"/>
        <v>0</v>
      </c>
      <c r="W112" s="998"/>
      <c r="X112" s="2988">
        <f t="shared" si="39"/>
        <v>0</v>
      </c>
      <c r="Y112" s="2988">
        <f t="shared" si="40"/>
        <v>0</v>
      </c>
      <c r="Z112" s="998"/>
    </row>
    <row r="113" spans="1:26">
      <c r="A113" s="35"/>
      <c r="B113" s="20"/>
      <c r="C113" s="13">
        <f t="shared" si="29"/>
        <v>1</v>
      </c>
      <c r="D113" s="601"/>
      <c r="E113" s="13">
        <f t="shared" si="30"/>
        <v>1</v>
      </c>
      <c r="F113" s="601"/>
      <c r="G113" s="13">
        <f t="shared" si="31"/>
        <v>1</v>
      </c>
      <c r="H113" s="601"/>
      <c r="I113" s="13">
        <f t="shared" si="32"/>
        <v>1</v>
      </c>
      <c r="J113" s="601"/>
      <c r="K113" s="13">
        <f t="shared" si="33"/>
        <v>1</v>
      </c>
      <c r="L113" s="601"/>
      <c r="M113" s="13">
        <f t="shared" si="34"/>
        <v>1</v>
      </c>
      <c r="N113" s="601"/>
      <c r="O113" s="13">
        <f t="shared" si="35"/>
        <v>1</v>
      </c>
      <c r="P113" s="601"/>
      <c r="Q113" s="13">
        <f t="shared" si="36"/>
        <v>1</v>
      </c>
      <c r="R113" s="597">
        <f t="shared" si="41"/>
        <v>0</v>
      </c>
      <c r="S113" s="250">
        <f t="shared" si="42"/>
        <v>0</v>
      </c>
      <c r="T113" s="901">
        <f t="shared" si="43"/>
        <v>0</v>
      </c>
      <c r="U113" s="2988">
        <f t="shared" si="37"/>
        <v>0</v>
      </c>
      <c r="V113" s="2988">
        <f t="shared" si="38"/>
        <v>0</v>
      </c>
      <c r="W113" s="998"/>
      <c r="X113" s="2988">
        <f t="shared" si="39"/>
        <v>0</v>
      </c>
      <c r="Y113" s="2988">
        <f t="shared" si="40"/>
        <v>0</v>
      </c>
      <c r="Z113" s="998"/>
    </row>
    <row r="114" spans="1:26">
      <c r="A114" s="35"/>
      <c r="B114" s="20"/>
      <c r="C114" s="13">
        <f t="shared" si="29"/>
        <v>1</v>
      </c>
      <c r="D114" s="601"/>
      <c r="E114" s="13">
        <f t="shared" si="30"/>
        <v>1</v>
      </c>
      <c r="F114" s="601"/>
      <c r="G114" s="13">
        <f t="shared" si="31"/>
        <v>1</v>
      </c>
      <c r="H114" s="601"/>
      <c r="I114" s="13">
        <f t="shared" si="32"/>
        <v>1</v>
      </c>
      <c r="J114" s="601"/>
      <c r="K114" s="13">
        <f t="shared" si="33"/>
        <v>1</v>
      </c>
      <c r="L114" s="601"/>
      <c r="M114" s="13">
        <f t="shared" si="34"/>
        <v>1</v>
      </c>
      <c r="N114" s="601"/>
      <c r="O114" s="13">
        <f t="shared" si="35"/>
        <v>1</v>
      </c>
      <c r="P114" s="601"/>
      <c r="Q114" s="13">
        <f t="shared" si="36"/>
        <v>1</v>
      </c>
      <c r="R114" s="597">
        <f t="shared" si="41"/>
        <v>0</v>
      </c>
      <c r="S114" s="250">
        <f t="shared" si="42"/>
        <v>0</v>
      </c>
      <c r="T114" s="901">
        <f t="shared" si="43"/>
        <v>0</v>
      </c>
      <c r="U114" s="2988">
        <f t="shared" si="37"/>
        <v>0</v>
      </c>
      <c r="V114" s="2988">
        <f t="shared" si="38"/>
        <v>0</v>
      </c>
      <c r="W114" s="998"/>
      <c r="X114" s="2988">
        <f t="shared" si="39"/>
        <v>0</v>
      </c>
      <c r="Y114" s="2988">
        <f t="shared" si="40"/>
        <v>0</v>
      </c>
      <c r="Z114" s="998"/>
    </row>
    <row r="115" spans="1:26">
      <c r="A115" s="35"/>
      <c r="B115" s="20"/>
      <c r="C115" s="13">
        <f t="shared" si="29"/>
        <v>1</v>
      </c>
      <c r="D115" s="601"/>
      <c r="E115" s="13">
        <f t="shared" si="30"/>
        <v>1</v>
      </c>
      <c r="F115" s="601"/>
      <c r="G115" s="13">
        <f t="shared" si="31"/>
        <v>1</v>
      </c>
      <c r="H115" s="601"/>
      <c r="I115" s="13">
        <f t="shared" si="32"/>
        <v>1</v>
      </c>
      <c r="J115" s="601"/>
      <c r="K115" s="13">
        <f t="shared" si="33"/>
        <v>1</v>
      </c>
      <c r="L115" s="601"/>
      <c r="M115" s="13">
        <f t="shared" si="34"/>
        <v>1</v>
      </c>
      <c r="N115" s="601"/>
      <c r="O115" s="13">
        <f t="shared" si="35"/>
        <v>1</v>
      </c>
      <c r="P115" s="601"/>
      <c r="Q115" s="13">
        <f t="shared" si="36"/>
        <v>1</v>
      </c>
      <c r="R115" s="597">
        <f t="shared" si="41"/>
        <v>0</v>
      </c>
      <c r="S115" s="250">
        <f t="shared" si="42"/>
        <v>0</v>
      </c>
      <c r="T115" s="901">
        <f t="shared" si="43"/>
        <v>0</v>
      </c>
      <c r="U115" s="2988">
        <f t="shared" si="37"/>
        <v>0</v>
      </c>
      <c r="V115" s="2988">
        <f t="shared" si="38"/>
        <v>0</v>
      </c>
      <c r="W115" s="998"/>
      <c r="X115" s="2988">
        <f t="shared" si="39"/>
        <v>0</v>
      </c>
      <c r="Y115" s="2988">
        <f t="shared" si="40"/>
        <v>0</v>
      </c>
      <c r="Z115" s="998"/>
    </row>
    <row r="116" spans="1:26">
      <c r="A116" s="35"/>
      <c r="B116" s="20"/>
      <c r="C116" s="13">
        <f t="shared" si="29"/>
        <v>1</v>
      </c>
      <c r="D116" s="601"/>
      <c r="E116" s="13">
        <f t="shared" si="30"/>
        <v>1</v>
      </c>
      <c r="F116" s="601"/>
      <c r="G116" s="13">
        <f t="shared" si="31"/>
        <v>1</v>
      </c>
      <c r="H116" s="601"/>
      <c r="I116" s="13">
        <f t="shared" si="32"/>
        <v>1</v>
      </c>
      <c r="J116" s="601"/>
      <c r="K116" s="13">
        <f t="shared" si="33"/>
        <v>1</v>
      </c>
      <c r="L116" s="601"/>
      <c r="M116" s="13">
        <f t="shared" si="34"/>
        <v>1</v>
      </c>
      <c r="N116" s="601"/>
      <c r="O116" s="13">
        <f t="shared" si="35"/>
        <v>1</v>
      </c>
      <c r="P116" s="601"/>
      <c r="Q116" s="13">
        <f t="shared" si="36"/>
        <v>1</v>
      </c>
      <c r="R116" s="597">
        <f t="shared" si="41"/>
        <v>0</v>
      </c>
      <c r="S116" s="250">
        <f t="shared" si="42"/>
        <v>0</v>
      </c>
      <c r="T116" s="901">
        <f t="shared" si="43"/>
        <v>0</v>
      </c>
      <c r="U116" s="2988">
        <f t="shared" si="37"/>
        <v>0</v>
      </c>
      <c r="V116" s="2988">
        <f t="shared" si="38"/>
        <v>0</v>
      </c>
      <c r="W116" s="998"/>
      <c r="X116" s="2988">
        <f t="shared" si="39"/>
        <v>0</v>
      </c>
      <c r="Y116" s="2988">
        <f t="shared" si="40"/>
        <v>0</v>
      </c>
      <c r="Z116" s="998"/>
    </row>
    <row r="117" spans="1:26">
      <c r="A117" s="35"/>
      <c r="B117" s="20"/>
      <c r="C117" s="13">
        <f t="shared" si="29"/>
        <v>1</v>
      </c>
      <c r="D117" s="601"/>
      <c r="E117" s="13">
        <f t="shared" si="30"/>
        <v>1</v>
      </c>
      <c r="F117" s="601"/>
      <c r="G117" s="13">
        <f t="shared" si="31"/>
        <v>1</v>
      </c>
      <c r="H117" s="601"/>
      <c r="I117" s="13">
        <f t="shared" si="32"/>
        <v>1</v>
      </c>
      <c r="J117" s="601"/>
      <c r="K117" s="13">
        <f t="shared" si="33"/>
        <v>1</v>
      </c>
      <c r="L117" s="601"/>
      <c r="M117" s="13">
        <f t="shared" si="34"/>
        <v>1</v>
      </c>
      <c r="N117" s="601"/>
      <c r="O117" s="13">
        <f t="shared" si="35"/>
        <v>1</v>
      </c>
      <c r="P117" s="601"/>
      <c r="Q117" s="13">
        <f t="shared" si="36"/>
        <v>1</v>
      </c>
      <c r="R117" s="597">
        <f t="shared" si="41"/>
        <v>0</v>
      </c>
      <c r="S117" s="250">
        <f t="shared" si="42"/>
        <v>0</v>
      </c>
      <c r="T117" s="901">
        <f t="shared" si="43"/>
        <v>0</v>
      </c>
      <c r="U117" s="2988">
        <f t="shared" si="37"/>
        <v>0</v>
      </c>
      <c r="V117" s="2988">
        <f t="shared" si="38"/>
        <v>0</v>
      </c>
      <c r="W117" s="998"/>
      <c r="X117" s="2988">
        <f t="shared" si="39"/>
        <v>0</v>
      </c>
      <c r="Y117" s="2988">
        <f t="shared" si="40"/>
        <v>0</v>
      </c>
      <c r="Z117" s="998"/>
    </row>
    <row r="118" spans="1:26">
      <c r="A118" s="35"/>
      <c r="B118" s="20"/>
      <c r="C118" s="13">
        <f t="shared" si="29"/>
        <v>1</v>
      </c>
      <c r="D118" s="601"/>
      <c r="E118" s="13">
        <f t="shared" si="30"/>
        <v>1</v>
      </c>
      <c r="F118" s="601"/>
      <c r="G118" s="13">
        <f t="shared" si="31"/>
        <v>1</v>
      </c>
      <c r="H118" s="601"/>
      <c r="I118" s="13">
        <f t="shared" si="32"/>
        <v>1</v>
      </c>
      <c r="J118" s="601"/>
      <c r="K118" s="13">
        <f t="shared" si="33"/>
        <v>1</v>
      </c>
      <c r="L118" s="601"/>
      <c r="M118" s="13">
        <f t="shared" si="34"/>
        <v>1</v>
      </c>
      <c r="N118" s="601"/>
      <c r="O118" s="13">
        <f t="shared" si="35"/>
        <v>1</v>
      </c>
      <c r="P118" s="601"/>
      <c r="Q118" s="13">
        <f t="shared" si="36"/>
        <v>1</v>
      </c>
      <c r="R118" s="597">
        <f t="shared" si="41"/>
        <v>0</v>
      </c>
      <c r="S118" s="250">
        <f t="shared" si="42"/>
        <v>0</v>
      </c>
      <c r="T118" s="901">
        <f t="shared" si="43"/>
        <v>0</v>
      </c>
      <c r="U118" s="2988">
        <f t="shared" si="37"/>
        <v>0</v>
      </c>
      <c r="V118" s="2988">
        <f t="shared" si="38"/>
        <v>0</v>
      </c>
      <c r="W118" s="998"/>
      <c r="X118" s="2988">
        <f t="shared" si="39"/>
        <v>0</v>
      </c>
      <c r="Y118" s="2988">
        <f t="shared" si="40"/>
        <v>0</v>
      </c>
      <c r="Z118" s="998"/>
    </row>
    <row r="119" spans="1:26">
      <c r="A119" s="35"/>
      <c r="B119" s="20"/>
      <c r="C119" s="13">
        <f t="shared" si="29"/>
        <v>1</v>
      </c>
      <c r="D119" s="601"/>
      <c r="E119" s="13">
        <f t="shared" si="30"/>
        <v>1</v>
      </c>
      <c r="F119" s="601"/>
      <c r="G119" s="13">
        <f t="shared" si="31"/>
        <v>1</v>
      </c>
      <c r="H119" s="601"/>
      <c r="I119" s="13">
        <f t="shared" si="32"/>
        <v>1</v>
      </c>
      <c r="J119" s="601"/>
      <c r="K119" s="13">
        <f t="shared" si="33"/>
        <v>1</v>
      </c>
      <c r="L119" s="601"/>
      <c r="M119" s="13">
        <f t="shared" si="34"/>
        <v>1</v>
      </c>
      <c r="N119" s="601"/>
      <c r="O119" s="13">
        <f t="shared" si="35"/>
        <v>1</v>
      </c>
      <c r="P119" s="601"/>
      <c r="Q119" s="13">
        <f t="shared" si="36"/>
        <v>1</v>
      </c>
      <c r="R119" s="597">
        <f t="shared" si="41"/>
        <v>0</v>
      </c>
      <c r="S119" s="250">
        <f t="shared" si="42"/>
        <v>0</v>
      </c>
      <c r="T119" s="901">
        <f t="shared" si="43"/>
        <v>0</v>
      </c>
      <c r="U119" s="2988">
        <f t="shared" si="37"/>
        <v>0</v>
      </c>
      <c r="V119" s="2988">
        <f t="shared" si="38"/>
        <v>0</v>
      </c>
      <c r="W119" s="998"/>
      <c r="X119" s="2988">
        <f t="shared" si="39"/>
        <v>0</v>
      </c>
      <c r="Y119" s="2988">
        <f t="shared" si="40"/>
        <v>0</v>
      </c>
      <c r="Z119" s="998"/>
    </row>
    <row r="120" spans="1:26">
      <c r="A120" s="35"/>
      <c r="B120" s="20"/>
      <c r="C120" s="13">
        <f t="shared" si="29"/>
        <v>1</v>
      </c>
      <c r="D120" s="601"/>
      <c r="E120" s="13">
        <f t="shared" si="30"/>
        <v>1</v>
      </c>
      <c r="F120" s="601"/>
      <c r="G120" s="13">
        <f t="shared" si="31"/>
        <v>1</v>
      </c>
      <c r="H120" s="601"/>
      <c r="I120" s="13">
        <f t="shared" si="32"/>
        <v>1</v>
      </c>
      <c r="J120" s="601"/>
      <c r="K120" s="13">
        <f t="shared" si="33"/>
        <v>1</v>
      </c>
      <c r="L120" s="601"/>
      <c r="M120" s="13">
        <f t="shared" si="34"/>
        <v>1</v>
      </c>
      <c r="N120" s="601"/>
      <c r="O120" s="13">
        <f t="shared" si="35"/>
        <v>1</v>
      </c>
      <c r="P120" s="601"/>
      <c r="Q120" s="13">
        <f t="shared" si="36"/>
        <v>1</v>
      </c>
      <c r="R120" s="597">
        <f t="shared" si="41"/>
        <v>0</v>
      </c>
      <c r="S120" s="250">
        <f t="shared" si="42"/>
        <v>0</v>
      </c>
      <c r="T120" s="901">
        <f t="shared" si="43"/>
        <v>0</v>
      </c>
      <c r="U120" s="2988">
        <f t="shared" si="37"/>
        <v>0</v>
      </c>
      <c r="V120" s="2988">
        <f t="shared" si="38"/>
        <v>0</v>
      </c>
      <c r="W120" s="998"/>
      <c r="X120" s="2988">
        <f t="shared" si="39"/>
        <v>0</v>
      </c>
      <c r="Y120" s="2988">
        <f t="shared" si="40"/>
        <v>0</v>
      </c>
      <c r="Z120" s="998"/>
    </row>
    <row r="121" spans="1:26">
      <c r="A121" s="35"/>
      <c r="B121" s="20"/>
      <c r="C121" s="13">
        <f t="shared" si="29"/>
        <v>1</v>
      </c>
      <c r="D121" s="601"/>
      <c r="E121" s="13">
        <f t="shared" si="30"/>
        <v>1</v>
      </c>
      <c r="F121" s="601"/>
      <c r="G121" s="13">
        <f t="shared" si="31"/>
        <v>1</v>
      </c>
      <c r="H121" s="601"/>
      <c r="I121" s="13">
        <f t="shared" si="32"/>
        <v>1</v>
      </c>
      <c r="J121" s="601"/>
      <c r="K121" s="13">
        <f t="shared" si="33"/>
        <v>1</v>
      </c>
      <c r="L121" s="601"/>
      <c r="M121" s="13">
        <f t="shared" si="34"/>
        <v>1</v>
      </c>
      <c r="N121" s="601"/>
      <c r="O121" s="13">
        <f t="shared" si="35"/>
        <v>1</v>
      </c>
      <c r="P121" s="601"/>
      <c r="Q121" s="13">
        <f t="shared" si="36"/>
        <v>1</v>
      </c>
      <c r="R121" s="597">
        <f t="shared" si="41"/>
        <v>0</v>
      </c>
      <c r="S121" s="250">
        <f t="shared" si="42"/>
        <v>0</v>
      </c>
      <c r="T121" s="901">
        <f t="shared" si="43"/>
        <v>0</v>
      </c>
      <c r="U121" s="2988">
        <f t="shared" si="37"/>
        <v>0</v>
      </c>
      <c r="V121" s="2988">
        <f t="shared" si="38"/>
        <v>0</v>
      </c>
      <c r="W121" s="998"/>
      <c r="X121" s="2988">
        <f t="shared" si="39"/>
        <v>0</v>
      </c>
      <c r="Y121" s="2988">
        <f t="shared" si="40"/>
        <v>0</v>
      </c>
      <c r="Z121" s="998"/>
    </row>
    <row r="122" spans="1:26">
      <c r="A122" s="35"/>
      <c r="B122" s="20"/>
      <c r="C122" s="13">
        <f t="shared" si="29"/>
        <v>1</v>
      </c>
      <c r="D122" s="601"/>
      <c r="E122" s="13">
        <f t="shared" si="30"/>
        <v>1</v>
      </c>
      <c r="F122" s="601"/>
      <c r="G122" s="13">
        <f t="shared" si="31"/>
        <v>1</v>
      </c>
      <c r="H122" s="601"/>
      <c r="I122" s="13">
        <f t="shared" si="32"/>
        <v>1</v>
      </c>
      <c r="J122" s="601"/>
      <c r="K122" s="13">
        <f t="shared" si="33"/>
        <v>1</v>
      </c>
      <c r="L122" s="601"/>
      <c r="M122" s="13">
        <f t="shared" si="34"/>
        <v>1</v>
      </c>
      <c r="N122" s="601"/>
      <c r="O122" s="13">
        <f t="shared" si="35"/>
        <v>1</v>
      </c>
      <c r="P122" s="601"/>
      <c r="Q122" s="13">
        <f t="shared" si="36"/>
        <v>1</v>
      </c>
      <c r="R122" s="597">
        <f t="shared" si="41"/>
        <v>0</v>
      </c>
      <c r="S122" s="250">
        <f t="shared" si="42"/>
        <v>0</v>
      </c>
      <c r="T122" s="901">
        <f t="shared" si="43"/>
        <v>0</v>
      </c>
      <c r="U122" s="2988">
        <f t="shared" si="37"/>
        <v>0</v>
      </c>
      <c r="V122" s="2988">
        <f t="shared" si="38"/>
        <v>0</v>
      </c>
      <c r="W122" s="998"/>
      <c r="X122" s="2988">
        <f t="shared" si="39"/>
        <v>0</v>
      </c>
      <c r="Y122" s="2988">
        <f t="shared" si="40"/>
        <v>0</v>
      </c>
      <c r="Z122" s="998"/>
    </row>
    <row r="123" spans="1:26">
      <c r="A123" s="35"/>
      <c r="B123" s="20"/>
      <c r="C123" s="13">
        <f t="shared" si="29"/>
        <v>1</v>
      </c>
      <c r="D123" s="601"/>
      <c r="E123" s="13">
        <f t="shared" si="30"/>
        <v>1</v>
      </c>
      <c r="F123" s="601"/>
      <c r="G123" s="13">
        <f t="shared" si="31"/>
        <v>1</v>
      </c>
      <c r="H123" s="601"/>
      <c r="I123" s="13">
        <f t="shared" si="32"/>
        <v>1</v>
      </c>
      <c r="J123" s="601"/>
      <c r="K123" s="13">
        <f t="shared" si="33"/>
        <v>1</v>
      </c>
      <c r="L123" s="601"/>
      <c r="M123" s="13">
        <f t="shared" si="34"/>
        <v>1</v>
      </c>
      <c r="N123" s="601"/>
      <c r="O123" s="13">
        <f t="shared" si="35"/>
        <v>1</v>
      </c>
      <c r="P123" s="601"/>
      <c r="Q123" s="13">
        <f t="shared" si="36"/>
        <v>1</v>
      </c>
      <c r="R123" s="597">
        <f t="shared" si="41"/>
        <v>0</v>
      </c>
      <c r="S123" s="250">
        <f t="shared" si="42"/>
        <v>0</v>
      </c>
      <c r="T123" s="901">
        <f t="shared" si="43"/>
        <v>0</v>
      </c>
      <c r="U123" s="2988">
        <f t="shared" si="37"/>
        <v>0</v>
      </c>
      <c r="V123" s="2988">
        <f t="shared" si="38"/>
        <v>0</v>
      </c>
      <c r="W123" s="998"/>
      <c r="X123" s="2988">
        <f t="shared" si="39"/>
        <v>0</v>
      </c>
      <c r="Y123" s="2988">
        <f t="shared" si="40"/>
        <v>0</v>
      </c>
      <c r="Z123" s="998"/>
    </row>
    <row r="124" spans="1:26">
      <c r="A124" s="35"/>
      <c r="B124" s="20"/>
      <c r="C124" s="13">
        <f t="shared" si="29"/>
        <v>1</v>
      </c>
      <c r="D124" s="601"/>
      <c r="E124" s="13">
        <f t="shared" si="30"/>
        <v>1</v>
      </c>
      <c r="F124" s="601"/>
      <c r="G124" s="13">
        <f t="shared" si="31"/>
        <v>1</v>
      </c>
      <c r="H124" s="601"/>
      <c r="I124" s="13">
        <f t="shared" si="32"/>
        <v>1</v>
      </c>
      <c r="J124" s="601"/>
      <c r="K124" s="13">
        <f t="shared" si="33"/>
        <v>1</v>
      </c>
      <c r="L124" s="601"/>
      <c r="M124" s="13">
        <f t="shared" si="34"/>
        <v>1</v>
      </c>
      <c r="N124" s="601"/>
      <c r="O124" s="13">
        <f t="shared" si="35"/>
        <v>1</v>
      </c>
      <c r="P124" s="601"/>
      <c r="Q124" s="13">
        <f t="shared" si="36"/>
        <v>1</v>
      </c>
      <c r="R124" s="597">
        <f t="shared" si="41"/>
        <v>0</v>
      </c>
      <c r="S124" s="250">
        <f t="shared" si="42"/>
        <v>0</v>
      </c>
      <c r="T124" s="901">
        <f t="shared" si="43"/>
        <v>0</v>
      </c>
      <c r="U124" s="2988">
        <f t="shared" si="37"/>
        <v>0</v>
      </c>
      <c r="V124" s="2988">
        <f t="shared" si="38"/>
        <v>0</v>
      </c>
      <c r="W124" s="998"/>
      <c r="X124" s="2988">
        <f t="shared" si="39"/>
        <v>0</v>
      </c>
      <c r="Y124" s="2988">
        <f t="shared" si="40"/>
        <v>0</v>
      </c>
      <c r="Z124" s="998"/>
    </row>
    <row r="125" spans="1:26">
      <c r="A125" s="35"/>
      <c r="B125" s="20"/>
      <c r="C125" s="13">
        <f t="shared" si="29"/>
        <v>1</v>
      </c>
      <c r="D125" s="601"/>
      <c r="E125" s="13">
        <f t="shared" si="30"/>
        <v>1</v>
      </c>
      <c r="F125" s="601"/>
      <c r="G125" s="13">
        <f t="shared" si="31"/>
        <v>1</v>
      </c>
      <c r="H125" s="601"/>
      <c r="I125" s="13">
        <f t="shared" si="32"/>
        <v>1</v>
      </c>
      <c r="J125" s="601"/>
      <c r="K125" s="13">
        <f t="shared" si="33"/>
        <v>1</v>
      </c>
      <c r="L125" s="601"/>
      <c r="M125" s="13">
        <f t="shared" si="34"/>
        <v>1</v>
      </c>
      <c r="N125" s="601"/>
      <c r="O125" s="13">
        <f t="shared" si="35"/>
        <v>1</v>
      </c>
      <c r="P125" s="601"/>
      <c r="Q125" s="13">
        <f t="shared" si="36"/>
        <v>1</v>
      </c>
      <c r="R125" s="597">
        <f t="shared" si="41"/>
        <v>0</v>
      </c>
      <c r="S125" s="250">
        <f t="shared" si="42"/>
        <v>0</v>
      </c>
      <c r="T125" s="901">
        <f t="shared" si="43"/>
        <v>0</v>
      </c>
      <c r="U125" s="2988">
        <f t="shared" si="37"/>
        <v>0</v>
      </c>
      <c r="V125" s="2988">
        <f t="shared" si="38"/>
        <v>0</v>
      </c>
      <c r="W125" s="998"/>
      <c r="X125" s="2988">
        <f t="shared" si="39"/>
        <v>0</v>
      </c>
      <c r="Y125" s="2988">
        <f t="shared" si="40"/>
        <v>0</v>
      </c>
      <c r="Z125" s="998"/>
    </row>
    <row r="126" spans="1:26">
      <c r="A126" s="35"/>
      <c r="B126" s="20"/>
      <c r="C126" s="13">
        <f t="shared" si="29"/>
        <v>1</v>
      </c>
      <c r="D126" s="601"/>
      <c r="E126" s="13">
        <f t="shared" si="30"/>
        <v>1</v>
      </c>
      <c r="F126" s="601"/>
      <c r="G126" s="13">
        <f t="shared" si="31"/>
        <v>1</v>
      </c>
      <c r="H126" s="601"/>
      <c r="I126" s="13">
        <f t="shared" si="32"/>
        <v>1</v>
      </c>
      <c r="J126" s="601"/>
      <c r="K126" s="13">
        <f t="shared" si="33"/>
        <v>1</v>
      </c>
      <c r="L126" s="601"/>
      <c r="M126" s="13">
        <f t="shared" si="34"/>
        <v>1</v>
      </c>
      <c r="N126" s="601"/>
      <c r="O126" s="13">
        <f t="shared" si="35"/>
        <v>1</v>
      </c>
      <c r="P126" s="601"/>
      <c r="Q126" s="13">
        <f t="shared" si="36"/>
        <v>1</v>
      </c>
      <c r="R126" s="597">
        <f t="shared" si="41"/>
        <v>0</v>
      </c>
      <c r="S126" s="250">
        <f t="shared" si="42"/>
        <v>0</v>
      </c>
      <c r="T126" s="901">
        <f t="shared" si="43"/>
        <v>0</v>
      </c>
      <c r="U126" s="2988">
        <f t="shared" si="37"/>
        <v>0</v>
      </c>
      <c r="V126" s="2988">
        <f t="shared" si="38"/>
        <v>0</v>
      </c>
      <c r="W126" s="998"/>
      <c r="X126" s="2988">
        <f t="shared" si="39"/>
        <v>0</v>
      </c>
      <c r="Y126" s="2988">
        <f t="shared" si="40"/>
        <v>0</v>
      </c>
      <c r="Z126" s="998"/>
    </row>
    <row r="127" spans="1:26">
      <c r="A127" s="35"/>
      <c r="B127" s="20"/>
      <c r="C127" s="13">
        <f t="shared" si="29"/>
        <v>1</v>
      </c>
      <c r="D127" s="601"/>
      <c r="E127" s="13">
        <f t="shared" si="30"/>
        <v>1</v>
      </c>
      <c r="F127" s="601"/>
      <c r="G127" s="13">
        <f t="shared" si="31"/>
        <v>1</v>
      </c>
      <c r="H127" s="601"/>
      <c r="I127" s="13">
        <f t="shared" si="32"/>
        <v>1</v>
      </c>
      <c r="J127" s="601"/>
      <c r="K127" s="13">
        <f t="shared" si="33"/>
        <v>1</v>
      </c>
      <c r="L127" s="601"/>
      <c r="M127" s="13">
        <f t="shared" si="34"/>
        <v>1</v>
      </c>
      <c r="N127" s="601"/>
      <c r="O127" s="13">
        <f t="shared" si="35"/>
        <v>1</v>
      </c>
      <c r="P127" s="601"/>
      <c r="Q127" s="13">
        <f t="shared" si="36"/>
        <v>1</v>
      </c>
      <c r="R127" s="597">
        <f t="shared" si="41"/>
        <v>0</v>
      </c>
      <c r="S127" s="250">
        <f t="shared" si="42"/>
        <v>0</v>
      </c>
      <c r="T127" s="901">
        <f t="shared" si="43"/>
        <v>0</v>
      </c>
      <c r="U127" s="2988">
        <f t="shared" si="37"/>
        <v>0</v>
      </c>
      <c r="V127" s="2988">
        <f t="shared" si="38"/>
        <v>0</v>
      </c>
      <c r="W127" s="998"/>
      <c r="X127" s="2988">
        <f t="shared" si="39"/>
        <v>0</v>
      </c>
      <c r="Y127" s="2988">
        <f t="shared" si="40"/>
        <v>0</v>
      </c>
      <c r="Z127" s="998"/>
    </row>
    <row r="128" spans="1:26">
      <c r="A128" s="35"/>
      <c r="B128" s="20"/>
      <c r="C128" s="13">
        <f t="shared" si="29"/>
        <v>1</v>
      </c>
      <c r="D128" s="601"/>
      <c r="E128" s="13">
        <f t="shared" si="30"/>
        <v>1</v>
      </c>
      <c r="F128" s="601"/>
      <c r="G128" s="13">
        <f t="shared" si="31"/>
        <v>1</v>
      </c>
      <c r="H128" s="601"/>
      <c r="I128" s="13">
        <f t="shared" si="32"/>
        <v>1</v>
      </c>
      <c r="J128" s="601"/>
      <c r="K128" s="13">
        <f t="shared" si="33"/>
        <v>1</v>
      </c>
      <c r="L128" s="601"/>
      <c r="M128" s="13">
        <f t="shared" si="34"/>
        <v>1</v>
      </c>
      <c r="N128" s="601"/>
      <c r="O128" s="13">
        <f t="shared" si="35"/>
        <v>1</v>
      </c>
      <c r="P128" s="601"/>
      <c r="Q128" s="13">
        <f t="shared" si="36"/>
        <v>1</v>
      </c>
      <c r="R128" s="597">
        <f t="shared" si="41"/>
        <v>0</v>
      </c>
      <c r="S128" s="250">
        <f t="shared" si="42"/>
        <v>0</v>
      </c>
      <c r="T128" s="901">
        <f t="shared" si="43"/>
        <v>0</v>
      </c>
      <c r="U128" s="2988">
        <f t="shared" si="37"/>
        <v>0</v>
      </c>
      <c r="V128" s="2988">
        <f t="shared" si="38"/>
        <v>0</v>
      </c>
      <c r="W128" s="998"/>
      <c r="X128" s="2988">
        <f t="shared" si="39"/>
        <v>0</v>
      </c>
      <c r="Y128" s="2988">
        <f t="shared" si="40"/>
        <v>0</v>
      </c>
      <c r="Z128" s="998"/>
    </row>
    <row r="129" spans="1:26">
      <c r="A129" s="35"/>
      <c r="B129" s="20"/>
      <c r="C129" s="13">
        <f t="shared" si="29"/>
        <v>1</v>
      </c>
      <c r="D129" s="601"/>
      <c r="E129" s="13">
        <f t="shared" si="30"/>
        <v>1</v>
      </c>
      <c r="F129" s="601"/>
      <c r="G129" s="13">
        <f t="shared" si="31"/>
        <v>1</v>
      </c>
      <c r="H129" s="601"/>
      <c r="I129" s="13">
        <f t="shared" si="32"/>
        <v>1</v>
      </c>
      <c r="J129" s="601"/>
      <c r="K129" s="13">
        <f t="shared" si="33"/>
        <v>1</v>
      </c>
      <c r="L129" s="601"/>
      <c r="M129" s="13">
        <f t="shared" si="34"/>
        <v>1</v>
      </c>
      <c r="N129" s="601"/>
      <c r="O129" s="13">
        <f t="shared" si="35"/>
        <v>1</v>
      </c>
      <c r="P129" s="601"/>
      <c r="Q129" s="13">
        <f t="shared" si="36"/>
        <v>1</v>
      </c>
      <c r="R129" s="597">
        <f t="shared" si="41"/>
        <v>0</v>
      </c>
      <c r="S129" s="250">
        <f t="shared" si="42"/>
        <v>0</v>
      </c>
      <c r="T129" s="901">
        <f t="shared" si="43"/>
        <v>0</v>
      </c>
      <c r="U129" s="2988">
        <f t="shared" si="37"/>
        <v>0</v>
      </c>
      <c r="V129" s="2988">
        <f t="shared" si="38"/>
        <v>0</v>
      </c>
      <c r="W129" s="998"/>
      <c r="X129" s="2988">
        <f t="shared" si="39"/>
        <v>0</v>
      </c>
      <c r="Y129" s="2988">
        <f t="shared" si="40"/>
        <v>0</v>
      </c>
      <c r="Z129" s="998"/>
    </row>
    <row r="130" spans="1:26">
      <c r="A130" s="35"/>
      <c r="B130" s="20"/>
      <c r="C130" s="13">
        <f t="shared" si="29"/>
        <v>1</v>
      </c>
      <c r="D130" s="601"/>
      <c r="E130" s="13">
        <f t="shared" si="30"/>
        <v>1</v>
      </c>
      <c r="F130" s="601"/>
      <c r="G130" s="13">
        <f t="shared" si="31"/>
        <v>1</v>
      </c>
      <c r="H130" s="601"/>
      <c r="I130" s="13">
        <f t="shared" si="32"/>
        <v>1</v>
      </c>
      <c r="J130" s="601"/>
      <c r="K130" s="13">
        <f t="shared" si="33"/>
        <v>1</v>
      </c>
      <c r="L130" s="601"/>
      <c r="M130" s="13">
        <f t="shared" si="34"/>
        <v>1</v>
      </c>
      <c r="N130" s="601"/>
      <c r="O130" s="13">
        <f t="shared" si="35"/>
        <v>1</v>
      </c>
      <c r="P130" s="601"/>
      <c r="Q130" s="13">
        <f t="shared" si="36"/>
        <v>1</v>
      </c>
      <c r="R130" s="597">
        <f t="shared" si="41"/>
        <v>0</v>
      </c>
      <c r="S130" s="250">
        <f t="shared" si="42"/>
        <v>0</v>
      </c>
      <c r="T130" s="901">
        <f t="shared" si="43"/>
        <v>0</v>
      </c>
      <c r="U130" s="2988">
        <f t="shared" si="37"/>
        <v>0</v>
      </c>
      <c r="V130" s="2988">
        <f t="shared" si="38"/>
        <v>0</v>
      </c>
      <c r="W130" s="998"/>
      <c r="X130" s="2988">
        <f t="shared" si="39"/>
        <v>0</v>
      </c>
      <c r="Y130" s="2988">
        <f t="shared" si="40"/>
        <v>0</v>
      </c>
      <c r="Z130" s="998"/>
    </row>
    <row r="131" spans="1:26">
      <c r="A131" s="35"/>
      <c r="B131" s="20"/>
      <c r="C131" s="13">
        <f t="shared" si="29"/>
        <v>1</v>
      </c>
      <c r="D131" s="601"/>
      <c r="E131" s="13">
        <f t="shared" si="30"/>
        <v>1</v>
      </c>
      <c r="F131" s="601"/>
      <c r="G131" s="13">
        <f t="shared" si="31"/>
        <v>1</v>
      </c>
      <c r="H131" s="601"/>
      <c r="I131" s="13">
        <f t="shared" si="32"/>
        <v>1</v>
      </c>
      <c r="J131" s="601"/>
      <c r="K131" s="13">
        <f t="shared" si="33"/>
        <v>1</v>
      </c>
      <c r="L131" s="601"/>
      <c r="M131" s="13">
        <f t="shared" si="34"/>
        <v>1</v>
      </c>
      <c r="N131" s="601"/>
      <c r="O131" s="13">
        <f t="shared" si="35"/>
        <v>1</v>
      </c>
      <c r="P131" s="601"/>
      <c r="Q131" s="13">
        <f t="shared" si="36"/>
        <v>1</v>
      </c>
      <c r="R131" s="597">
        <f t="shared" si="41"/>
        <v>0</v>
      </c>
      <c r="S131" s="250">
        <f t="shared" si="42"/>
        <v>0</v>
      </c>
      <c r="T131" s="901">
        <f t="shared" si="43"/>
        <v>0</v>
      </c>
      <c r="U131" s="2988">
        <f t="shared" si="37"/>
        <v>0</v>
      </c>
      <c r="V131" s="2988">
        <f t="shared" si="38"/>
        <v>0</v>
      </c>
      <c r="W131" s="998"/>
      <c r="X131" s="2988">
        <f t="shared" si="39"/>
        <v>0</v>
      </c>
      <c r="Y131" s="2988">
        <f t="shared" si="40"/>
        <v>0</v>
      </c>
      <c r="Z131" s="998"/>
    </row>
    <row r="132" spans="1:26">
      <c r="A132" s="35"/>
      <c r="B132" s="20"/>
      <c r="C132" s="13">
        <f t="shared" si="29"/>
        <v>1</v>
      </c>
      <c r="D132" s="601"/>
      <c r="E132" s="13">
        <f t="shared" si="30"/>
        <v>1</v>
      </c>
      <c r="F132" s="601"/>
      <c r="G132" s="13">
        <f t="shared" si="31"/>
        <v>1</v>
      </c>
      <c r="H132" s="601"/>
      <c r="I132" s="13">
        <f t="shared" si="32"/>
        <v>1</v>
      </c>
      <c r="J132" s="601"/>
      <c r="K132" s="13">
        <f t="shared" si="33"/>
        <v>1</v>
      </c>
      <c r="L132" s="601"/>
      <c r="M132" s="13">
        <f t="shared" si="34"/>
        <v>1</v>
      </c>
      <c r="N132" s="601"/>
      <c r="O132" s="13">
        <f t="shared" si="35"/>
        <v>1</v>
      </c>
      <c r="P132" s="601"/>
      <c r="Q132" s="13">
        <f t="shared" si="36"/>
        <v>1</v>
      </c>
      <c r="R132" s="597">
        <f t="shared" si="41"/>
        <v>0</v>
      </c>
      <c r="S132" s="250">
        <f t="shared" si="42"/>
        <v>0</v>
      </c>
      <c r="T132" s="901">
        <f t="shared" si="43"/>
        <v>0</v>
      </c>
      <c r="U132" s="2988">
        <f t="shared" si="37"/>
        <v>0</v>
      </c>
      <c r="V132" s="2988">
        <f t="shared" si="38"/>
        <v>0</v>
      </c>
      <c r="W132" s="998"/>
      <c r="X132" s="2988">
        <f t="shared" si="39"/>
        <v>0</v>
      </c>
      <c r="Y132" s="2988">
        <f t="shared" si="40"/>
        <v>0</v>
      </c>
      <c r="Z132" s="998"/>
    </row>
    <row r="133" spans="1:26">
      <c r="A133" s="35"/>
      <c r="B133" s="20"/>
      <c r="C133" s="13">
        <f t="shared" si="29"/>
        <v>1</v>
      </c>
      <c r="D133" s="601"/>
      <c r="E133" s="13">
        <f t="shared" si="30"/>
        <v>1</v>
      </c>
      <c r="F133" s="601"/>
      <c r="G133" s="13">
        <f t="shared" si="31"/>
        <v>1</v>
      </c>
      <c r="H133" s="601"/>
      <c r="I133" s="13">
        <f t="shared" si="32"/>
        <v>1</v>
      </c>
      <c r="J133" s="601"/>
      <c r="K133" s="13">
        <f t="shared" si="33"/>
        <v>1</v>
      </c>
      <c r="L133" s="601"/>
      <c r="M133" s="13">
        <f t="shared" si="34"/>
        <v>1</v>
      </c>
      <c r="N133" s="601"/>
      <c r="O133" s="13">
        <f t="shared" si="35"/>
        <v>1</v>
      </c>
      <c r="P133" s="601"/>
      <c r="Q133" s="13">
        <f t="shared" si="36"/>
        <v>1</v>
      </c>
      <c r="R133" s="597">
        <f t="shared" si="41"/>
        <v>0</v>
      </c>
      <c r="S133" s="250">
        <f t="shared" si="42"/>
        <v>0</v>
      </c>
      <c r="T133" s="901">
        <f t="shared" si="43"/>
        <v>0</v>
      </c>
      <c r="U133" s="2988">
        <f t="shared" si="37"/>
        <v>0</v>
      </c>
      <c r="V133" s="2988">
        <f t="shared" si="38"/>
        <v>0</v>
      </c>
      <c r="W133" s="998"/>
      <c r="X133" s="2988">
        <f t="shared" si="39"/>
        <v>0</v>
      </c>
      <c r="Y133" s="2988">
        <f t="shared" si="40"/>
        <v>0</v>
      </c>
      <c r="Z133" s="998"/>
    </row>
    <row r="134" spans="1:26">
      <c r="A134" s="35"/>
      <c r="B134" s="20"/>
      <c r="C134" s="13">
        <f t="shared" si="29"/>
        <v>1</v>
      </c>
      <c r="D134" s="601"/>
      <c r="E134" s="13">
        <f t="shared" si="30"/>
        <v>1</v>
      </c>
      <c r="F134" s="601"/>
      <c r="G134" s="13">
        <f t="shared" si="31"/>
        <v>1</v>
      </c>
      <c r="H134" s="601"/>
      <c r="I134" s="13">
        <f t="shared" si="32"/>
        <v>1</v>
      </c>
      <c r="J134" s="601"/>
      <c r="K134" s="13">
        <f t="shared" si="33"/>
        <v>1</v>
      </c>
      <c r="L134" s="601"/>
      <c r="M134" s="13">
        <f t="shared" si="34"/>
        <v>1</v>
      </c>
      <c r="N134" s="601"/>
      <c r="O134" s="13">
        <f t="shared" si="35"/>
        <v>1</v>
      </c>
      <c r="P134" s="601"/>
      <c r="Q134" s="13">
        <f t="shared" si="36"/>
        <v>1</v>
      </c>
      <c r="R134" s="597">
        <f t="shared" si="41"/>
        <v>0</v>
      </c>
      <c r="S134" s="250">
        <f t="shared" si="42"/>
        <v>0</v>
      </c>
      <c r="T134" s="901">
        <f t="shared" si="43"/>
        <v>0</v>
      </c>
      <c r="U134" s="2988">
        <f t="shared" si="37"/>
        <v>0</v>
      </c>
      <c r="V134" s="2988">
        <f t="shared" si="38"/>
        <v>0</v>
      </c>
      <c r="W134" s="998"/>
      <c r="X134" s="2988">
        <f t="shared" si="39"/>
        <v>0</v>
      </c>
      <c r="Y134" s="2988">
        <f t="shared" si="40"/>
        <v>0</v>
      </c>
      <c r="Z134" s="998"/>
    </row>
    <row r="135" spans="1:26">
      <c r="A135" s="35"/>
      <c r="B135" s="20"/>
      <c r="C135" s="13">
        <f t="shared" si="29"/>
        <v>1</v>
      </c>
      <c r="D135" s="601"/>
      <c r="E135" s="13">
        <f t="shared" si="30"/>
        <v>1</v>
      </c>
      <c r="F135" s="601"/>
      <c r="G135" s="13">
        <f t="shared" si="31"/>
        <v>1</v>
      </c>
      <c r="H135" s="601"/>
      <c r="I135" s="13">
        <f t="shared" si="32"/>
        <v>1</v>
      </c>
      <c r="J135" s="601"/>
      <c r="K135" s="13">
        <f t="shared" si="33"/>
        <v>1</v>
      </c>
      <c r="L135" s="601"/>
      <c r="M135" s="13">
        <f t="shared" si="34"/>
        <v>1</v>
      </c>
      <c r="N135" s="601"/>
      <c r="O135" s="13">
        <f t="shared" si="35"/>
        <v>1</v>
      </c>
      <c r="P135" s="601"/>
      <c r="Q135" s="13">
        <f t="shared" si="36"/>
        <v>1</v>
      </c>
      <c r="R135" s="597">
        <f t="shared" si="41"/>
        <v>0</v>
      </c>
      <c r="S135" s="250">
        <f t="shared" si="42"/>
        <v>0</v>
      </c>
      <c r="T135" s="901">
        <f t="shared" si="43"/>
        <v>0</v>
      </c>
      <c r="U135" s="2988">
        <f t="shared" si="37"/>
        <v>0</v>
      </c>
      <c r="V135" s="2988">
        <f t="shared" si="38"/>
        <v>0</v>
      </c>
      <c r="W135" s="998"/>
      <c r="X135" s="2988">
        <f t="shared" si="39"/>
        <v>0</v>
      </c>
      <c r="Y135" s="2988">
        <f t="shared" si="40"/>
        <v>0</v>
      </c>
      <c r="Z135" s="998"/>
    </row>
    <row r="136" spans="1:26">
      <c r="A136" s="35"/>
      <c r="B136" s="20"/>
      <c r="C136" s="13">
        <f t="shared" si="29"/>
        <v>1</v>
      </c>
      <c r="D136" s="601"/>
      <c r="E136" s="13">
        <f t="shared" si="30"/>
        <v>1</v>
      </c>
      <c r="F136" s="601"/>
      <c r="G136" s="13">
        <f t="shared" si="31"/>
        <v>1</v>
      </c>
      <c r="H136" s="601"/>
      <c r="I136" s="13">
        <f t="shared" si="32"/>
        <v>1</v>
      </c>
      <c r="J136" s="601"/>
      <c r="K136" s="13">
        <f t="shared" si="33"/>
        <v>1</v>
      </c>
      <c r="L136" s="601"/>
      <c r="M136" s="13">
        <f t="shared" si="34"/>
        <v>1</v>
      </c>
      <c r="N136" s="601"/>
      <c r="O136" s="13">
        <f t="shared" si="35"/>
        <v>1</v>
      </c>
      <c r="P136" s="601"/>
      <c r="Q136" s="13">
        <f t="shared" si="36"/>
        <v>1</v>
      </c>
      <c r="R136" s="597">
        <f t="shared" si="41"/>
        <v>0</v>
      </c>
      <c r="S136" s="250">
        <f t="shared" si="42"/>
        <v>0</v>
      </c>
      <c r="T136" s="901">
        <f t="shared" si="43"/>
        <v>0</v>
      </c>
      <c r="U136" s="2988">
        <f t="shared" si="37"/>
        <v>0</v>
      </c>
      <c r="V136" s="2988">
        <f t="shared" si="38"/>
        <v>0</v>
      </c>
      <c r="W136" s="998"/>
      <c r="X136" s="2988">
        <f t="shared" si="39"/>
        <v>0</v>
      </c>
      <c r="Y136" s="2988">
        <f t="shared" si="40"/>
        <v>0</v>
      </c>
      <c r="Z136" s="998"/>
    </row>
    <row r="137" spans="1:26">
      <c r="A137" s="35"/>
      <c r="B137" s="20"/>
      <c r="C137" s="13">
        <f t="shared" si="29"/>
        <v>1</v>
      </c>
      <c r="D137" s="601"/>
      <c r="E137" s="13">
        <f t="shared" si="30"/>
        <v>1</v>
      </c>
      <c r="F137" s="601"/>
      <c r="G137" s="13">
        <f t="shared" si="31"/>
        <v>1</v>
      </c>
      <c r="H137" s="601"/>
      <c r="I137" s="13">
        <f t="shared" si="32"/>
        <v>1</v>
      </c>
      <c r="J137" s="601"/>
      <c r="K137" s="13">
        <f t="shared" si="33"/>
        <v>1</v>
      </c>
      <c r="L137" s="601"/>
      <c r="M137" s="13">
        <f t="shared" si="34"/>
        <v>1</v>
      </c>
      <c r="N137" s="601"/>
      <c r="O137" s="13">
        <f t="shared" si="35"/>
        <v>1</v>
      </c>
      <c r="P137" s="601"/>
      <c r="Q137" s="13">
        <f t="shared" si="36"/>
        <v>1</v>
      </c>
      <c r="R137" s="597">
        <f t="shared" si="41"/>
        <v>0</v>
      </c>
      <c r="S137" s="250">
        <f t="shared" si="42"/>
        <v>0</v>
      </c>
      <c r="T137" s="901">
        <f t="shared" si="43"/>
        <v>0</v>
      </c>
      <c r="U137" s="2988">
        <f t="shared" si="37"/>
        <v>0</v>
      </c>
      <c r="V137" s="2988">
        <f t="shared" si="38"/>
        <v>0</v>
      </c>
      <c r="W137" s="998"/>
      <c r="X137" s="2988">
        <f t="shared" si="39"/>
        <v>0</v>
      </c>
      <c r="Y137" s="2988">
        <f t="shared" si="40"/>
        <v>0</v>
      </c>
      <c r="Z137" s="998"/>
    </row>
    <row r="138" spans="1:26">
      <c r="A138" s="35"/>
      <c r="B138" s="20"/>
      <c r="C138" s="13">
        <f t="shared" si="29"/>
        <v>1</v>
      </c>
      <c r="D138" s="601"/>
      <c r="E138" s="13">
        <f t="shared" si="30"/>
        <v>1</v>
      </c>
      <c r="F138" s="601"/>
      <c r="G138" s="13">
        <f t="shared" si="31"/>
        <v>1</v>
      </c>
      <c r="H138" s="601"/>
      <c r="I138" s="13">
        <f t="shared" si="32"/>
        <v>1</v>
      </c>
      <c r="J138" s="601"/>
      <c r="K138" s="13">
        <f t="shared" si="33"/>
        <v>1</v>
      </c>
      <c r="L138" s="601"/>
      <c r="M138" s="13">
        <f t="shared" si="34"/>
        <v>1</v>
      </c>
      <c r="N138" s="601"/>
      <c r="O138" s="13">
        <f t="shared" si="35"/>
        <v>1</v>
      </c>
      <c r="P138" s="601"/>
      <c r="Q138" s="13">
        <f t="shared" si="36"/>
        <v>1</v>
      </c>
      <c r="R138" s="597">
        <f t="shared" si="41"/>
        <v>0</v>
      </c>
      <c r="S138" s="250">
        <f t="shared" si="42"/>
        <v>0</v>
      </c>
      <c r="T138" s="901">
        <f t="shared" si="43"/>
        <v>0</v>
      </c>
      <c r="U138" s="2988">
        <f t="shared" si="37"/>
        <v>0</v>
      </c>
      <c r="V138" s="2988">
        <f t="shared" si="38"/>
        <v>0</v>
      </c>
      <c r="W138" s="998"/>
      <c r="X138" s="2988">
        <f t="shared" si="39"/>
        <v>0</v>
      </c>
      <c r="Y138" s="2988">
        <f t="shared" si="40"/>
        <v>0</v>
      </c>
      <c r="Z138" s="998"/>
    </row>
    <row r="139" spans="1:26">
      <c r="A139" s="35"/>
      <c r="B139" s="20"/>
      <c r="C139" s="13">
        <f t="shared" si="29"/>
        <v>1</v>
      </c>
      <c r="D139" s="601"/>
      <c r="E139" s="13">
        <f t="shared" si="30"/>
        <v>1</v>
      </c>
      <c r="F139" s="601"/>
      <c r="G139" s="13">
        <f t="shared" si="31"/>
        <v>1</v>
      </c>
      <c r="H139" s="601"/>
      <c r="I139" s="13">
        <f t="shared" si="32"/>
        <v>1</v>
      </c>
      <c r="J139" s="601"/>
      <c r="K139" s="13">
        <f t="shared" si="33"/>
        <v>1</v>
      </c>
      <c r="L139" s="601"/>
      <c r="M139" s="13">
        <f t="shared" si="34"/>
        <v>1</v>
      </c>
      <c r="N139" s="601"/>
      <c r="O139" s="13">
        <f t="shared" si="35"/>
        <v>1</v>
      </c>
      <c r="P139" s="601"/>
      <c r="Q139" s="13">
        <f t="shared" si="36"/>
        <v>1</v>
      </c>
      <c r="R139" s="597">
        <f t="shared" si="41"/>
        <v>0</v>
      </c>
      <c r="S139" s="250">
        <f t="shared" si="42"/>
        <v>0</v>
      </c>
      <c r="T139" s="901">
        <f t="shared" si="43"/>
        <v>0</v>
      </c>
      <c r="U139" s="2988">
        <f t="shared" si="37"/>
        <v>0</v>
      </c>
      <c r="V139" s="2988">
        <f t="shared" si="38"/>
        <v>0</v>
      </c>
      <c r="W139" s="998"/>
      <c r="X139" s="2988">
        <f t="shared" si="39"/>
        <v>0</v>
      </c>
      <c r="Y139" s="2988">
        <f t="shared" si="40"/>
        <v>0</v>
      </c>
      <c r="Z139" s="998"/>
    </row>
    <row r="140" spans="1:26">
      <c r="A140" s="35"/>
      <c r="B140" s="20"/>
      <c r="C140" s="13">
        <f t="shared" si="29"/>
        <v>1</v>
      </c>
      <c r="D140" s="601"/>
      <c r="E140" s="13">
        <f t="shared" si="30"/>
        <v>1</v>
      </c>
      <c r="F140" s="601"/>
      <c r="G140" s="13">
        <f t="shared" si="31"/>
        <v>1</v>
      </c>
      <c r="H140" s="601"/>
      <c r="I140" s="13">
        <f t="shared" si="32"/>
        <v>1</v>
      </c>
      <c r="J140" s="601"/>
      <c r="K140" s="13">
        <f t="shared" si="33"/>
        <v>1</v>
      </c>
      <c r="L140" s="601"/>
      <c r="M140" s="13">
        <f t="shared" si="34"/>
        <v>1</v>
      </c>
      <c r="N140" s="601"/>
      <c r="O140" s="13">
        <f t="shared" si="35"/>
        <v>1</v>
      </c>
      <c r="P140" s="601"/>
      <c r="Q140" s="13">
        <f t="shared" si="36"/>
        <v>1</v>
      </c>
      <c r="R140" s="597">
        <f t="shared" si="41"/>
        <v>0</v>
      </c>
      <c r="S140" s="250">
        <f t="shared" si="42"/>
        <v>0</v>
      </c>
      <c r="T140" s="901">
        <f t="shared" si="43"/>
        <v>0</v>
      </c>
      <c r="U140" s="2988">
        <f t="shared" si="37"/>
        <v>0</v>
      </c>
      <c r="V140" s="2988">
        <f t="shared" si="38"/>
        <v>0</v>
      </c>
      <c r="W140" s="998"/>
      <c r="X140" s="2988">
        <f t="shared" si="39"/>
        <v>0</v>
      </c>
      <c r="Y140" s="2988">
        <f t="shared" si="40"/>
        <v>0</v>
      </c>
      <c r="Z140" s="998"/>
    </row>
    <row r="141" spans="1:26">
      <c r="A141" s="35"/>
      <c r="B141" s="20"/>
      <c r="C141" s="13">
        <f t="shared" si="29"/>
        <v>1</v>
      </c>
      <c r="D141" s="601"/>
      <c r="E141" s="13">
        <f t="shared" si="30"/>
        <v>1</v>
      </c>
      <c r="F141" s="601"/>
      <c r="G141" s="13">
        <f t="shared" si="31"/>
        <v>1</v>
      </c>
      <c r="H141" s="601"/>
      <c r="I141" s="13">
        <f t="shared" si="32"/>
        <v>1</v>
      </c>
      <c r="J141" s="601"/>
      <c r="K141" s="13">
        <f t="shared" si="33"/>
        <v>1</v>
      </c>
      <c r="L141" s="601"/>
      <c r="M141" s="13">
        <f t="shared" si="34"/>
        <v>1</v>
      </c>
      <c r="N141" s="601"/>
      <c r="O141" s="13">
        <f t="shared" si="35"/>
        <v>1</v>
      </c>
      <c r="P141" s="601"/>
      <c r="Q141" s="13">
        <f t="shared" si="36"/>
        <v>1</v>
      </c>
      <c r="R141" s="597">
        <f t="shared" si="41"/>
        <v>0</v>
      </c>
      <c r="S141" s="250">
        <f t="shared" si="42"/>
        <v>0</v>
      </c>
      <c r="T141" s="901">
        <f t="shared" si="43"/>
        <v>0</v>
      </c>
      <c r="U141" s="2988">
        <f t="shared" si="37"/>
        <v>0</v>
      </c>
      <c r="V141" s="2988">
        <f t="shared" si="38"/>
        <v>0</v>
      </c>
      <c r="W141" s="998"/>
      <c r="X141" s="2988">
        <f t="shared" si="39"/>
        <v>0</v>
      </c>
      <c r="Y141" s="2988">
        <f t="shared" si="40"/>
        <v>0</v>
      </c>
      <c r="Z141" s="998"/>
    </row>
    <row r="142" spans="1:26">
      <c r="A142" s="35"/>
      <c r="B142" s="20"/>
      <c r="C142" s="13">
        <f t="shared" si="29"/>
        <v>1</v>
      </c>
      <c r="D142" s="601"/>
      <c r="E142" s="13">
        <f t="shared" si="30"/>
        <v>1</v>
      </c>
      <c r="F142" s="601"/>
      <c r="G142" s="13">
        <f t="shared" si="31"/>
        <v>1</v>
      </c>
      <c r="H142" s="601"/>
      <c r="I142" s="13">
        <f t="shared" si="32"/>
        <v>1</v>
      </c>
      <c r="J142" s="601"/>
      <c r="K142" s="13">
        <f t="shared" si="33"/>
        <v>1</v>
      </c>
      <c r="L142" s="601"/>
      <c r="M142" s="13">
        <f t="shared" si="34"/>
        <v>1</v>
      </c>
      <c r="N142" s="601"/>
      <c r="O142" s="13">
        <f t="shared" si="35"/>
        <v>1</v>
      </c>
      <c r="P142" s="601"/>
      <c r="Q142" s="13">
        <f t="shared" si="36"/>
        <v>1</v>
      </c>
      <c r="R142" s="597">
        <f t="shared" si="41"/>
        <v>0</v>
      </c>
      <c r="S142" s="250">
        <f t="shared" si="42"/>
        <v>0</v>
      </c>
      <c r="T142" s="901">
        <f t="shared" si="43"/>
        <v>0</v>
      </c>
      <c r="U142" s="2988">
        <f t="shared" si="37"/>
        <v>0</v>
      </c>
      <c r="V142" s="2988">
        <f t="shared" si="38"/>
        <v>0</v>
      </c>
      <c r="W142" s="998"/>
      <c r="X142" s="2988">
        <f t="shared" si="39"/>
        <v>0</v>
      </c>
      <c r="Y142" s="2988">
        <f t="shared" si="40"/>
        <v>0</v>
      </c>
      <c r="Z142" s="998"/>
    </row>
    <row r="143" spans="1:26">
      <c r="A143" s="35"/>
      <c r="B143" s="20"/>
      <c r="C143" s="13">
        <f t="shared" si="29"/>
        <v>1</v>
      </c>
      <c r="D143" s="601"/>
      <c r="E143" s="13">
        <f t="shared" si="30"/>
        <v>1</v>
      </c>
      <c r="F143" s="601"/>
      <c r="G143" s="13">
        <f t="shared" si="31"/>
        <v>1</v>
      </c>
      <c r="H143" s="601"/>
      <c r="I143" s="13">
        <f t="shared" si="32"/>
        <v>1</v>
      </c>
      <c r="J143" s="601"/>
      <c r="K143" s="13">
        <f t="shared" si="33"/>
        <v>1</v>
      </c>
      <c r="L143" s="601"/>
      <c r="M143" s="13">
        <f t="shared" si="34"/>
        <v>1</v>
      </c>
      <c r="N143" s="601"/>
      <c r="O143" s="13">
        <f t="shared" si="35"/>
        <v>1</v>
      </c>
      <c r="P143" s="601"/>
      <c r="Q143" s="13">
        <f t="shared" si="36"/>
        <v>1</v>
      </c>
      <c r="R143" s="597">
        <f t="shared" si="41"/>
        <v>0</v>
      </c>
      <c r="S143" s="250">
        <f t="shared" si="42"/>
        <v>0</v>
      </c>
      <c r="T143" s="901">
        <f t="shared" si="43"/>
        <v>0</v>
      </c>
      <c r="U143" s="2988">
        <f t="shared" si="37"/>
        <v>0</v>
      </c>
      <c r="V143" s="2988">
        <f t="shared" si="38"/>
        <v>0</v>
      </c>
      <c r="W143" s="998"/>
      <c r="X143" s="2988">
        <f t="shared" si="39"/>
        <v>0</v>
      </c>
      <c r="Y143" s="2988">
        <f t="shared" si="40"/>
        <v>0</v>
      </c>
      <c r="Z143" s="998"/>
    </row>
    <row r="144" spans="1:26">
      <c r="A144" s="35"/>
      <c r="B144" s="20"/>
      <c r="C144" s="13">
        <f t="shared" si="29"/>
        <v>1</v>
      </c>
      <c r="D144" s="601"/>
      <c r="E144" s="13">
        <f t="shared" si="30"/>
        <v>1</v>
      </c>
      <c r="F144" s="601"/>
      <c r="G144" s="13">
        <f t="shared" si="31"/>
        <v>1</v>
      </c>
      <c r="H144" s="601"/>
      <c r="I144" s="13">
        <f t="shared" si="32"/>
        <v>1</v>
      </c>
      <c r="J144" s="601"/>
      <c r="K144" s="13">
        <f t="shared" si="33"/>
        <v>1</v>
      </c>
      <c r="L144" s="601"/>
      <c r="M144" s="13">
        <f t="shared" si="34"/>
        <v>1</v>
      </c>
      <c r="N144" s="601"/>
      <c r="O144" s="13">
        <f t="shared" si="35"/>
        <v>1</v>
      </c>
      <c r="P144" s="601"/>
      <c r="Q144" s="13">
        <f t="shared" si="36"/>
        <v>1</v>
      </c>
      <c r="R144" s="597">
        <f t="shared" si="41"/>
        <v>0</v>
      </c>
      <c r="S144" s="250">
        <f t="shared" si="42"/>
        <v>0</v>
      </c>
      <c r="T144" s="901">
        <f t="shared" si="43"/>
        <v>0</v>
      </c>
      <c r="U144" s="2988">
        <f t="shared" si="37"/>
        <v>0</v>
      </c>
      <c r="V144" s="2988">
        <f t="shared" si="38"/>
        <v>0</v>
      </c>
      <c r="W144" s="998"/>
      <c r="X144" s="2988">
        <f t="shared" si="39"/>
        <v>0</v>
      </c>
      <c r="Y144" s="2988">
        <f t="shared" si="40"/>
        <v>0</v>
      </c>
      <c r="Z144" s="998"/>
    </row>
    <row r="145" spans="1:26">
      <c r="A145" s="35"/>
      <c r="B145" s="20"/>
      <c r="C145" s="13">
        <f t="shared" si="29"/>
        <v>1</v>
      </c>
      <c r="D145" s="601"/>
      <c r="E145" s="13">
        <f t="shared" si="30"/>
        <v>1</v>
      </c>
      <c r="F145" s="601"/>
      <c r="G145" s="13">
        <f t="shared" si="31"/>
        <v>1</v>
      </c>
      <c r="H145" s="601"/>
      <c r="I145" s="13">
        <f t="shared" si="32"/>
        <v>1</v>
      </c>
      <c r="J145" s="601"/>
      <c r="K145" s="13">
        <f t="shared" si="33"/>
        <v>1</v>
      </c>
      <c r="L145" s="601"/>
      <c r="M145" s="13">
        <f t="shared" si="34"/>
        <v>1</v>
      </c>
      <c r="N145" s="601"/>
      <c r="O145" s="13">
        <f t="shared" si="35"/>
        <v>1</v>
      </c>
      <c r="P145" s="601"/>
      <c r="Q145" s="13">
        <f t="shared" si="36"/>
        <v>1</v>
      </c>
      <c r="R145" s="597">
        <f t="shared" si="41"/>
        <v>0</v>
      </c>
      <c r="S145" s="250">
        <f t="shared" si="42"/>
        <v>0</v>
      </c>
      <c r="T145" s="901">
        <f t="shared" si="43"/>
        <v>0</v>
      </c>
      <c r="U145" s="2988">
        <f t="shared" si="37"/>
        <v>0</v>
      </c>
      <c r="V145" s="2988">
        <f t="shared" si="38"/>
        <v>0</v>
      </c>
      <c r="W145" s="998"/>
      <c r="X145" s="2988">
        <f t="shared" si="39"/>
        <v>0</v>
      </c>
      <c r="Y145" s="2988">
        <f t="shared" si="40"/>
        <v>0</v>
      </c>
      <c r="Z145" s="998"/>
    </row>
    <row r="146" spans="1:26">
      <c r="A146" s="35"/>
      <c r="B146" s="20"/>
      <c r="C146" s="13">
        <f t="shared" si="29"/>
        <v>1</v>
      </c>
      <c r="D146" s="601"/>
      <c r="E146" s="13">
        <f t="shared" si="30"/>
        <v>1</v>
      </c>
      <c r="F146" s="601"/>
      <c r="G146" s="13">
        <f t="shared" si="31"/>
        <v>1</v>
      </c>
      <c r="H146" s="601"/>
      <c r="I146" s="13">
        <f t="shared" si="32"/>
        <v>1</v>
      </c>
      <c r="J146" s="601"/>
      <c r="K146" s="13">
        <f t="shared" si="33"/>
        <v>1</v>
      </c>
      <c r="L146" s="601"/>
      <c r="M146" s="13">
        <f t="shared" si="34"/>
        <v>1</v>
      </c>
      <c r="N146" s="601"/>
      <c r="O146" s="13">
        <f t="shared" si="35"/>
        <v>1</v>
      </c>
      <c r="P146" s="601"/>
      <c r="Q146" s="13">
        <f t="shared" si="36"/>
        <v>1</v>
      </c>
      <c r="R146" s="597">
        <f t="shared" si="41"/>
        <v>0</v>
      </c>
      <c r="S146" s="250">
        <f t="shared" si="42"/>
        <v>0</v>
      </c>
      <c r="T146" s="901">
        <f t="shared" si="43"/>
        <v>0</v>
      </c>
      <c r="U146" s="2988">
        <f t="shared" si="37"/>
        <v>0</v>
      </c>
      <c r="V146" s="2988">
        <f t="shared" si="38"/>
        <v>0</v>
      </c>
      <c r="W146" s="998"/>
      <c r="X146" s="2988">
        <f t="shared" si="39"/>
        <v>0</v>
      </c>
      <c r="Y146" s="2988">
        <f t="shared" si="40"/>
        <v>0</v>
      </c>
      <c r="Z146" s="998"/>
    </row>
    <row r="147" spans="1:26">
      <c r="A147" s="35"/>
      <c r="B147" s="20"/>
      <c r="C147" s="13">
        <f t="shared" si="29"/>
        <v>1</v>
      </c>
      <c r="D147" s="601"/>
      <c r="E147" s="13">
        <f t="shared" si="30"/>
        <v>1</v>
      </c>
      <c r="F147" s="601"/>
      <c r="G147" s="13">
        <f t="shared" si="31"/>
        <v>1</v>
      </c>
      <c r="H147" s="601"/>
      <c r="I147" s="13">
        <f t="shared" si="32"/>
        <v>1</v>
      </c>
      <c r="J147" s="601"/>
      <c r="K147" s="13">
        <f t="shared" si="33"/>
        <v>1</v>
      </c>
      <c r="L147" s="601"/>
      <c r="M147" s="13">
        <f t="shared" si="34"/>
        <v>1</v>
      </c>
      <c r="N147" s="601"/>
      <c r="O147" s="13">
        <f t="shared" si="35"/>
        <v>1</v>
      </c>
      <c r="P147" s="601"/>
      <c r="Q147" s="13">
        <f t="shared" si="36"/>
        <v>1</v>
      </c>
      <c r="R147" s="597">
        <f t="shared" si="41"/>
        <v>0</v>
      </c>
      <c r="S147" s="250">
        <f t="shared" si="42"/>
        <v>0</v>
      </c>
      <c r="T147" s="901">
        <f t="shared" si="43"/>
        <v>0</v>
      </c>
      <c r="U147" s="2988">
        <f t="shared" si="37"/>
        <v>0</v>
      </c>
      <c r="V147" s="2988">
        <f t="shared" si="38"/>
        <v>0</v>
      </c>
      <c r="W147" s="998"/>
      <c r="X147" s="2988">
        <f t="shared" si="39"/>
        <v>0</v>
      </c>
      <c r="Y147" s="2988">
        <f t="shared" si="40"/>
        <v>0</v>
      </c>
      <c r="Z147" s="998"/>
    </row>
    <row r="148" spans="1:26">
      <c r="A148" s="35"/>
      <c r="B148" s="20"/>
      <c r="C148" s="13">
        <f t="shared" si="29"/>
        <v>1</v>
      </c>
      <c r="D148" s="601"/>
      <c r="E148" s="13">
        <f t="shared" si="30"/>
        <v>1</v>
      </c>
      <c r="F148" s="601"/>
      <c r="G148" s="13">
        <f t="shared" si="31"/>
        <v>1</v>
      </c>
      <c r="H148" s="601"/>
      <c r="I148" s="13">
        <f t="shared" si="32"/>
        <v>1</v>
      </c>
      <c r="J148" s="601"/>
      <c r="K148" s="13">
        <f t="shared" si="33"/>
        <v>1</v>
      </c>
      <c r="L148" s="601"/>
      <c r="M148" s="13">
        <f t="shared" si="34"/>
        <v>1</v>
      </c>
      <c r="N148" s="601"/>
      <c r="O148" s="13">
        <f t="shared" si="35"/>
        <v>1</v>
      </c>
      <c r="P148" s="601"/>
      <c r="Q148" s="13">
        <f t="shared" si="36"/>
        <v>1</v>
      </c>
      <c r="R148" s="597">
        <f t="shared" si="41"/>
        <v>0</v>
      </c>
      <c r="S148" s="250">
        <f t="shared" si="42"/>
        <v>0</v>
      </c>
      <c r="T148" s="901">
        <f t="shared" si="43"/>
        <v>0</v>
      </c>
      <c r="U148" s="2988">
        <f t="shared" si="37"/>
        <v>0</v>
      </c>
      <c r="V148" s="2988">
        <f t="shared" si="38"/>
        <v>0</v>
      </c>
      <c r="W148" s="998"/>
      <c r="X148" s="2988">
        <f t="shared" si="39"/>
        <v>0</v>
      </c>
      <c r="Y148" s="2988">
        <f t="shared" si="40"/>
        <v>0</v>
      </c>
      <c r="Z148" s="998"/>
    </row>
    <row r="149" spans="1:26">
      <c r="A149" s="35"/>
      <c r="B149" s="20"/>
      <c r="C149" s="13">
        <f t="shared" si="29"/>
        <v>1</v>
      </c>
      <c r="D149" s="601"/>
      <c r="E149" s="13">
        <f t="shared" si="30"/>
        <v>1</v>
      </c>
      <c r="F149" s="601"/>
      <c r="G149" s="13">
        <f t="shared" si="31"/>
        <v>1</v>
      </c>
      <c r="H149" s="601"/>
      <c r="I149" s="13">
        <f t="shared" si="32"/>
        <v>1</v>
      </c>
      <c r="J149" s="601"/>
      <c r="K149" s="13">
        <f t="shared" si="33"/>
        <v>1</v>
      </c>
      <c r="L149" s="601"/>
      <c r="M149" s="13">
        <f t="shared" si="34"/>
        <v>1</v>
      </c>
      <c r="N149" s="601"/>
      <c r="O149" s="13">
        <f t="shared" si="35"/>
        <v>1</v>
      </c>
      <c r="P149" s="601"/>
      <c r="Q149" s="13">
        <f t="shared" si="36"/>
        <v>1</v>
      </c>
      <c r="R149" s="597">
        <f t="shared" si="41"/>
        <v>0</v>
      </c>
      <c r="S149" s="250">
        <f t="shared" si="42"/>
        <v>0</v>
      </c>
      <c r="T149" s="901">
        <f t="shared" si="43"/>
        <v>0</v>
      </c>
      <c r="U149" s="2988">
        <f t="shared" si="37"/>
        <v>0</v>
      </c>
      <c r="V149" s="2988">
        <f t="shared" si="38"/>
        <v>0</v>
      </c>
      <c r="W149" s="998"/>
      <c r="X149" s="2988">
        <f t="shared" si="39"/>
        <v>0</v>
      </c>
      <c r="Y149" s="2988">
        <f t="shared" si="40"/>
        <v>0</v>
      </c>
      <c r="Z149" s="998"/>
    </row>
    <row r="150" spans="1:26">
      <c r="A150" s="35"/>
      <c r="B150" s="20"/>
      <c r="C150" s="13">
        <f t="shared" si="29"/>
        <v>1</v>
      </c>
      <c r="D150" s="601"/>
      <c r="E150" s="13">
        <f t="shared" si="30"/>
        <v>1</v>
      </c>
      <c r="F150" s="601"/>
      <c r="G150" s="13">
        <f t="shared" si="31"/>
        <v>1</v>
      </c>
      <c r="H150" s="601"/>
      <c r="I150" s="13">
        <f t="shared" si="32"/>
        <v>1</v>
      </c>
      <c r="J150" s="601"/>
      <c r="K150" s="13">
        <f t="shared" si="33"/>
        <v>1</v>
      </c>
      <c r="L150" s="601"/>
      <c r="M150" s="13">
        <f t="shared" si="34"/>
        <v>1</v>
      </c>
      <c r="N150" s="601"/>
      <c r="O150" s="13">
        <f t="shared" si="35"/>
        <v>1</v>
      </c>
      <c r="P150" s="601"/>
      <c r="Q150" s="13">
        <f t="shared" si="36"/>
        <v>1</v>
      </c>
      <c r="R150" s="597">
        <f t="shared" si="41"/>
        <v>0</v>
      </c>
      <c r="S150" s="250">
        <f t="shared" si="42"/>
        <v>0</v>
      </c>
      <c r="T150" s="901">
        <f t="shared" si="43"/>
        <v>0</v>
      </c>
      <c r="U150" s="2988">
        <f t="shared" si="37"/>
        <v>0</v>
      </c>
      <c r="V150" s="2988">
        <f t="shared" si="38"/>
        <v>0</v>
      </c>
      <c r="W150" s="998"/>
      <c r="X150" s="2988">
        <f t="shared" si="39"/>
        <v>0</v>
      </c>
      <c r="Y150" s="2988">
        <f t="shared" si="40"/>
        <v>0</v>
      </c>
      <c r="Z150" s="998"/>
    </row>
    <row r="151" spans="1:26">
      <c r="A151" s="35"/>
      <c r="B151" s="20"/>
      <c r="C151" s="13">
        <f t="shared" si="29"/>
        <v>1</v>
      </c>
      <c r="D151" s="601"/>
      <c r="E151" s="13">
        <f t="shared" si="30"/>
        <v>1</v>
      </c>
      <c r="F151" s="601"/>
      <c r="G151" s="13">
        <f t="shared" si="31"/>
        <v>1</v>
      </c>
      <c r="H151" s="601"/>
      <c r="I151" s="13">
        <f t="shared" si="32"/>
        <v>1</v>
      </c>
      <c r="J151" s="601"/>
      <c r="K151" s="13">
        <f t="shared" si="33"/>
        <v>1</v>
      </c>
      <c r="L151" s="601"/>
      <c r="M151" s="13">
        <f t="shared" si="34"/>
        <v>1</v>
      </c>
      <c r="N151" s="601"/>
      <c r="O151" s="13">
        <f t="shared" si="35"/>
        <v>1</v>
      </c>
      <c r="P151" s="601"/>
      <c r="Q151" s="13">
        <f t="shared" si="36"/>
        <v>1</v>
      </c>
      <c r="R151" s="597">
        <f t="shared" si="41"/>
        <v>0</v>
      </c>
      <c r="S151" s="250">
        <f t="shared" si="42"/>
        <v>0</v>
      </c>
      <c r="T151" s="901">
        <f t="shared" si="43"/>
        <v>0</v>
      </c>
      <c r="U151" s="2988">
        <f t="shared" si="37"/>
        <v>0</v>
      </c>
      <c r="V151" s="2988">
        <f t="shared" si="38"/>
        <v>0</v>
      </c>
      <c r="W151" s="998"/>
      <c r="X151" s="2988">
        <f t="shared" si="39"/>
        <v>0</v>
      </c>
      <c r="Y151" s="2988">
        <f t="shared" si="40"/>
        <v>0</v>
      </c>
      <c r="Z151" s="998"/>
    </row>
    <row r="152" spans="1:26">
      <c r="A152" s="35"/>
      <c r="B152" s="20"/>
      <c r="C152" s="13">
        <f t="shared" si="29"/>
        <v>1</v>
      </c>
      <c r="D152" s="601"/>
      <c r="E152" s="13">
        <f t="shared" si="30"/>
        <v>1</v>
      </c>
      <c r="F152" s="601"/>
      <c r="G152" s="13">
        <f t="shared" si="31"/>
        <v>1</v>
      </c>
      <c r="H152" s="601"/>
      <c r="I152" s="13">
        <f t="shared" si="32"/>
        <v>1</v>
      </c>
      <c r="J152" s="601"/>
      <c r="K152" s="13">
        <f t="shared" si="33"/>
        <v>1</v>
      </c>
      <c r="L152" s="601"/>
      <c r="M152" s="13">
        <f t="shared" si="34"/>
        <v>1</v>
      </c>
      <c r="N152" s="601"/>
      <c r="O152" s="13">
        <f t="shared" si="35"/>
        <v>1</v>
      </c>
      <c r="P152" s="601"/>
      <c r="Q152" s="13">
        <f t="shared" si="36"/>
        <v>1</v>
      </c>
      <c r="R152" s="597">
        <f t="shared" si="41"/>
        <v>0</v>
      </c>
      <c r="S152" s="250">
        <f t="shared" si="42"/>
        <v>0</v>
      </c>
      <c r="T152" s="901">
        <f t="shared" si="43"/>
        <v>0</v>
      </c>
      <c r="U152" s="2988">
        <f t="shared" si="37"/>
        <v>0</v>
      </c>
      <c r="V152" s="2988">
        <f t="shared" si="38"/>
        <v>0</v>
      </c>
      <c r="W152" s="998"/>
      <c r="X152" s="2988">
        <f t="shared" si="39"/>
        <v>0</v>
      </c>
      <c r="Y152" s="2988">
        <f t="shared" si="40"/>
        <v>0</v>
      </c>
      <c r="Z152" s="998"/>
    </row>
    <row r="153" spans="1:26">
      <c r="A153" s="35"/>
      <c r="B153" s="20"/>
      <c r="C153" s="13">
        <f t="shared" si="29"/>
        <v>1</v>
      </c>
      <c r="D153" s="601"/>
      <c r="E153" s="13">
        <f t="shared" si="30"/>
        <v>1</v>
      </c>
      <c r="F153" s="601"/>
      <c r="G153" s="13">
        <f t="shared" si="31"/>
        <v>1</v>
      </c>
      <c r="H153" s="601"/>
      <c r="I153" s="13">
        <f t="shared" si="32"/>
        <v>1</v>
      </c>
      <c r="J153" s="601"/>
      <c r="K153" s="13">
        <f t="shared" si="33"/>
        <v>1</v>
      </c>
      <c r="L153" s="601"/>
      <c r="M153" s="13">
        <f t="shared" si="34"/>
        <v>1</v>
      </c>
      <c r="N153" s="601"/>
      <c r="O153" s="13">
        <f t="shared" si="35"/>
        <v>1</v>
      </c>
      <c r="P153" s="601"/>
      <c r="Q153" s="13">
        <f t="shared" si="36"/>
        <v>1</v>
      </c>
      <c r="R153" s="597">
        <f t="shared" si="41"/>
        <v>0</v>
      </c>
      <c r="S153" s="250">
        <f t="shared" si="42"/>
        <v>0</v>
      </c>
      <c r="T153" s="901">
        <f t="shared" si="43"/>
        <v>0</v>
      </c>
      <c r="U153" s="2988">
        <f t="shared" si="37"/>
        <v>0</v>
      </c>
      <c r="V153" s="2988">
        <f t="shared" si="38"/>
        <v>0</v>
      </c>
      <c r="W153" s="998"/>
      <c r="X153" s="2988">
        <f t="shared" si="39"/>
        <v>0</v>
      </c>
      <c r="Y153" s="2988">
        <f t="shared" si="40"/>
        <v>0</v>
      </c>
      <c r="Z153" s="998"/>
    </row>
    <row r="154" spans="1:26">
      <c r="A154" s="35"/>
      <c r="B154" s="20"/>
      <c r="C154" s="13">
        <f t="shared" si="29"/>
        <v>1</v>
      </c>
      <c r="D154" s="601"/>
      <c r="E154" s="13">
        <f t="shared" si="30"/>
        <v>1</v>
      </c>
      <c r="F154" s="601"/>
      <c r="G154" s="13">
        <f t="shared" si="31"/>
        <v>1</v>
      </c>
      <c r="H154" s="601"/>
      <c r="I154" s="13">
        <f t="shared" si="32"/>
        <v>1</v>
      </c>
      <c r="J154" s="601"/>
      <c r="K154" s="13">
        <f t="shared" si="33"/>
        <v>1</v>
      </c>
      <c r="L154" s="601"/>
      <c r="M154" s="13">
        <f t="shared" si="34"/>
        <v>1</v>
      </c>
      <c r="N154" s="601"/>
      <c r="O154" s="13">
        <f t="shared" si="35"/>
        <v>1</v>
      </c>
      <c r="P154" s="601"/>
      <c r="Q154" s="13">
        <f t="shared" si="36"/>
        <v>1</v>
      </c>
      <c r="R154" s="597">
        <f t="shared" si="41"/>
        <v>0</v>
      </c>
      <c r="S154" s="250">
        <f t="shared" si="42"/>
        <v>0</v>
      </c>
      <c r="T154" s="901">
        <f t="shared" si="43"/>
        <v>0</v>
      </c>
      <c r="U154" s="2988">
        <f t="shared" si="37"/>
        <v>0</v>
      </c>
      <c r="V154" s="2988">
        <f t="shared" si="38"/>
        <v>0</v>
      </c>
      <c r="W154" s="998"/>
      <c r="X154" s="2988">
        <f t="shared" si="39"/>
        <v>0</v>
      </c>
      <c r="Y154" s="2988">
        <f t="shared" si="40"/>
        <v>0</v>
      </c>
      <c r="Z154" s="998"/>
    </row>
    <row r="155" spans="1:26">
      <c r="A155" s="35"/>
      <c r="B155" s="20"/>
      <c r="C155" s="13">
        <f t="shared" si="29"/>
        <v>1</v>
      </c>
      <c r="D155" s="601"/>
      <c r="E155" s="13">
        <f t="shared" si="30"/>
        <v>1</v>
      </c>
      <c r="F155" s="601"/>
      <c r="G155" s="13">
        <f t="shared" si="31"/>
        <v>1</v>
      </c>
      <c r="H155" s="601"/>
      <c r="I155" s="13">
        <f t="shared" si="32"/>
        <v>1</v>
      </c>
      <c r="J155" s="601"/>
      <c r="K155" s="13">
        <f t="shared" si="33"/>
        <v>1</v>
      </c>
      <c r="L155" s="601"/>
      <c r="M155" s="13">
        <f t="shared" si="34"/>
        <v>1</v>
      </c>
      <c r="N155" s="601"/>
      <c r="O155" s="13">
        <f t="shared" si="35"/>
        <v>1</v>
      </c>
      <c r="P155" s="601"/>
      <c r="Q155" s="13">
        <f t="shared" si="36"/>
        <v>1</v>
      </c>
      <c r="R155" s="597">
        <f t="shared" si="41"/>
        <v>0</v>
      </c>
      <c r="S155" s="250">
        <f t="shared" si="42"/>
        <v>0</v>
      </c>
      <c r="T155" s="901">
        <f t="shared" si="43"/>
        <v>0</v>
      </c>
      <c r="U155" s="2988">
        <f t="shared" si="37"/>
        <v>0</v>
      </c>
      <c r="V155" s="2988">
        <f t="shared" si="38"/>
        <v>0</v>
      </c>
      <c r="W155" s="998"/>
      <c r="X155" s="2988">
        <f t="shared" si="39"/>
        <v>0</v>
      </c>
      <c r="Y155" s="2988">
        <f t="shared" si="40"/>
        <v>0</v>
      </c>
      <c r="Z155" s="998"/>
    </row>
    <row r="156" spans="1:26">
      <c r="A156" s="35"/>
      <c r="B156" s="20"/>
      <c r="C156" s="13">
        <f t="shared" ref="C156:C219" si="44">IF(B156="",1,(LOOKUP(B156,$6:$6,$7:$7)-LOOKUP($B$27,$6:$6,$7:$7)+100)/100)</f>
        <v>1</v>
      </c>
      <c r="D156" s="601"/>
      <c r="E156" s="13">
        <f t="shared" ref="E156:E219" si="45">(SUMIF($8:$8,D156,$9:$9)-SUMIF($8:$8,$D$27,$9:$9)+100)/100</f>
        <v>1</v>
      </c>
      <c r="F156" s="601"/>
      <c r="G156" s="13">
        <f t="shared" ref="G156:G219" si="46">(SUMIF($10:$10,F156,$11:$11)-SUMIF($10:$10,$F$27,$11:$11)+100)/100</f>
        <v>1</v>
      </c>
      <c r="H156" s="601"/>
      <c r="I156" s="13">
        <f t="shared" ref="I156:I219" si="47">(SUMIF($12:$12,H156,$13:$13)-SUMIF($12:$12,$H$27,$13:$13)+100)/100</f>
        <v>1</v>
      </c>
      <c r="J156" s="601"/>
      <c r="K156" s="13">
        <f t="shared" ref="K156:K219" si="48">(SUMIF($14:$14,J156,$15:$15)-SUMIF($14:$14,$J$27,$15:$15)+100)/100</f>
        <v>1</v>
      </c>
      <c r="L156" s="601"/>
      <c r="M156" s="13">
        <f t="shared" ref="M156:M219" si="49">(SUMIF($16:$16,L156,$17:$17)-SUMIF($16:$16,$L$27,$17:$17)+100)/100</f>
        <v>1</v>
      </c>
      <c r="N156" s="601"/>
      <c r="O156" s="13">
        <f t="shared" ref="O156:O219" si="50">(SUMIF($18:$18,N156,$19:$19)-SUMIF($18:$18,$N$27,$19:$19)+100)/100</f>
        <v>1</v>
      </c>
      <c r="P156" s="601"/>
      <c r="Q156" s="13">
        <f t="shared" ref="Q156:Q219" si="51">(SUMIF($20:$20,P156,$21:$21)-SUMIF($20:$20,$P$27,$21:$21)+100)/100</f>
        <v>1</v>
      </c>
      <c r="R156" s="597">
        <f t="shared" si="41"/>
        <v>0</v>
      </c>
      <c r="S156" s="250">
        <f t="shared" si="42"/>
        <v>0</v>
      </c>
      <c r="T156" s="901">
        <f t="shared" si="43"/>
        <v>0</v>
      </c>
      <c r="U156" s="2988">
        <f t="shared" ref="U156:U219" si="52">ROUND(W156*B156,0)</f>
        <v>0</v>
      </c>
      <c r="V156" s="2988">
        <f t="shared" ref="V156:V219" si="53">ROUND(W156*B156/10000,0)</f>
        <v>0</v>
      </c>
      <c r="W156" s="998"/>
      <c r="X156" s="2988">
        <f t="shared" ref="X156:X219" si="54">ROUND(Z156*B156,0)</f>
        <v>0</v>
      </c>
      <c r="Y156" s="2988">
        <f t="shared" ref="Y156:Y219" si="55">ROUND(Z156*B156/10000,0)</f>
        <v>0</v>
      </c>
      <c r="Z156" s="998"/>
    </row>
    <row r="157" spans="1:26">
      <c r="A157" s="35"/>
      <c r="B157" s="20"/>
      <c r="C157" s="13">
        <f t="shared" si="44"/>
        <v>1</v>
      </c>
      <c r="D157" s="601"/>
      <c r="E157" s="13">
        <f t="shared" si="45"/>
        <v>1</v>
      </c>
      <c r="F157" s="601"/>
      <c r="G157" s="13">
        <f t="shared" si="46"/>
        <v>1</v>
      </c>
      <c r="H157" s="601"/>
      <c r="I157" s="13">
        <f t="shared" si="47"/>
        <v>1</v>
      </c>
      <c r="J157" s="601"/>
      <c r="K157" s="13">
        <f t="shared" si="48"/>
        <v>1</v>
      </c>
      <c r="L157" s="601"/>
      <c r="M157" s="13">
        <f t="shared" si="49"/>
        <v>1</v>
      </c>
      <c r="N157" s="601"/>
      <c r="O157" s="13">
        <f t="shared" si="50"/>
        <v>1</v>
      </c>
      <c r="P157" s="601"/>
      <c r="Q157" s="13">
        <f t="shared" si="51"/>
        <v>1</v>
      </c>
      <c r="R157" s="597">
        <f t="shared" ref="R157:R220" si="56">IF(B157="",0,ROUND($R$27*C157*E157*G157*I157*K157*M157*O157*Q157,0))</f>
        <v>0</v>
      </c>
      <c r="S157" s="250">
        <f t="shared" ref="S157:S220" si="57">ROUND(R157*B157,0)</f>
        <v>0</v>
      </c>
      <c r="T157" s="901">
        <f t="shared" ref="T157:T220" si="58">ROUND(R157*B157/10000,0)</f>
        <v>0</v>
      </c>
      <c r="U157" s="2988">
        <f t="shared" si="52"/>
        <v>0</v>
      </c>
      <c r="V157" s="2988">
        <f t="shared" si="53"/>
        <v>0</v>
      </c>
      <c r="W157" s="998"/>
      <c r="X157" s="2988">
        <f t="shared" si="54"/>
        <v>0</v>
      </c>
      <c r="Y157" s="2988">
        <f t="shared" si="55"/>
        <v>0</v>
      </c>
      <c r="Z157" s="998"/>
    </row>
    <row r="158" spans="1:26">
      <c r="A158" s="35"/>
      <c r="B158" s="20"/>
      <c r="C158" s="13">
        <f t="shared" si="44"/>
        <v>1</v>
      </c>
      <c r="D158" s="601"/>
      <c r="E158" s="13">
        <f t="shared" si="45"/>
        <v>1</v>
      </c>
      <c r="F158" s="601"/>
      <c r="G158" s="13">
        <f t="shared" si="46"/>
        <v>1</v>
      </c>
      <c r="H158" s="601"/>
      <c r="I158" s="13">
        <f t="shared" si="47"/>
        <v>1</v>
      </c>
      <c r="J158" s="601"/>
      <c r="K158" s="13">
        <f t="shared" si="48"/>
        <v>1</v>
      </c>
      <c r="L158" s="601"/>
      <c r="M158" s="13">
        <f t="shared" si="49"/>
        <v>1</v>
      </c>
      <c r="N158" s="601"/>
      <c r="O158" s="13">
        <f t="shared" si="50"/>
        <v>1</v>
      </c>
      <c r="P158" s="601"/>
      <c r="Q158" s="13">
        <f t="shared" si="51"/>
        <v>1</v>
      </c>
      <c r="R158" s="597">
        <f t="shared" si="56"/>
        <v>0</v>
      </c>
      <c r="S158" s="250">
        <f t="shared" si="57"/>
        <v>0</v>
      </c>
      <c r="T158" s="901">
        <f t="shared" si="58"/>
        <v>0</v>
      </c>
      <c r="U158" s="2988">
        <f t="shared" si="52"/>
        <v>0</v>
      </c>
      <c r="V158" s="2988">
        <f t="shared" si="53"/>
        <v>0</v>
      </c>
      <c r="W158" s="998"/>
      <c r="X158" s="2988">
        <f t="shared" si="54"/>
        <v>0</v>
      </c>
      <c r="Y158" s="2988">
        <f t="shared" si="55"/>
        <v>0</v>
      </c>
      <c r="Z158" s="998"/>
    </row>
    <row r="159" spans="1:26">
      <c r="A159" s="35"/>
      <c r="B159" s="20"/>
      <c r="C159" s="13">
        <f t="shared" si="44"/>
        <v>1</v>
      </c>
      <c r="D159" s="601"/>
      <c r="E159" s="13">
        <f t="shared" si="45"/>
        <v>1</v>
      </c>
      <c r="F159" s="601"/>
      <c r="G159" s="13">
        <f t="shared" si="46"/>
        <v>1</v>
      </c>
      <c r="H159" s="601"/>
      <c r="I159" s="13">
        <f t="shared" si="47"/>
        <v>1</v>
      </c>
      <c r="J159" s="601"/>
      <c r="K159" s="13">
        <f t="shared" si="48"/>
        <v>1</v>
      </c>
      <c r="L159" s="601"/>
      <c r="M159" s="13">
        <f t="shared" si="49"/>
        <v>1</v>
      </c>
      <c r="N159" s="601"/>
      <c r="O159" s="13">
        <f t="shared" si="50"/>
        <v>1</v>
      </c>
      <c r="P159" s="601"/>
      <c r="Q159" s="13">
        <f t="shared" si="51"/>
        <v>1</v>
      </c>
      <c r="R159" s="597">
        <f t="shared" si="56"/>
        <v>0</v>
      </c>
      <c r="S159" s="250">
        <f t="shared" si="57"/>
        <v>0</v>
      </c>
      <c r="T159" s="901">
        <f t="shared" si="58"/>
        <v>0</v>
      </c>
      <c r="U159" s="2988">
        <f t="shared" si="52"/>
        <v>0</v>
      </c>
      <c r="V159" s="2988">
        <f t="shared" si="53"/>
        <v>0</v>
      </c>
      <c r="W159" s="998"/>
      <c r="X159" s="2988">
        <f t="shared" si="54"/>
        <v>0</v>
      </c>
      <c r="Y159" s="2988">
        <f t="shared" si="55"/>
        <v>0</v>
      </c>
      <c r="Z159" s="998"/>
    </row>
    <row r="160" spans="1:26">
      <c r="A160" s="35"/>
      <c r="B160" s="20"/>
      <c r="C160" s="13">
        <f t="shared" si="44"/>
        <v>1</v>
      </c>
      <c r="D160" s="601"/>
      <c r="E160" s="13">
        <f t="shared" si="45"/>
        <v>1</v>
      </c>
      <c r="F160" s="601"/>
      <c r="G160" s="13">
        <f t="shared" si="46"/>
        <v>1</v>
      </c>
      <c r="H160" s="601"/>
      <c r="I160" s="13">
        <f t="shared" si="47"/>
        <v>1</v>
      </c>
      <c r="J160" s="601"/>
      <c r="K160" s="13">
        <f t="shared" si="48"/>
        <v>1</v>
      </c>
      <c r="L160" s="601"/>
      <c r="M160" s="13">
        <f t="shared" si="49"/>
        <v>1</v>
      </c>
      <c r="N160" s="601"/>
      <c r="O160" s="13">
        <f t="shared" si="50"/>
        <v>1</v>
      </c>
      <c r="P160" s="601"/>
      <c r="Q160" s="13">
        <f t="shared" si="51"/>
        <v>1</v>
      </c>
      <c r="R160" s="597">
        <f t="shared" si="56"/>
        <v>0</v>
      </c>
      <c r="S160" s="250">
        <f t="shared" si="57"/>
        <v>0</v>
      </c>
      <c r="T160" s="901">
        <f t="shared" si="58"/>
        <v>0</v>
      </c>
      <c r="U160" s="2988">
        <f t="shared" si="52"/>
        <v>0</v>
      </c>
      <c r="V160" s="2988">
        <f t="shared" si="53"/>
        <v>0</v>
      </c>
      <c r="W160" s="998"/>
      <c r="X160" s="2988">
        <f t="shared" si="54"/>
        <v>0</v>
      </c>
      <c r="Y160" s="2988">
        <f t="shared" si="55"/>
        <v>0</v>
      </c>
      <c r="Z160" s="998"/>
    </row>
    <row r="161" spans="1:26">
      <c r="A161" s="35"/>
      <c r="B161" s="20"/>
      <c r="C161" s="13">
        <f t="shared" si="44"/>
        <v>1</v>
      </c>
      <c r="D161" s="601"/>
      <c r="E161" s="13">
        <f t="shared" si="45"/>
        <v>1</v>
      </c>
      <c r="F161" s="601"/>
      <c r="G161" s="13">
        <f t="shared" si="46"/>
        <v>1</v>
      </c>
      <c r="H161" s="601"/>
      <c r="I161" s="13">
        <f t="shared" si="47"/>
        <v>1</v>
      </c>
      <c r="J161" s="601"/>
      <c r="K161" s="13">
        <f t="shared" si="48"/>
        <v>1</v>
      </c>
      <c r="L161" s="601"/>
      <c r="M161" s="13">
        <f t="shared" si="49"/>
        <v>1</v>
      </c>
      <c r="N161" s="601"/>
      <c r="O161" s="13">
        <f t="shared" si="50"/>
        <v>1</v>
      </c>
      <c r="P161" s="601"/>
      <c r="Q161" s="13">
        <f t="shared" si="51"/>
        <v>1</v>
      </c>
      <c r="R161" s="597">
        <f t="shared" si="56"/>
        <v>0</v>
      </c>
      <c r="S161" s="250">
        <f t="shared" si="57"/>
        <v>0</v>
      </c>
      <c r="T161" s="901">
        <f t="shared" si="58"/>
        <v>0</v>
      </c>
      <c r="U161" s="2988">
        <f t="shared" si="52"/>
        <v>0</v>
      </c>
      <c r="V161" s="2988">
        <f t="shared" si="53"/>
        <v>0</v>
      </c>
      <c r="W161" s="998"/>
      <c r="X161" s="2988">
        <f t="shared" si="54"/>
        <v>0</v>
      </c>
      <c r="Y161" s="2988">
        <f t="shared" si="55"/>
        <v>0</v>
      </c>
      <c r="Z161" s="998"/>
    </row>
    <row r="162" spans="1:26">
      <c r="A162" s="35"/>
      <c r="B162" s="20"/>
      <c r="C162" s="13">
        <f t="shared" si="44"/>
        <v>1</v>
      </c>
      <c r="D162" s="601"/>
      <c r="E162" s="13">
        <f t="shared" si="45"/>
        <v>1</v>
      </c>
      <c r="F162" s="601"/>
      <c r="G162" s="13">
        <f t="shared" si="46"/>
        <v>1</v>
      </c>
      <c r="H162" s="601"/>
      <c r="I162" s="13">
        <f t="shared" si="47"/>
        <v>1</v>
      </c>
      <c r="J162" s="601"/>
      <c r="K162" s="13">
        <f t="shared" si="48"/>
        <v>1</v>
      </c>
      <c r="L162" s="601"/>
      <c r="M162" s="13">
        <f t="shared" si="49"/>
        <v>1</v>
      </c>
      <c r="N162" s="601"/>
      <c r="O162" s="13">
        <f t="shared" si="50"/>
        <v>1</v>
      </c>
      <c r="P162" s="601"/>
      <c r="Q162" s="13">
        <f t="shared" si="51"/>
        <v>1</v>
      </c>
      <c r="R162" s="597">
        <f t="shared" si="56"/>
        <v>0</v>
      </c>
      <c r="S162" s="250">
        <f t="shared" si="57"/>
        <v>0</v>
      </c>
      <c r="T162" s="901">
        <f t="shared" si="58"/>
        <v>0</v>
      </c>
      <c r="U162" s="2988">
        <f t="shared" si="52"/>
        <v>0</v>
      </c>
      <c r="V162" s="2988">
        <f t="shared" si="53"/>
        <v>0</v>
      </c>
      <c r="W162" s="998"/>
      <c r="X162" s="2988">
        <f t="shared" si="54"/>
        <v>0</v>
      </c>
      <c r="Y162" s="2988">
        <f t="shared" si="55"/>
        <v>0</v>
      </c>
      <c r="Z162" s="998"/>
    </row>
    <row r="163" spans="1:26">
      <c r="A163" s="35"/>
      <c r="B163" s="20"/>
      <c r="C163" s="13">
        <f t="shared" si="44"/>
        <v>1</v>
      </c>
      <c r="D163" s="601"/>
      <c r="E163" s="13">
        <f t="shared" si="45"/>
        <v>1</v>
      </c>
      <c r="F163" s="601"/>
      <c r="G163" s="13">
        <f t="shared" si="46"/>
        <v>1</v>
      </c>
      <c r="H163" s="601"/>
      <c r="I163" s="13">
        <f t="shared" si="47"/>
        <v>1</v>
      </c>
      <c r="J163" s="601"/>
      <c r="K163" s="13">
        <f t="shared" si="48"/>
        <v>1</v>
      </c>
      <c r="L163" s="601"/>
      <c r="M163" s="13">
        <f t="shared" si="49"/>
        <v>1</v>
      </c>
      <c r="N163" s="601"/>
      <c r="O163" s="13">
        <f t="shared" si="50"/>
        <v>1</v>
      </c>
      <c r="P163" s="601"/>
      <c r="Q163" s="13">
        <f t="shared" si="51"/>
        <v>1</v>
      </c>
      <c r="R163" s="597">
        <f t="shared" si="56"/>
        <v>0</v>
      </c>
      <c r="S163" s="250">
        <f t="shared" si="57"/>
        <v>0</v>
      </c>
      <c r="T163" s="901">
        <f t="shared" si="58"/>
        <v>0</v>
      </c>
      <c r="U163" s="2988">
        <f t="shared" si="52"/>
        <v>0</v>
      </c>
      <c r="V163" s="2988">
        <f t="shared" si="53"/>
        <v>0</v>
      </c>
      <c r="W163" s="998"/>
      <c r="X163" s="2988">
        <f t="shared" si="54"/>
        <v>0</v>
      </c>
      <c r="Y163" s="2988">
        <f t="shared" si="55"/>
        <v>0</v>
      </c>
      <c r="Z163" s="998"/>
    </row>
    <row r="164" spans="1:26">
      <c r="A164" s="35"/>
      <c r="B164" s="20"/>
      <c r="C164" s="13">
        <f t="shared" si="44"/>
        <v>1</v>
      </c>
      <c r="D164" s="601"/>
      <c r="E164" s="13">
        <f t="shared" si="45"/>
        <v>1</v>
      </c>
      <c r="F164" s="601"/>
      <c r="G164" s="13">
        <f t="shared" si="46"/>
        <v>1</v>
      </c>
      <c r="H164" s="601"/>
      <c r="I164" s="13">
        <f t="shared" si="47"/>
        <v>1</v>
      </c>
      <c r="J164" s="601"/>
      <c r="K164" s="13">
        <f t="shared" si="48"/>
        <v>1</v>
      </c>
      <c r="L164" s="601"/>
      <c r="M164" s="13">
        <f t="shared" si="49"/>
        <v>1</v>
      </c>
      <c r="N164" s="601"/>
      <c r="O164" s="13">
        <f t="shared" si="50"/>
        <v>1</v>
      </c>
      <c r="P164" s="601"/>
      <c r="Q164" s="13">
        <f t="shared" si="51"/>
        <v>1</v>
      </c>
      <c r="R164" s="597">
        <f t="shared" si="56"/>
        <v>0</v>
      </c>
      <c r="S164" s="250">
        <f t="shared" si="57"/>
        <v>0</v>
      </c>
      <c r="T164" s="901">
        <f t="shared" si="58"/>
        <v>0</v>
      </c>
      <c r="U164" s="2988">
        <f t="shared" si="52"/>
        <v>0</v>
      </c>
      <c r="V164" s="2988">
        <f t="shared" si="53"/>
        <v>0</v>
      </c>
      <c r="W164" s="998"/>
      <c r="X164" s="2988">
        <f t="shared" si="54"/>
        <v>0</v>
      </c>
      <c r="Y164" s="2988">
        <f t="shared" si="55"/>
        <v>0</v>
      </c>
      <c r="Z164" s="998"/>
    </row>
    <row r="165" spans="1:26">
      <c r="A165" s="35"/>
      <c r="B165" s="20"/>
      <c r="C165" s="13">
        <f t="shared" si="44"/>
        <v>1</v>
      </c>
      <c r="D165" s="601"/>
      <c r="E165" s="13">
        <f t="shared" si="45"/>
        <v>1</v>
      </c>
      <c r="F165" s="601"/>
      <c r="G165" s="13">
        <f t="shared" si="46"/>
        <v>1</v>
      </c>
      <c r="H165" s="601"/>
      <c r="I165" s="13">
        <f t="shared" si="47"/>
        <v>1</v>
      </c>
      <c r="J165" s="601"/>
      <c r="K165" s="13">
        <f t="shared" si="48"/>
        <v>1</v>
      </c>
      <c r="L165" s="601"/>
      <c r="M165" s="13">
        <f t="shared" si="49"/>
        <v>1</v>
      </c>
      <c r="N165" s="601"/>
      <c r="O165" s="13">
        <f t="shared" si="50"/>
        <v>1</v>
      </c>
      <c r="P165" s="601"/>
      <c r="Q165" s="13">
        <f t="shared" si="51"/>
        <v>1</v>
      </c>
      <c r="R165" s="597">
        <f t="shared" si="56"/>
        <v>0</v>
      </c>
      <c r="S165" s="250">
        <f t="shared" si="57"/>
        <v>0</v>
      </c>
      <c r="T165" s="901">
        <f t="shared" si="58"/>
        <v>0</v>
      </c>
      <c r="U165" s="2988">
        <f t="shared" si="52"/>
        <v>0</v>
      </c>
      <c r="V165" s="2988">
        <f t="shared" si="53"/>
        <v>0</v>
      </c>
      <c r="W165" s="998"/>
      <c r="X165" s="2988">
        <f t="shared" si="54"/>
        <v>0</v>
      </c>
      <c r="Y165" s="2988">
        <f t="shared" si="55"/>
        <v>0</v>
      </c>
      <c r="Z165" s="998"/>
    </row>
    <row r="166" spans="1:26">
      <c r="A166" s="35"/>
      <c r="B166" s="20"/>
      <c r="C166" s="13">
        <f t="shared" si="44"/>
        <v>1</v>
      </c>
      <c r="D166" s="601"/>
      <c r="E166" s="13">
        <f t="shared" si="45"/>
        <v>1</v>
      </c>
      <c r="F166" s="601"/>
      <c r="G166" s="13">
        <f t="shared" si="46"/>
        <v>1</v>
      </c>
      <c r="H166" s="601"/>
      <c r="I166" s="13">
        <f t="shared" si="47"/>
        <v>1</v>
      </c>
      <c r="J166" s="601"/>
      <c r="K166" s="13">
        <f t="shared" si="48"/>
        <v>1</v>
      </c>
      <c r="L166" s="601"/>
      <c r="M166" s="13">
        <f t="shared" si="49"/>
        <v>1</v>
      </c>
      <c r="N166" s="601"/>
      <c r="O166" s="13">
        <f t="shared" si="50"/>
        <v>1</v>
      </c>
      <c r="P166" s="601"/>
      <c r="Q166" s="13">
        <f t="shared" si="51"/>
        <v>1</v>
      </c>
      <c r="R166" s="597">
        <f t="shared" si="56"/>
        <v>0</v>
      </c>
      <c r="S166" s="250">
        <f t="shared" si="57"/>
        <v>0</v>
      </c>
      <c r="T166" s="901">
        <f t="shared" si="58"/>
        <v>0</v>
      </c>
      <c r="U166" s="2988">
        <f t="shared" si="52"/>
        <v>0</v>
      </c>
      <c r="V166" s="2988">
        <f t="shared" si="53"/>
        <v>0</v>
      </c>
      <c r="W166" s="998"/>
      <c r="X166" s="2988">
        <f t="shared" si="54"/>
        <v>0</v>
      </c>
      <c r="Y166" s="2988">
        <f t="shared" si="55"/>
        <v>0</v>
      </c>
      <c r="Z166" s="998"/>
    </row>
    <row r="167" spans="1:26">
      <c r="A167" s="35"/>
      <c r="B167" s="20"/>
      <c r="C167" s="13">
        <f t="shared" si="44"/>
        <v>1</v>
      </c>
      <c r="D167" s="601"/>
      <c r="E167" s="13">
        <f t="shared" si="45"/>
        <v>1</v>
      </c>
      <c r="F167" s="601"/>
      <c r="G167" s="13">
        <f t="shared" si="46"/>
        <v>1</v>
      </c>
      <c r="H167" s="601"/>
      <c r="I167" s="13">
        <f t="shared" si="47"/>
        <v>1</v>
      </c>
      <c r="J167" s="601"/>
      <c r="K167" s="13">
        <f t="shared" si="48"/>
        <v>1</v>
      </c>
      <c r="L167" s="601"/>
      <c r="M167" s="13">
        <f t="shared" si="49"/>
        <v>1</v>
      </c>
      <c r="N167" s="601"/>
      <c r="O167" s="13">
        <f t="shared" si="50"/>
        <v>1</v>
      </c>
      <c r="P167" s="601"/>
      <c r="Q167" s="13">
        <f t="shared" si="51"/>
        <v>1</v>
      </c>
      <c r="R167" s="597">
        <f t="shared" si="56"/>
        <v>0</v>
      </c>
      <c r="S167" s="250">
        <f t="shared" si="57"/>
        <v>0</v>
      </c>
      <c r="T167" s="901">
        <f t="shared" si="58"/>
        <v>0</v>
      </c>
      <c r="U167" s="2988">
        <f t="shared" si="52"/>
        <v>0</v>
      </c>
      <c r="V167" s="2988">
        <f t="shared" si="53"/>
        <v>0</v>
      </c>
      <c r="W167" s="998"/>
      <c r="X167" s="2988">
        <f t="shared" si="54"/>
        <v>0</v>
      </c>
      <c r="Y167" s="2988">
        <f t="shared" si="55"/>
        <v>0</v>
      </c>
      <c r="Z167" s="998"/>
    </row>
    <row r="168" spans="1:26">
      <c r="A168" s="35"/>
      <c r="B168" s="20"/>
      <c r="C168" s="13">
        <f t="shared" si="44"/>
        <v>1</v>
      </c>
      <c r="D168" s="601"/>
      <c r="E168" s="13">
        <f t="shared" si="45"/>
        <v>1</v>
      </c>
      <c r="F168" s="601"/>
      <c r="G168" s="13">
        <f t="shared" si="46"/>
        <v>1</v>
      </c>
      <c r="H168" s="601"/>
      <c r="I168" s="13">
        <f t="shared" si="47"/>
        <v>1</v>
      </c>
      <c r="J168" s="601"/>
      <c r="K168" s="13">
        <f t="shared" si="48"/>
        <v>1</v>
      </c>
      <c r="L168" s="601"/>
      <c r="M168" s="13">
        <f t="shared" si="49"/>
        <v>1</v>
      </c>
      <c r="N168" s="601"/>
      <c r="O168" s="13">
        <f t="shared" si="50"/>
        <v>1</v>
      </c>
      <c r="P168" s="601"/>
      <c r="Q168" s="13">
        <f t="shared" si="51"/>
        <v>1</v>
      </c>
      <c r="R168" s="597">
        <f t="shared" si="56"/>
        <v>0</v>
      </c>
      <c r="S168" s="250">
        <f t="shared" si="57"/>
        <v>0</v>
      </c>
      <c r="T168" s="901">
        <f t="shared" si="58"/>
        <v>0</v>
      </c>
      <c r="U168" s="2988">
        <f t="shared" si="52"/>
        <v>0</v>
      </c>
      <c r="V168" s="2988">
        <f t="shared" si="53"/>
        <v>0</v>
      </c>
      <c r="W168" s="998"/>
      <c r="X168" s="2988">
        <f t="shared" si="54"/>
        <v>0</v>
      </c>
      <c r="Y168" s="2988">
        <f t="shared" si="55"/>
        <v>0</v>
      </c>
      <c r="Z168" s="998"/>
    </row>
    <row r="169" spans="1:26">
      <c r="A169" s="35"/>
      <c r="B169" s="20"/>
      <c r="C169" s="13">
        <f t="shared" si="44"/>
        <v>1</v>
      </c>
      <c r="D169" s="601"/>
      <c r="E169" s="13">
        <f t="shared" si="45"/>
        <v>1</v>
      </c>
      <c r="F169" s="601"/>
      <c r="G169" s="13">
        <f t="shared" si="46"/>
        <v>1</v>
      </c>
      <c r="H169" s="601"/>
      <c r="I169" s="13">
        <f t="shared" si="47"/>
        <v>1</v>
      </c>
      <c r="J169" s="601"/>
      <c r="K169" s="13">
        <f t="shared" si="48"/>
        <v>1</v>
      </c>
      <c r="L169" s="601"/>
      <c r="M169" s="13">
        <f t="shared" si="49"/>
        <v>1</v>
      </c>
      <c r="N169" s="601"/>
      <c r="O169" s="13">
        <f t="shared" si="50"/>
        <v>1</v>
      </c>
      <c r="P169" s="601"/>
      <c r="Q169" s="13">
        <f t="shared" si="51"/>
        <v>1</v>
      </c>
      <c r="R169" s="597">
        <f t="shared" si="56"/>
        <v>0</v>
      </c>
      <c r="S169" s="250">
        <f t="shared" si="57"/>
        <v>0</v>
      </c>
      <c r="T169" s="901">
        <f t="shared" si="58"/>
        <v>0</v>
      </c>
      <c r="U169" s="2988">
        <f t="shared" si="52"/>
        <v>0</v>
      </c>
      <c r="V169" s="2988">
        <f t="shared" si="53"/>
        <v>0</v>
      </c>
      <c r="W169" s="998"/>
      <c r="X169" s="2988">
        <f t="shared" si="54"/>
        <v>0</v>
      </c>
      <c r="Y169" s="2988">
        <f t="shared" si="55"/>
        <v>0</v>
      </c>
      <c r="Z169" s="998"/>
    </row>
    <row r="170" spans="1:26">
      <c r="A170" s="35"/>
      <c r="B170" s="20"/>
      <c r="C170" s="13">
        <f t="shared" si="44"/>
        <v>1</v>
      </c>
      <c r="D170" s="601"/>
      <c r="E170" s="13">
        <f t="shared" si="45"/>
        <v>1</v>
      </c>
      <c r="F170" s="601"/>
      <c r="G170" s="13">
        <f t="shared" si="46"/>
        <v>1</v>
      </c>
      <c r="H170" s="601"/>
      <c r="I170" s="13">
        <f t="shared" si="47"/>
        <v>1</v>
      </c>
      <c r="J170" s="601"/>
      <c r="K170" s="13">
        <f t="shared" si="48"/>
        <v>1</v>
      </c>
      <c r="L170" s="601"/>
      <c r="M170" s="13">
        <f t="shared" si="49"/>
        <v>1</v>
      </c>
      <c r="N170" s="601"/>
      <c r="O170" s="13">
        <f t="shared" si="50"/>
        <v>1</v>
      </c>
      <c r="P170" s="601"/>
      <c r="Q170" s="13">
        <f t="shared" si="51"/>
        <v>1</v>
      </c>
      <c r="R170" s="597">
        <f t="shared" si="56"/>
        <v>0</v>
      </c>
      <c r="S170" s="250">
        <f t="shared" si="57"/>
        <v>0</v>
      </c>
      <c r="T170" s="901">
        <f t="shared" si="58"/>
        <v>0</v>
      </c>
      <c r="U170" s="2988">
        <f t="shared" si="52"/>
        <v>0</v>
      </c>
      <c r="V170" s="2988">
        <f t="shared" si="53"/>
        <v>0</v>
      </c>
      <c r="W170" s="998"/>
      <c r="X170" s="2988">
        <f t="shared" si="54"/>
        <v>0</v>
      </c>
      <c r="Y170" s="2988">
        <f t="shared" si="55"/>
        <v>0</v>
      </c>
      <c r="Z170" s="998"/>
    </row>
    <row r="171" spans="1:26">
      <c r="A171" s="35"/>
      <c r="B171" s="20"/>
      <c r="C171" s="13">
        <f t="shared" si="44"/>
        <v>1</v>
      </c>
      <c r="D171" s="601"/>
      <c r="E171" s="13">
        <f t="shared" si="45"/>
        <v>1</v>
      </c>
      <c r="F171" s="601"/>
      <c r="G171" s="13">
        <f t="shared" si="46"/>
        <v>1</v>
      </c>
      <c r="H171" s="601"/>
      <c r="I171" s="13">
        <f t="shared" si="47"/>
        <v>1</v>
      </c>
      <c r="J171" s="601"/>
      <c r="K171" s="13">
        <f t="shared" si="48"/>
        <v>1</v>
      </c>
      <c r="L171" s="601"/>
      <c r="M171" s="13">
        <f t="shared" si="49"/>
        <v>1</v>
      </c>
      <c r="N171" s="601"/>
      <c r="O171" s="13">
        <f t="shared" si="50"/>
        <v>1</v>
      </c>
      <c r="P171" s="601"/>
      <c r="Q171" s="13">
        <f t="shared" si="51"/>
        <v>1</v>
      </c>
      <c r="R171" s="597">
        <f t="shared" si="56"/>
        <v>0</v>
      </c>
      <c r="S171" s="250">
        <f t="shared" si="57"/>
        <v>0</v>
      </c>
      <c r="T171" s="901">
        <f t="shared" si="58"/>
        <v>0</v>
      </c>
      <c r="U171" s="2988">
        <f t="shared" si="52"/>
        <v>0</v>
      </c>
      <c r="V171" s="2988">
        <f t="shared" si="53"/>
        <v>0</v>
      </c>
      <c r="W171" s="998"/>
      <c r="X171" s="2988">
        <f t="shared" si="54"/>
        <v>0</v>
      </c>
      <c r="Y171" s="2988">
        <f t="shared" si="55"/>
        <v>0</v>
      </c>
      <c r="Z171" s="998"/>
    </row>
    <row r="172" spans="1:26">
      <c r="A172" s="35"/>
      <c r="B172" s="20"/>
      <c r="C172" s="13">
        <f t="shared" si="44"/>
        <v>1</v>
      </c>
      <c r="D172" s="601"/>
      <c r="E172" s="13">
        <f t="shared" si="45"/>
        <v>1</v>
      </c>
      <c r="F172" s="601"/>
      <c r="G172" s="13">
        <f t="shared" si="46"/>
        <v>1</v>
      </c>
      <c r="H172" s="601"/>
      <c r="I172" s="13">
        <f t="shared" si="47"/>
        <v>1</v>
      </c>
      <c r="J172" s="601"/>
      <c r="K172" s="13">
        <f t="shared" si="48"/>
        <v>1</v>
      </c>
      <c r="L172" s="601"/>
      <c r="M172" s="13">
        <f t="shared" si="49"/>
        <v>1</v>
      </c>
      <c r="N172" s="601"/>
      <c r="O172" s="13">
        <f t="shared" si="50"/>
        <v>1</v>
      </c>
      <c r="P172" s="601"/>
      <c r="Q172" s="13">
        <f t="shared" si="51"/>
        <v>1</v>
      </c>
      <c r="R172" s="597">
        <f t="shared" si="56"/>
        <v>0</v>
      </c>
      <c r="S172" s="250">
        <f t="shared" si="57"/>
        <v>0</v>
      </c>
      <c r="T172" s="901">
        <f t="shared" si="58"/>
        <v>0</v>
      </c>
      <c r="U172" s="2988">
        <f t="shared" si="52"/>
        <v>0</v>
      </c>
      <c r="V172" s="2988">
        <f t="shared" si="53"/>
        <v>0</v>
      </c>
      <c r="W172" s="998"/>
      <c r="X172" s="2988">
        <f t="shared" si="54"/>
        <v>0</v>
      </c>
      <c r="Y172" s="2988">
        <f t="shared" si="55"/>
        <v>0</v>
      </c>
      <c r="Z172" s="998"/>
    </row>
    <row r="173" spans="1:26">
      <c r="A173" s="35"/>
      <c r="B173" s="20"/>
      <c r="C173" s="13">
        <f t="shared" si="44"/>
        <v>1</v>
      </c>
      <c r="D173" s="601"/>
      <c r="E173" s="13">
        <f t="shared" si="45"/>
        <v>1</v>
      </c>
      <c r="F173" s="601"/>
      <c r="G173" s="13">
        <f t="shared" si="46"/>
        <v>1</v>
      </c>
      <c r="H173" s="601"/>
      <c r="I173" s="13">
        <f t="shared" si="47"/>
        <v>1</v>
      </c>
      <c r="J173" s="601"/>
      <c r="K173" s="13">
        <f t="shared" si="48"/>
        <v>1</v>
      </c>
      <c r="L173" s="601"/>
      <c r="M173" s="13">
        <f t="shared" si="49"/>
        <v>1</v>
      </c>
      <c r="N173" s="601"/>
      <c r="O173" s="13">
        <f t="shared" si="50"/>
        <v>1</v>
      </c>
      <c r="P173" s="601"/>
      <c r="Q173" s="13">
        <f t="shared" si="51"/>
        <v>1</v>
      </c>
      <c r="R173" s="597">
        <f t="shared" si="56"/>
        <v>0</v>
      </c>
      <c r="S173" s="250">
        <f t="shared" si="57"/>
        <v>0</v>
      </c>
      <c r="T173" s="901">
        <f t="shared" si="58"/>
        <v>0</v>
      </c>
      <c r="U173" s="2988">
        <f t="shared" si="52"/>
        <v>0</v>
      </c>
      <c r="V173" s="2988">
        <f t="shared" si="53"/>
        <v>0</v>
      </c>
      <c r="W173" s="998"/>
      <c r="X173" s="2988">
        <f t="shared" si="54"/>
        <v>0</v>
      </c>
      <c r="Y173" s="2988">
        <f t="shared" si="55"/>
        <v>0</v>
      </c>
      <c r="Z173" s="998"/>
    </row>
    <row r="174" spans="1:26">
      <c r="A174" s="35"/>
      <c r="B174" s="20"/>
      <c r="C174" s="13">
        <f t="shared" si="44"/>
        <v>1</v>
      </c>
      <c r="D174" s="601"/>
      <c r="E174" s="13">
        <f t="shared" si="45"/>
        <v>1</v>
      </c>
      <c r="F174" s="601"/>
      <c r="G174" s="13">
        <f t="shared" si="46"/>
        <v>1</v>
      </c>
      <c r="H174" s="601"/>
      <c r="I174" s="13">
        <f t="shared" si="47"/>
        <v>1</v>
      </c>
      <c r="J174" s="601"/>
      <c r="K174" s="13">
        <f t="shared" si="48"/>
        <v>1</v>
      </c>
      <c r="L174" s="601"/>
      <c r="M174" s="13">
        <f t="shared" si="49"/>
        <v>1</v>
      </c>
      <c r="N174" s="601"/>
      <c r="O174" s="13">
        <f t="shared" si="50"/>
        <v>1</v>
      </c>
      <c r="P174" s="601"/>
      <c r="Q174" s="13">
        <f t="shared" si="51"/>
        <v>1</v>
      </c>
      <c r="R174" s="597">
        <f t="shared" si="56"/>
        <v>0</v>
      </c>
      <c r="S174" s="250">
        <f t="shared" si="57"/>
        <v>0</v>
      </c>
      <c r="T174" s="901">
        <f t="shared" si="58"/>
        <v>0</v>
      </c>
      <c r="U174" s="2988">
        <f t="shared" si="52"/>
        <v>0</v>
      </c>
      <c r="V174" s="2988">
        <f t="shared" si="53"/>
        <v>0</v>
      </c>
      <c r="W174" s="998"/>
      <c r="X174" s="2988">
        <f t="shared" si="54"/>
        <v>0</v>
      </c>
      <c r="Y174" s="2988">
        <f t="shared" si="55"/>
        <v>0</v>
      </c>
      <c r="Z174" s="998"/>
    </row>
    <row r="175" spans="1:26">
      <c r="A175" s="35"/>
      <c r="B175" s="20"/>
      <c r="C175" s="13">
        <f t="shared" si="44"/>
        <v>1</v>
      </c>
      <c r="D175" s="601"/>
      <c r="E175" s="13">
        <f t="shared" si="45"/>
        <v>1</v>
      </c>
      <c r="F175" s="601"/>
      <c r="G175" s="13">
        <f t="shared" si="46"/>
        <v>1</v>
      </c>
      <c r="H175" s="601"/>
      <c r="I175" s="13">
        <f t="shared" si="47"/>
        <v>1</v>
      </c>
      <c r="J175" s="601"/>
      <c r="K175" s="13">
        <f t="shared" si="48"/>
        <v>1</v>
      </c>
      <c r="L175" s="601"/>
      <c r="M175" s="13">
        <f t="shared" si="49"/>
        <v>1</v>
      </c>
      <c r="N175" s="601"/>
      <c r="O175" s="13">
        <f t="shared" si="50"/>
        <v>1</v>
      </c>
      <c r="P175" s="601"/>
      <c r="Q175" s="13">
        <f t="shared" si="51"/>
        <v>1</v>
      </c>
      <c r="R175" s="597">
        <f t="shared" si="56"/>
        <v>0</v>
      </c>
      <c r="S175" s="250">
        <f t="shared" si="57"/>
        <v>0</v>
      </c>
      <c r="T175" s="901">
        <f t="shared" si="58"/>
        <v>0</v>
      </c>
      <c r="U175" s="2988">
        <f t="shared" si="52"/>
        <v>0</v>
      </c>
      <c r="V175" s="2988">
        <f t="shared" si="53"/>
        <v>0</v>
      </c>
      <c r="W175" s="998"/>
      <c r="X175" s="2988">
        <f t="shared" si="54"/>
        <v>0</v>
      </c>
      <c r="Y175" s="2988">
        <f t="shared" si="55"/>
        <v>0</v>
      </c>
      <c r="Z175" s="998"/>
    </row>
    <row r="176" spans="1:26">
      <c r="A176" s="35"/>
      <c r="B176" s="20"/>
      <c r="C176" s="13">
        <f t="shared" si="44"/>
        <v>1</v>
      </c>
      <c r="D176" s="601"/>
      <c r="E176" s="13">
        <f t="shared" si="45"/>
        <v>1</v>
      </c>
      <c r="F176" s="601"/>
      <c r="G176" s="13">
        <f t="shared" si="46"/>
        <v>1</v>
      </c>
      <c r="H176" s="601"/>
      <c r="I176" s="13">
        <f t="shared" si="47"/>
        <v>1</v>
      </c>
      <c r="J176" s="601"/>
      <c r="K176" s="13">
        <f t="shared" si="48"/>
        <v>1</v>
      </c>
      <c r="L176" s="601"/>
      <c r="M176" s="13">
        <f t="shared" si="49"/>
        <v>1</v>
      </c>
      <c r="N176" s="601"/>
      <c r="O176" s="13">
        <f t="shared" si="50"/>
        <v>1</v>
      </c>
      <c r="P176" s="601"/>
      <c r="Q176" s="13">
        <f t="shared" si="51"/>
        <v>1</v>
      </c>
      <c r="R176" s="597">
        <f t="shared" si="56"/>
        <v>0</v>
      </c>
      <c r="S176" s="250">
        <f t="shared" si="57"/>
        <v>0</v>
      </c>
      <c r="T176" s="901">
        <f t="shared" si="58"/>
        <v>0</v>
      </c>
      <c r="U176" s="2988">
        <f t="shared" si="52"/>
        <v>0</v>
      </c>
      <c r="V176" s="2988">
        <f t="shared" si="53"/>
        <v>0</v>
      </c>
      <c r="W176" s="998"/>
      <c r="X176" s="2988">
        <f t="shared" si="54"/>
        <v>0</v>
      </c>
      <c r="Y176" s="2988">
        <f t="shared" si="55"/>
        <v>0</v>
      </c>
      <c r="Z176" s="998"/>
    </row>
    <row r="177" spans="1:26">
      <c r="A177" s="35"/>
      <c r="B177" s="20"/>
      <c r="C177" s="13">
        <f t="shared" si="44"/>
        <v>1</v>
      </c>
      <c r="D177" s="601"/>
      <c r="E177" s="13">
        <f t="shared" si="45"/>
        <v>1</v>
      </c>
      <c r="F177" s="601"/>
      <c r="G177" s="13">
        <f t="shared" si="46"/>
        <v>1</v>
      </c>
      <c r="H177" s="601"/>
      <c r="I177" s="13">
        <f t="shared" si="47"/>
        <v>1</v>
      </c>
      <c r="J177" s="601"/>
      <c r="K177" s="13">
        <f t="shared" si="48"/>
        <v>1</v>
      </c>
      <c r="L177" s="601"/>
      <c r="M177" s="13">
        <f t="shared" si="49"/>
        <v>1</v>
      </c>
      <c r="N177" s="601"/>
      <c r="O177" s="13">
        <f t="shared" si="50"/>
        <v>1</v>
      </c>
      <c r="P177" s="601"/>
      <c r="Q177" s="13">
        <f t="shared" si="51"/>
        <v>1</v>
      </c>
      <c r="R177" s="597">
        <f t="shared" si="56"/>
        <v>0</v>
      </c>
      <c r="S177" s="250">
        <f t="shared" si="57"/>
        <v>0</v>
      </c>
      <c r="T177" s="901">
        <f t="shared" si="58"/>
        <v>0</v>
      </c>
      <c r="U177" s="2988">
        <f t="shared" si="52"/>
        <v>0</v>
      </c>
      <c r="V177" s="2988">
        <f t="shared" si="53"/>
        <v>0</v>
      </c>
      <c r="W177" s="998"/>
      <c r="X177" s="2988">
        <f t="shared" si="54"/>
        <v>0</v>
      </c>
      <c r="Y177" s="2988">
        <f t="shared" si="55"/>
        <v>0</v>
      </c>
      <c r="Z177" s="998"/>
    </row>
    <row r="178" spans="1:26">
      <c r="A178" s="35"/>
      <c r="B178" s="20"/>
      <c r="C178" s="13">
        <f t="shared" si="44"/>
        <v>1</v>
      </c>
      <c r="D178" s="601"/>
      <c r="E178" s="13">
        <f t="shared" si="45"/>
        <v>1</v>
      </c>
      <c r="F178" s="601"/>
      <c r="G178" s="13">
        <f t="shared" si="46"/>
        <v>1</v>
      </c>
      <c r="H178" s="601"/>
      <c r="I178" s="13">
        <f t="shared" si="47"/>
        <v>1</v>
      </c>
      <c r="J178" s="601"/>
      <c r="K178" s="13">
        <f t="shared" si="48"/>
        <v>1</v>
      </c>
      <c r="L178" s="601"/>
      <c r="M178" s="13">
        <f t="shared" si="49"/>
        <v>1</v>
      </c>
      <c r="N178" s="601"/>
      <c r="O178" s="13">
        <f t="shared" si="50"/>
        <v>1</v>
      </c>
      <c r="P178" s="601"/>
      <c r="Q178" s="13">
        <f t="shared" si="51"/>
        <v>1</v>
      </c>
      <c r="R178" s="597">
        <f t="shared" si="56"/>
        <v>0</v>
      </c>
      <c r="S178" s="250">
        <f t="shared" si="57"/>
        <v>0</v>
      </c>
      <c r="T178" s="901">
        <f t="shared" si="58"/>
        <v>0</v>
      </c>
      <c r="U178" s="2988">
        <f t="shared" si="52"/>
        <v>0</v>
      </c>
      <c r="V178" s="2988">
        <f t="shared" si="53"/>
        <v>0</v>
      </c>
      <c r="W178" s="998"/>
      <c r="X178" s="2988">
        <f t="shared" si="54"/>
        <v>0</v>
      </c>
      <c r="Y178" s="2988">
        <f t="shared" si="55"/>
        <v>0</v>
      </c>
      <c r="Z178" s="998"/>
    </row>
    <row r="179" spans="1:26">
      <c r="A179" s="35"/>
      <c r="B179" s="20"/>
      <c r="C179" s="13">
        <f t="shared" si="44"/>
        <v>1</v>
      </c>
      <c r="D179" s="601"/>
      <c r="E179" s="13">
        <f t="shared" si="45"/>
        <v>1</v>
      </c>
      <c r="F179" s="601"/>
      <c r="G179" s="13">
        <f t="shared" si="46"/>
        <v>1</v>
      </c>
      <c r="H179" s="601"/>
      <c r="I179" s="13">
        <f t="shared" si="47"/>
        <v>1</v>
      </c>
      <c r="J179" s="601"/>
      <c r="K179" s="13">
        <f t="shared" si="48"/>
        <v>1</v>
      </c>
      <c r="L179" s="601"/>
      <c r="M179" s="13">
        <f t="shared" si="49"/>
        <v>1</v>
      </c>
      <c r="N179" s="601"/>
      <c r="O179" s="13">
        <f t="shared" si="50"/>
        <v>1</v>
      </c>
      <c r="P179" s="601"/>
      <c r="Q179" s="13">
        <f t="shared" si="51"/>
        <v>1</v>
      </c>
      <c r="R179" s="597">
        <f t="shared" si="56"/>
        <v>0</v>
      </c>
      <c r="S179" s="250">
        <f t="shared" si="57"/>
        <v>0</v>
      </c>
      <c r="T179" s="901">
        <f t="shared" si="58"/>
        <v>0</v>
      </c>
      <c r="U179" s="2988">
        <f t="shared" si="52"/>
        <v>0</v>
      </c>
      <c r="V179" s="2988">
        <f t="shared" si="53"/>
        <v>0</v>
      </c>
      <c r="W179" s="998"/>
      <c r="X179" s="2988">
        <f t="shared" si="54"/>
        <v>0</v>
      </c>
      <c r="Y179" s="2988">
        <f t="shared" si="55"/>
        <v>0</v>
      </c>
      <c r="Z179" s="998"/>
    </row>
    <row r="180" spans="1:26">
      <c r="A180" s="35"/>
      <c r="B180" s="20"/>
      <c r="C180" s="13">
        <f t="shared" si="44"/>
        <v>1</v>
      </c>
      <c r="D180" s="601"/>
      <c r="E180" s="13">
        <f t="shared" si="45"/>
        <v>1</v>
      </c>
      <c r="F180" s="601"/>
      <c r="G180" s="13">
        <f t="shared" si="46"/>
        <v>1</v>
      </c>
      <c r="H180" s="601"/>
      <c r="I180" s="13">
        <f t="shared" si="47"/>
        <v>1</v>
      </c>
      <c r="J180" s="601"/>
      <c r="K180" s="13">
        <f t="shared" si="48"/>
        <v>1</v>
      </c>
      <c r="L180" s="601"/>
      <c r="M180" s="13">
        <f t="shared" si="49"/>
        <v>1</v>
      </c>
      <c r="N180" s="601"/>
      <c r="O180" s="13">
        <f t="shared" si="50"/>
        <v>1</v>
      </c>
      <c r="P180" s="601"/>
      <c r="Q180" s="13">
        <f t="shared" si="51"/>
        <v>1</v>
      </c>
      <c r="R180" s="597">
        <f t="shared" si="56"/>
        <v>0</v>
      </c>
      <c r="S180" s="250">
        <f t="shared" si="57"/>
        <v>0</v>
      </c>
      <c r="T180" s="901">
        <f t="shared" si="58"/>
        <v>0</v>
      </c>
      <c r="U180" s="2988">
        <f t="shared" si="52"/>
        <v>0</v>
      </c>
      <c r="V180" s="2988">
        <f t="shared" si="53"/>
        <v>0</v>
      </c>
      <c r="W180" s="998"/>
      <c r="X180" s="2988">
        <f t="shared" si="54"/>
        <v>0</v>
      </c>
      <c r="Y180" s="2988">
        <f t="shared" si="55"/>
        <v>0</v>
      </c>
      <c r="Z180" s="998"/>
    </row>
    <row r="181" spans="1:26">
      <c r="A181" s="35"/>
      <c r="B181" s="20"/>
      <c r="C181" s="13">
        <f t="shared" si="44"/>
        <v>1</v>
      </c>
      <c r="D181" s="601"/>
      <c r="E181" s="13">
        <f t="shared" si="45"/>
        <v>1</v>
      </c>
      <c r="F181" s="601"/>
      <c r="G181" s="13">
        <f t="shared" si="46"/>
        <v>1</v>
      </c>
      <c r="H181" s="601"/>
      <c r="I181" s="13">
        <f t="shared" si="47"/>
        <v>1</v>
      </c>
      <c r="J181" s="601"/>
      <c r="K181" s="13">
        <f t="shared" si="48"/>
        <v>1</v>
      </c>
      <c r="L181" s="601"/>
      <c r="M181" s="13">
        <f t="shared" si="49"/>
        <v>1</v>
      </c>
      <c r="N181" s="601"/>
      <c r="O181" s="13">
        <f t="shared" si="50"/>
        <v>1</v>
      </c>
      <c r="P181" s="601"/>
      <c r="Q181" s="13">
        <f t="shared" si="51"/>
        <v>1</v>
      </c>
      <c r="R181" s="597">
        <f t="shared" si="56"/>
        <v>0</v>
      </c>
      <c r="S181" s="250">
        <f t="shared" si="57"/>
        <v>0</v>
      </c>
      <c r="T181" s="901">
        <f t="shared" si="58"/>
        <v>0</v>
      </c>
      <c r="U181" s="2988">
        <f t="shared" si="52"/>
        <v>0</v>
      </c>
      <c r="V181" s="2988">
        <f t="shared" si="53"/>
        <v>0</v>
      </c>
      <c r="W181" s="998"/>
      <c r="X181" s="2988">
        <f t="shared" si="54"/>
        <v>0</v>
      </c>
      <c r="Y181" s="2988">
        <f t="shared" si="55"/>
        <v>0</v>
      </c>
      <c r="Z181" s="998"/>
    </row>
    <row r="182" spans="1:26">
      <c r="A182" s="35"/>
      <c r="B182" s="20"/>
      <c r="C182" s="13">
        <f t="shared" si="44"/>
        <v>1</v>
      </c>
      <c r="D182" s="601"/>
      <c r="E182" s="13">
        <f t="shared" si="45"/>
        <v>1</v>
      </c>
      <c r="F182" s="601"/>
      <c r="G182" s="13">
        <f t="shared" si="46"/>
        <v>1</v>
      </c>
      <c r="H182" s="601"/>
      <c r="I182" s="13">
        <f t="shared" si="47"/>
        <v>1</v>
      </c>
      <c r="J182" s="601"/>
      <c r="K182" s="13">
        <f t="shared" si="48"/>
        <v>1</v>
      </c>
      <c r="L182" s="601"/>
      <c r="M182" s="13">
        <f t="shared" si="49"/>
        <v>1</v>
      </c>
      <c r="N182" s="601"/>
      <c r="O182" s="13">
        <f t="shared" si="50"/>
        <v>1</v>
      </c>
      <c r="P182" s="601"/>
      <c r="Q182" s="13">
        <f t="shared" si="51"/>
        <v>1</v>
      </c>
      <c r="R182" s="597">
        <f t="shared" si="56"/>
        <v>0</v>
      </c>
      <c r="S182" s="250">
        <f t="shared" si="57"/>
        <v>0</v>
      </c>
      <c r="T182" s="901">
        <f t="shared" si="58"/>
        <v>0</v>
      </c>
      <c r="U182" s="2988">
        <f t="shared" si="52"/>
        <v>0</v>
      </c>
      <c r="V182" s="2988">
        <f t="shared" si="53"/>
        <v>0</v>
      </c>
      <c r="W182" s="998"/>
      <c r="X182" s="2988">
        <f t="shared" si="54"/>
        <v>0</v>
      </c>
      <c r="Y182" s="2988">
        <f t="shared" si="55"/>
        <v>0</v>
      </c>
      <c r="Z182" s="998"/>
    </row>
    <row r="183" spans="1:26">
      <c r="A183" s="35"/>
      <c r="B183" s="20"/>
      <c r="C183" s="13">
        <f t="shared" si="44"/>
        <v>1</v>
      </c>
      <c r="D183" s="601"/>
      <c r="E183" s="13">
        <f t="shared" si="45"/>
        <v>1</v>
      </c>
      <c r="F183" s="601"/>
      <c r="G183" s="13">
        <f t="shared" si="46"/>
        <v>1</v>
      </c>
      <c r="H183" s="601"/>
      <c r="I183" s="13">
        <f t="shared" si="47"/>
        <v>1</v>
      </c>
      <c r="J183" s="601"/>
      <c r="K183" s="13">
        <f t="shared" si="48"/>
        <v>1</v>
      </c>
      <c r="L183" s="601"/>
      <c r="M183" s="13">
        <f t="shared" si="49"/>
        <v>1</v>
      </c>
      <c r="N183" s="601"/>
      <c r="O183" s="13">
        <f t="shared" si="50"/>
        <v>1</v>
      </c>
      <c r="P183" s="601"/>
      <c r="Q183" s="13">
        <f t="shared" si="51"/>
        <v>1</v>
      </c>
      <c r="R183" s="597">
        <f t="shared" si="56"/>
        <v>0</v>
      </c>
      <c r="S183" s="250">
        <f t="shared" si="57"/>
        <v>0</v>
      </c>
      <c r="T183" s="901">
        <f t="shared" si="58"/>
        <v>0</v>
      </c>
      <c r="U183" s="2988">
        <f t="shared" si="52"/>
        <v>0</v>
      </c>
      <c r="V183" s="2988">
        <f t="shared" si="53"/>
        <v>0</v>
      </c>
      <c r="W183" s="998"/>
      <c r="X183" s="2988">
        <f t="shared" si="54"/>
        <v>0</v>
      </c>
      <c r="Y183" s="2988">
        <f t="shared" si="55"/>
        <v>0</v>
      </c>
      <c r="Z183" s="998"/>
    </row>
    <row r="184" spans="1:26">
      <c r="A184" s="35"/>
      <c r="B184" s="20"/>
      <c r="C184" s="13">
        <f t="shared" si="44"/>
        <v>1</v>
      </c>
      <c r="D184" s="601"/>
      <c r="E184" s="13">
        <f t="shared" si="45"/>
        <v>1</v>
      </c>
      <c r="F184" s="601"/>
      <c r="G184" s="13">
        <f t="shared" si="46"/>
        <v>1</v>
      </c>
      <c r="H184" s="601"/>
      <c r="I184" s="13">
        <f t="shared" si="47"/>
        <v>1</v>
      </c>
      <c r="J184" s="601"/>
      <c r="K184" s="13">
        <f t="shared" si="48"/>
        <v>1</v>
      </c>
      <c r="L184" s="601"/>
      <c r="M184" s="13">
        <f t="shared" si="49"/>
        <v>1</v>
      </c>
      <c r="N184" s="601"/>
      <c r="O184" s="13">
        <f t="shared" si="50"/>
        <v>1</v>
      </c>
      <c r="P184" s="601"/>
      <c r="Q184" s="13">
        <f t="shared" si="51"/>
        <v>1</v>
      </c>
      <c r="R184" s="597">
        <f t="shared" si="56"/>
        <v>0</v>
      </c>
      <c r="S184" s="250">
        <f t="shared" si="57"/>
        <v>0</v>
      </c>
      <c r="T184" s="901">
        <f t="shared" si="58"/>
        <v>0</v>
      </c>
      <c r="U184" s="2988">
        <f t="shared" si="52"/>
        <v>0</v>
      </c>
      <c r="V184" s="2988">
        <f t="shared" si="53"/>
        <v>0</v>
      </c>
      <c r="W184" s="998"/>
      <c r="X184" s="2988">
        <f t="shared" si="54"/>
        <v>0</v>
      </c>
      <c r="Y184" s="2988">
        <f t="shared" si="55"/>
        <v>0</v>
      </c>
      <c r="Z184" s="998"/>
    </row>
    <row r="185" spans="1:26">
      <c r="A185" s="35"/>
      <c r="B185" s="20"/>
      <c r="C185" s="13">
        <f t="shared" si="44"/>
        <v>1</v>
      </c>
      <c r="D185" s="601"/>
      <c r="E185" s="13">
        <f t="shared" si="45"/>
        <v>1</v>
      </c>
      <c r="F185" s="601"/>
      <c r="G185" s="13">
        <f t="shared" si="46"/>
        <v>1</v>
      </c>
      <c r="H185" s="601"/>
      <c r="I185" s="13">
        <f t="shared" si="47"/>
        <v>1</v>
      </c>
      <c r="J185" s="601"/>
      <c r="K185" s="13">
        <f t="shared" si="48"/>
        <v>1</v>
      </c>
      <c r="L185" s="601"/>
      <c r="M185" s="13">
        <f t="shared" si="49"/>
        <v>1</v>
      </c>
      <c r="N185" s="601"/>
      <c r="O185" s="13">
        <f t="shared" si="50"/>
        <v>1</v>
      </c>
      <c r="P185" s="601"/>
      <c r="Q185" s="13">
        <f t="shared" si="51"/>
        <v>1</v>
      </c>
      <c r="R185" s="597">
        <f t="shared" si="56"/>
        <v>0</v>
      </c>
      <c r="S185" s="250">
        <f t="shared" si="57"/>
        <v>0</v>
      </c>
      <c r="T185" s="901">
        <f t="shared" si="58"/>
        <v>0</v>
      </c>
      <c r="U185" s="2988">
        <f t="shared" si="52"/>
        <v>0</v>
      </c>
      <c r="V185" s="2988">
        <f t="shared" si="53"/>
        <v>0</v>
      </c>
      <c r="W185" s="998"/>
      <c r="X185" s="2988">
        <f t="shared" si="54"/>
        <v>0</v>
      </c>
      <c r="Y185" s="2988">
        <f t="shared" si="55"/>
        <v>0</v>
      </c>
      <c r="Z185" s="998"/>
    </row>
    <row r="186" spans="1:26">
      <c r="A186" s="35"/>
      <c r="B186" s="20"/>
      <c r="C186" s="13">
        <f t="shared" si="44"/>
        <v>1</v>
      </c>
      <c r="D186" s="601"/>
      <c r="E186" s="13">
        <f t="shared" si="45"/>
        <v>1</v>
      </c>
      <c r="F186" s="601"/>
      <c r="G186" s="13">
        <f t="shared" si="46"/>
        <v>1</v>
      </c>
      <c r="H186" s="601"/>
      <c r="I186" s="13">
        <f t="shared" si="47"/>
        <v>1</v>
      </c>
      <c r="J186" s="601"/>
      <c r="K186" s="13">
        <f t="shared" si="48"/>
        <v>1</v>
      </c>
      <c r="L186" s="601"/>
      <c r="M186" s="13">
        <f t="shared" si="49"/>
        <v>1</v>
      </c>
      <c r="N186" s="601"/>
      <c r="O186" s="13">
        <f t="shared" si="50"/>
        <v>1</v>
      </c>
      <c r="P186" s="601"/>
      <c r="Q186" s="13">
        <f t="shared" si="51"/>
        <v>1</v>
      </c>
      <c r="R186" s="597">
        <f t="shared" si="56"/>
        <v>0</v>
      </c>
      <c r="S186" s="250">
        <f t="shared" si="57"/>
        <v>0</v>
      </c>
      <c r="T186" s="901">
        <f t="shared" si="58"/>
        <v>0</v>
      </c>
      <c r="U186" s="2988">
        <f t="shared" si="52"/>
        <v>0</v>
      </c>
      <c r="V186" s="2988">
        <f t="shared" si="53"/>
        <v>0</v>
      </c>
      <c r="W186" s="998"/>
      <c r="X186" s="2988">
        <f t="shared" si="54"/>
        <v>0</v>
      </c>
      <c r="Y186" s="2988">
        <f t="shared" si="55"/>
        <v>0</v>
      </c>
      <c r="Z186" s="998"/>
    </row>
    <row r="187" spans="1:26">
      <c r="A187" s="35"/>
      <c r="B187" s="20"/>
      <c r="C187" s="13">
        <f t="shared" si="44"/>
        <v>1</v>
      </c>
      <c r="D187" s="601"/>
      <c r="E187" s="13">
        <f t="shared" si="45"/>
        <v>1</v>
      </c>
      <c r="F187" s="601"/>
      <c r="G187" s="13">
        <f t="shared" si="46"/>
        <v>1</v>
      </c>
      <c r="H187" s="601"/>
      <c r="I187" s="13">
        <f t="shared" si="47"/>
        <v>1</v>
      </c>
      <c r="J187" s="601"/>
      <c r="K187" s="13">
        <f t="shared" si="48"/>
        <v>1</v>
      </c>
      <c r="L187" s="601"/>
      <c r="M187" s="13">
        <f t="shared" si="49"/>
        <v>1</v>
      </c>
      <c r="N187" s="601"/>
      <c r="O187" s="13">
        <f t="shared" si="50"/>
        <v>1</v>
      </c>
      <c r="P187" s="601"/>
      <c r="Q187" s="13">
        <f t="shared" si="51"/>
        <v>1</v>
      </c>
      <c r="R187" s="597">
        <f t="shared" si="56"/>
        <v>0</v>
      </c>
      <c r="S187" s="250">
        <f t="shared" si="57"/>
        <v>0</v>
      </c>
      <c r="T187" s="901">
        <f t="shared" si="58"/>
        <v>0</v>
      </c>
      <c r="U187" s="2988">
        <f t="shared" si="52"/>
        <v>0</v>
      </c>
      <c r="V187" s="2988">
        <f t="shared" si="53"/>
        <v>0</v>
      </c>
      <c r="W187" s="998"/>
      <c r="X187" s="2988">
        <f t="shared" si="54"/>
        <v>0</v>
      </c>
      <c r="Y187" s="2988">
        <f t="shared" si="55"/>
        <v>0</v>
      </c>
      <c r="Z187" s="998"/>
    </row>
    <row r="188" spans="1:26">
      <c r="A188" s="35"/>
      <c r="B188" s="20"/>
      <c r="C188" s="13">
        <f t="shared" si="44"/>
        <v>1</v>
      </c>
      <c r="D188" s="601"/>
      <c r="E188" s="13">
        <f t="shared" si="45"/>
        <v>1</v>
      </c>
      <c r="F188" s="601"/>
      <c r="G188" s="13">
        <f t="shared" si="46"/>
        <v>1</v>
      </c>
      <c r="H188" s="601"/>
      <c r="I188" s="13">
        <f t="shared" si="47"/>
        <v>1</v>
      </c>
      <c r="J188" s="601"/>
      <c r="K188" s="13">
        <f t="shared" si="48"/>
        <v>1</v>
      </c>
      <c r="L188" s="601"/>
      <c r="M188" s="13">
        <f t="shared" si="49"/>
        <v>1</v>
      </c>
      <c r="N188" s="601"/>
      <c r="O188" s="13">
        <f t="shared" si="50"/>
        <v>1</v>
      </c>
      <c r="P188" s="601"/>
      <c r="Q188" s="13">
        <f t="shared" si="51"/>
        <v>1</v>
      </c>
      <c r="R188" s="597">
        <f t="shared" si="56"/>
        <v>0</v>
      </c>
      <c r="S188" s="250">
        <f t="shared" si="57"/>
        <v>0</v>
      </c>
      <c r="T188" s="901">
        <f t="shared" si="58"/>
        <v>0</v>
      </c>
      <c r="U188" s="2988">
        <f t="shared" si="52"/>
        <v>0</v>
      </c>
      <c r="V188" s="2988">
        <f t="shared" si="53"/>
        <v>0</v>
      </c>
      <c r="W188" s="998"/>
      <c r="X188" s="2988">
        <f t="shared" si="54"/>
        <v>0</v>
      </c>
      <c r="Y188" s="2988">
        <f t="shared" si="55"/>
        <v>0</v>
      </c>
      <c r="Z188" s="998"/>
    </row>
    <row r="189" spans="1:26">
      <c r="A189" s="35"/>
      <c r="B189" s="20"/>
      <c r="C189" s="13">
        <f t="shared" si="44"/>
        <v>1</v>
      </c>
      <c r="D189" s="601"/>
      <c r="E189" s="13">
        <f t="shared" si="45"/>
        <v>1</v>
      </c>
      <c r="F189" s="601"/>
      <c r="G189" s="13">
        <f t="shared" si="46"/>
        <v>1</v>
      </c>
      <c r="H189" s="601"/>
      <c r="I189" s="13">
        <f t="shared" si="47"/>
        <v>1</v>
      </c>
      <c r="J189" s="601"/>
      <c r="K189" s="13">
        <f t="shared" si="48"/>
        <v>1</v>
      </c>
      <c r="L189" s="601"/>
      <c r="M189" s="13">
        <f t="shared" si="49"/>
        <v>1</v>
      </c>
      <c r="N189" s="601"/>
      <c r="O189" s="13">
        <f t="shared" si="50"/>
        <v>1</v>
      </c>
      <c r="P189" s="601"/>
      <c r="Q189" s="13">
        <f t="shared" si="51"/>
        <v>1</v>
      </c>
      <c r="R189" s="597">
        <f t="shared" si="56"/>
        <v>0</v>
      </c>
      <c r="S189" s="250">
        <f t="shared" si="57"/>
        <v>0</v>
      </c>
      <c r="T189" s="901">
        <f t="shared" si="58"/>
        <v>0</v>
      </c>
      <c r="U189" s="2988">
        <f t="shared" si="52"/>
        <v>0</v>
      </c>
      <c r="V189" s="2988">
        <f t="shared" si="53"/>
        <v>0</v>
      </c>
      <c r="W189" s="998"/>
      <c r="X189" s="2988">
        <f t="shared" si="54"/>
        <v>0</v>
      </c>
      <c r="Y189" s="2988">
        <f t="shared" si="55"/>
        <v>0</v>
      </c>
      <c r="Z189" s="998"/>
    </row>
    <row r="190" spans="1:26">
      <c r="A190" s="35"/>
      <c r="B190" s="20"/>
      <c r="C190" s="13">
        <f t="shared" si="44"/>
        <v>1</v>
      </c>
      <c r="D190" s="601"/>
      <c r="E190" s="13">
        <f t="shared" si="45"/>
        <v>1</v>
      </c>
      <c r="F190" s="601"/>
      <c r="G190" s="13">
        <f t="shared" si="46"/>
        <v>1</v>
      </c>
      <c r="H190" s="601"/>
      <c r="I190" s="13">
        <f t="shared" si="47"/>
        <v>1</v>
      </c>
      <c r="J190" s="601"/>
      <c r="K190" s="13">
        <f t="shared" si="48"/>
        <v>1</v>
      </c>
      <c r="L190" s="601"/>
      <c r="M190" s="13">
        <f t="shared" si="49"/>
        <v>1</v>
      </c>
      <c r="N190" s="601"/>
      <c r="O190" s="13">
        <f t="shared" si="50"/>
        <v>1</v>
      </c>
      <c r="P190" s="601"/>
      <c r="Q190" s="13">
        <f t="shared" si="51"/>
        <v>1</v>
      </c>
      <c r="R190" s="597">
        <f t="shared" si="56"/>
        <v>0</v>
      </c>
      <c r="S190" s="250">
        <f t="shared" si="57"/>
        <v>0</v>
      </c>
      <c r="T190" s="901">
        <f t="shared" si="58"/>
        <v>0</v>
      </c>
      <c r="U190" s="2988">
        <f t="shared" si="52"/>
        <v>0</v>
      </c>
      <c r="V190" s="2988">
        <f t="shared" si="53"/>
        <v>0</v>
      </c>
      <c r="W190" s="998"/>
      <c r="X190" s="2988">
        <f t="shared" si="54"/>
        <v>0</v>
      </c>
      <c r="Y190" s="2988">
        <f t="shared" si="55"/>
        <v>0</v>
      </c>
      <c r="Z190" s="998"/>
    </row>
    <row r="191" spans="1:26">
      <c r="A191" s="35"/>
      <c r="B191" s="20"/>
      <c r="C191" s="13">
        <f t="shared" si="44"/>
        <v>1</v>
      </c>
      <c r="D191" s="601"/>
      <c r="E191" s="13">
        <f t="shared" si="45"/>
        <v>1</v>
      </c>
      <c r="F191" s="601"/>
      <c r="G191" s="13">
        <f t="shared" si="46"/>
        <v>1</v>
      </c>
      <c r="H191" s="601"/>
      <c r="I191" s="13">
        <f t="shared" si="47"/>
        <v>1</v>
      </c>
      <c r="J191" s="601"/>
      <c r="K191" s="13">
        <f t="shared" si="48"/>
        <v>1</v>
      </c>
      <c r="L191" s="601"/>
      <c r="M191" s="13">
        <f t="shared" si="49"/>
        <v>1</v>
      </c>
      <c r="N191" s="601"/>
      <c r="O191" s="13">
        <f t="shared" si="50"/>
        <v>1</v>
      </c>
      <c r="P191" s="601"/>
      <c r="Q191" s="13">
        <f t="shared" si="51"/>
        <v>1</v>
      </c>
      <c r="R191" s="597">
        <f t="shared" si="56"/>
        <v>0</v>
      </c>
      <c r="S191" s="250">
        <f t="shared" si="57"/>
        <v>0</v>
      </c>
      <c r="T191" s="901">
        <f t="shared" si="58"/>
        <v>0</v>
      </c>
      <c r="U191" s="2988">
        <f t="shared" si="52"/>
        <v>0</v>
      </c>
      <c r="V191" s="2988">
        <f t="shared" si="53"/>
        <v>0</v>
      </c>
      <c r="W191" s="998"/>
      <c r="X191" s="2988">
        <f t="shared" si="54"/>
        <v>0</v>
      </c>
      <c r="Y191" s="2988">
        <f t="shared" si="55"/>
        <v>0</v>
      </c>
      <c r="Z191" s="998"/>
    </row>
    <row r="192" spans="1:26">
      <c r="A192" s="35"/>
      <c r="B192" s="20"/>
      <c r="C192" s="13">
        <f t="shared" si="44"/>
        <v>1</v>
      </c>
      <c r="D192" s="601"/>
      <c r="E192" s="13">
        <f t="shared" si="45"/>
        <v>1</v>
      </c>
      <c r="F192" s="601"/>
      <c r="G192" s="13">
        <f t="shared" si="46"/>
        <v>1</v>
      </c>
      <c r="H192" s="601"/>
      <c r="I192" s="13">
        <f t="shared" si="47"/>
        <v>1</v>
      </c>
      <c r="J192" s="601"/>
      <c r="K192" s="13">
        <f t="shared" si="48"/>
        <v>1</v>
      </c>
      <c r="L192" s="601"/>
      <c r="M192" s="13">
        <f t="shared" si="49"/>
        <v>1</v>
      </c>
      <c r="N192" s="601"/>
      <c r="O192" s="13">
        <f t="shared" si="50"/>
        <v>1</v>
      </c>
      <c r="P192" s="601"/>
      <c r="Q192" s="13">
        <f t="shared" si="51"/>
        <v>1</v>
      </c>
      <c r="R192" s="597">
        <f t="shared" si="56"/>
        <v>0</v>
      </c>
      <c r="S192" s="250">
        <f t="shared" si="57"/>
        <v>0</v>
      </c>
      <c r="T192" s="901">
        <f t="shared" si="58"/>
        <v>0</v>
      </c>
      <c r="U192" s="2988">
        <f t="shared" si="52"/>
        <v>0</v>
      </c>
      <c r="V192" s="2988">
        <f t="shared" si="53"/>
        <v>0</v>
      </c>
      <c r="W192" s="998"/>
      <c r="X192" s="2988">
        <f t="shared" si="54"/>
        <v>0</v>
      </c>
      <c r="Y192" s="2988">
        <f t="shared" si="55"/>
        <v>0</v>
      </c>
      <c r="Z192" s="998"/>
    </row>
    <row r="193" spans="1:26">
      <c r="A193" s="35"/>
      <c r="B193" s="20"/>
      <c r="C193" s="13">
        <f t="shared" si="44"/>
        <v>1</v>
      </c>
      <c r="D193" s="601"/>
      <c r="E193" s="13">
        <f t="shared" si="45"/>
        <v>1</v>
      </c>
      <c r="F193" s="601"/>
      <c r="G193" s="13">
        <f t="shared" si="46"/>
        <v>1</v>
      </c>
      <c r="H193" s="601"/>
      <c r="I193" s="13">
        <f t="shared" si="47"/>
        <v>1</v>
      </c>
      <c r="J193" s="601"/>
      <c r="K193" s="13">
        <f t="shared" si="48"/>
        <v>1</v>
      </c>
      <c r="L193" s="601"/>
      <c r="M193" s="13">
        <f t="shared" si="49"/>
        <v>1</v>
      </c>
      <c r="N193" s="601"/>
      <c r="O193" s="13">
        <f t="shared" si="50"/>
        <v>1</v>
      </c>
      <c r="P193" s="601"/>
      <c r="Q193" s="13">
        <f t="shared" si="51"/>
        <v>1</v>
      </c>
      <c r="R193" s="597">
        <f t="shared" si="56"/>
        <v>0</v>
      </c>
      <c r="S193" s="250">
        <f t="shared" si="57"/>
        <v>0</v>
      </c>
      <c r="T193" s="901">
        <f t="shared" si="58"/>
        <v>0</v>
      </c>
      <c r="U193" s="2988">
        <f t="shared" si="52"/>
        <v>0</v>
      </c>
      <c r="V193" s="2988">
        <f t="shared" si="53"/>
        <v>0</v>
      </c>
      <c r="W193" s="998"/>
      <c r="X193" s="2988">
        <f t="shared" si="54"/>
        <v>0</v>
      </c>
      <c r="Y193" s="2988">
        <f t="shared" si="55"/>
        <v>0</v>
      </c>
      <c r="Z193" s="998"/>
    </row>
    <row r="194" spans="1:26">
      <c r="A194" s="35"/>
      <c r="B194" s="20"/>
      <c r="C194" s="13">
        <f t="shared" si="44"/>
        <v>1</v>
      </c>
      <c r="D194" s="601"/>
      <c r="E194" s="13">
        <f t="shared" si="45"/>
        <v>1</v>
      </c>
      <c r="F194" s="601"/>
      <c r="G194" s="13">
        <f t="shared" si="46"/>
        <v>1</v>
      </c>
      <c r="H194" s="601"/>
      <c r="I194" s="13">
        <f t="shared" si="47"/>
        <v>1</v>
      </c>
      <c r="J194" s="601"/>
      <c r="K194" s="13">
        <f t="shared" si="48"/>
        <v>1</v>
      </c>
      <c r="L194" s="601"/>
      <c r="M194" s="13">
        <f t="shared" si="49"/>
        <v>1</v>
      </c>
      <c r="N194" s="601"/>
      <c r="O194" s="13">
        <f t="shared" si="50"/>
        <v>1</v>
      </c>
      <c r="P194" s="601"/>
      <c r="Q194" s="13">
        <f t="shared" si="51"/>
        <v>1</v>
      </c>
      <c r="R194" s="597">
        <f t="shared" si="56"/>
        <v>0</v>
      </c>
      <c r="S194" s="250">
        <f t="shared" si="57"/>
        <v>0</v>
      </c>
      <c r="T194" s="901">
        <f t="shared" si="58"/>
        <v>0</v>
      </c>
      <c r="U194" s="2988">
        <f t="shared" si="52"/>
        <v>0</v>
      </c>
      <c r="V194" s="2988">
        <f t="shared" si="53"/>
        <v>0</v>
      </c>
      <c r="W194" s="998"/>
      <c r="X194" s="2988">
        <f t="shared" si="54"/>
        <v>0</v>
      </c>
      <c r="Y194" s="2988">
        <f t="shared" si="55"/>
        <v>0</v>
      </c>
      <c r="Z194" s="998"/>
    </row>
    <row r="195" spans="1:26">
      <c r="A195" s="35"/>
      <c r="B195" s="20"/>
      <c r="C195" s="13">
        <f t="shared" si="44"/>
        <v>1</v>
      </c>
      <c r="D195" s="601"/>
      <c r="E195" s="13">
        <f t="shared" si="45"/>
        <v>1</v>
      </c>
      <c r="F195" s="601"/>
      <c r="G195" s="13">
        <f t="shared" si="46"/>
        <v>1</v>
      </c>
      <c r="H195" s="601"/>
      <c r="I195" s="13">
        <f t="shared" si="47"/>
        <v>1</v>
      </c>
      <c r="J195" s="601"/>
      <c r="K195" s="13">
        <f t="shared" si="48"/>
        <v>1</v>
      </c>
      <c r="L195" s="601"/>
      <c r="M195" s="13">
        <f t="shared" si="49"/>
        <v>1</v>
      </c>
      <c r="N195" s="601"/>
      <c r="O195" s="13">
        <f t="shared" si="50"/>
        <v>1</v>
      </c>
      <c r="P195" s="601"/>
      <c r="Q195" s="13">
        <f t="shared" si="51"/>
        <v>1</v>
      </c>
      <c r="R195" s="597">
        <f t="shared" si="56"/>
        <v>0</v>
      </c>
      <c r="S195" s="250">
        <f t="shared" si="57"/>
        <v>0</v>
      </c>
      <c r="T195" s="901">
        <f t="shared" si="58"/>
        <v>0</v>
      </c>
      <c r="U195" s="2988">
        <f t="shared" si="52"/>
        <v>0</v>
      </c>
      <c r="V195" s="2988">
        <f t="shared" si="53"/>
        <v>0</v>
      </c>
      <c r="W195" s="998"/>
      <c r="X195" s="2988">
        <f t="shared" si="54"/>
        <v>0</v>
      </c>
      <c r="Y195" s="2988">
        <f t="shared" si="55"/>
        <v>0</v>
      </c>
      <c r="Z195" s="998"/>
    </row>
    <row r="196" spans="1:26">
      <c r="A196" s="35"/>
      <c r="B196" s="20"/>
      <c r="C196" s="13">
        <f t="shared" si="44"/>
        <v>1</v>
      </c>
      <c r="D196" s="601"/>
      <c r="E196" s="13">
        <f t="shared" si="45"/>
        <v>1</v>
      </c>
      <c r="F196" s="601"/>
      <c r="G196" s="13">
        <f t="shared" si="46"/>
        <v>1</v>
      </c>
      <c r="H196" s="601"/>
      <c r="I196" s="13">
        <f t="shared" si="47"/>
        <v>1</v>
      </c>
      <c r="J196" s="601"/>
      <c r="K196" s="13">
        <f t="shared" si="48"/>
        <v>1</v>
      </c>
      <c r="L196" s="601"/>
      <c r="M196" s="13">
        <f t="shared" si="49"/>
        <v>1</v>
      </c>
      <c r="N196" s="601"/>
      <c r="O196" s="13">
        <f t="shared" si="50"/>
        <v>1</v>
      </c>
      <c r="P196" s="601"/>
      <c r="Q196" s="13">
        <f t="shared" si="51"/>
        <v>1</v>
      </c>
      <c r="R196" s="597">
        <f t="shared" si="56"/>
        <v>0</v>
      </c>
      <c r="S196" s="250">
        <f t="shared" si="57"/>
        <v>0</v>
      </c>
      <c r="T196" s="901">
        <f t="shared" si="58"/>
        <v>0</v>
      </c>
      <c r="U196" s="2988">
        <f t="shared" si="52"/>
        <v>0</v>
      </c>
      <c r="V196" s="2988">
        <f t="shared" si="53"/>
        <v>0</v>
      </c>
      <c r="W196" s="998"/>
      <c r="X196" s="2988">
        <f t="shared" si="54"/>
        <v>0</v>
      </c>
      <c r="Y196" s="2988">
        <f t="shared" si="55"/>
        <v>0</v>
      </c>
      <c r="Z196" s="998"/>
    </row>
    <row r="197" spans="1:26">
      <c r="A197" s="35"/>
      <c r="B197" s="20"/>
      <c r="C197" s="13">
        <f t="shared" si="44"/>
        <v>1</v>
      </c>
      <c r="D197" s="601"/>
      <c r="E197" s="13">
        <f t="shared" si="45"/>
        <v>1</v>
      </c>
      <c r="F197" s="601"/>
      <c r="G197" s="13">
        <f t="shared" si="46"/>
        <v>1</v>
      </c>
      <c r="H197" s="601"/>
      <c r="I197" s="13">
        <f t="shared" si="47"/>
        <v>1</v>
      </c>
      <c r="J197" s="601"/>
      <c r="K197" s="13">
        <f t="shared" si="48"/>
        <v>1</v>
      </c>
      <c r="L197" s="601"/>
      <c r="M197" s="13">
        <f t="shared" si="49"/>
        <v>1</v>
      </c>
      <c r="N197" s="601"/>
      <c r="O197" s="13">
        <f t="shared" si="50"/>
        <v>1</v>
      </c>
      <c r="P197" s="601"/>
      <c r="Q197" s="13">
        <f t="shared" si="51"/>
        <v>1</v>
      </c>
      <c r="R197" s="597">
        <f t="shared" si="56"/>
        <v>0</v>
      </c>
      <c r="S197" s="250">
        <f t="shared" si="57"/>
        <v>0</v>
      </c>
      <c r="T197" s="901">
        <f t="shared" si="58"/>
        <v>0</v>
      </c>
      <c r="U197" s="2988">
        <f t="shared" si="52"/>
        <v>0</v>
      </c>
      <c r="V197" s="2988">
        <f t="shared" si="53"/>
        <v>0</v>
      </c>
      <c r="W197" s="998"/>
      <c r="X197" s="2988">
        <f t="shared" si="54"/>
        <v>0</v>
      </c>
      <c r="Y197" s="2988">
        <f t="shared" si="55"/>
        <v>0</v>
      </c>
      <c r="Z197" s="998"/>
    </row>
    <row r="198" spans="1:26">
      <c r="A198" s="35"/>
      <c r="B198" s="20"/>
      <c r="C198" s="13">
        <f t="shared" si="44"/>
        <v>1</v>
      </c>
      <c r="D198" s="601"/>
      <c r="E198" s="13">
        <f t="shared" si="45"/>
        <v>1</v>
      </c>
      <c r="F198" s="601"/>
      <c r="G198" s="13">
        <f t="shared" si="46"/>
        <v>1</v>
      </c>
      <c r="H198" s="601"/>
      <c r="I198" s="13">
        <f t="shared" si="47"/>
        <v>1</v>
      </c>
      <c r="J198" s="601"/>
      <c r="K198" s="13">
        <f t="shared" si="48"/>
        <v>1</v>
      </c>
      <c r="L198" s="601"/>
      <c r="M198" s="13">
        <f t="shared" si="49"/>
        <v>1</v>
      </c>
      <c r="N198" s="601"/>
      <c r="O198" s="13">
        <f t="shared" si="50"/>
        <v>1</v>
      </c>
      <c r="P198" s="601"/>
      <c r="Q198" s="13">
        <f t="shared" si="51"/>
        <v>1</v>
      </c>
      <c r="R198" s="597">
        <f t="shared" si="56"/>
        <v>0</v>
      </c>
      <c r="S198" s="250">
        <f t="shared" si="57"/>
        <v>0</v>
      </c>
      <c r="T198" s="901">
        <f t="shared" si="58"/>
        <v>0</v>
      </c>
      <c r="U198" s="2988">
        <f t="shared" si="52"/>
        <v>0</v>
      </c>
      <c r="V198" s="2988">
        <f t="shared" si="53"/>
        <v>0</v>
      </c>
      <c r="W198" s="998"/>
      <c r="X198" s="2988">
        <f t="shared" si="54"/>
        <v>0</v>
      </c>
      <c r="Y198" s="2988">
        <f t="shared" si="55"/>
        <v>0</v>
      </c>
      <c r="Z198" s="998"/>
    </row>
    <row r="199" spans="1:26">
      <c r="A199" s="35"/>
      <c r="B199" s="20"/>
      <c r="C199" s="13">
        <f t="shared" si="44"/>
        <v>1</v>
      </c>
      <c r="D199" s="601"/>
      <c r="E199" s="13">
        <f t="shared" si="45"/>
        <v>1</v>
      </c>
      <c r="F199" s="601"/>
      <c r="G199" s="13">
        <f t="shared" si="46"/>
        <v>1</v>
      </c>
      <c r="H199" s="601"/>
      <c r="I199" s="13">
        <f t="shared" si="47"/>
        <v>1</v>
      </c>
      <c r="J199" s="601"/>
      <c r="K199" s="13">
        <f t="shared" si="48"/>
        <v>1</v>
      </c>
      <c r="L199" s="601"/>
      <c r="M199" s="13">
        <f t="shared" si="49"/>
        <v>1</v>
      </c>
      <c r="N199" s="601"/>
      <c r="O199" s="13">
        <f t="shared" si="50"/>
        <v>1</v>
      </c>
      <c r="P199" s="601"/>
      <c r="Q199" s="13">
        <f t="shared" si="51"/>
        <v>1</v>
      </c>
      <c r="R199" s="597">
        <f t="shared" si="56"/>
        <v>0</v>
      </c>
      <c r="S199" s="250">
        <f t="shared" si="57"/>
        <v>0</v>
      </c>
      <c r="T199" s="901">
        <f t="shared" si="58"/>
        <v>0</v>
      </c>
      <c r="U199" s="2988">
        <f t="shared" si="52"/>
        <v>0</v>
      </c>
      <c r="V199" s="2988">
        <f t="shared" si="53"/>
        <v>0</v>
      </c>
      <c r="W199" s="998"/>
      <c r="X199" s="2988">
        <f t="shared" si="54"/>
        <v>0</v>
      </c>
      <c r="Y199" s="2988">
        <f t="shared" si="55"/>
        <v>0</v>
      </c>
      <c r="Z199" s="998"/>
    </row>
    <row r="200" spans="1:26">
      <c r="A200" s="35"/>
      <c r="B200" s="20"/>
      <c r="C200" s="13">
        <f t="shared" si="44"/>
        <v>1</v>
      </c>
      <c r="D200" s="601"/>
      <c r="E200" s="13">
        <f t="shared" si="45"/>
        <v>1</v>
      </c>
      <c r="F200" s="601"/>
      <c r="G200" s="13">
        <f t="shared" si="46"/>
        <v>1</v>
      </c>
      <c r="H200" s="601"/>
      <c r="I200" s="13">
        <f t="shared" si="47"/>
        <v>1</v>
      </c>
      <c r="J200" s="601"/>
      <c r="K200" s="13">
        <f t="shared" si="48"/>
        <v>1</v>
      </c>
      <c r="L200" s="601"/>
      <c r="M200" s="13">
        <f t="shared" si="49"/>
        <v>1</v>
      </c>
      <c r="N200" s="601"/>
      <c r="O200" s="13">
        <f t="shared" si="50"/>
        <v>1</v>
      </c>
      <c r="P200" s="601"/>
      <c r="Q200" s="13">
        <f t="shared" si="51"/>
        <v>1</v>
      </c>
      <c r="R200" s="597">
        <f t="shared" si="56"/>
        <v>0</v>
      </c>
      <c r="S200" s="250">
        <f t="shared" si="57"/>
        <v>0</v>
      </c>
      <c r="T200" s="901">
        <f t="shared" si="58"/>
        <v>0</v>
      </c>
      <c r="U200" s="2988">
        <f t="shared" si="52"/>
        <v>0</v>
      </c>
      <c r="V200" s="2988">
        <f t="shared" si="53"/>
        <v>0</v>
      </c>
      <c r="W200" s="998"/>
      <c r="X200" s="2988">
        <f t="shared" si="54"/>
        <v>0</v>
      </c>
      <c r="Y200" s="2988">
        <f t="shared" si="55"/>
        <v>0</v>
      </c>
      <c r="Z200" s="998"/>
    </row>
    <row r="201" spans="1:26">
      <c r="A201" s="35"/>
      <c r="B201" s="20"/>
      <c r="C201" s="13">
        <f t="shared" si="44"/>
        <v>1</v>
      </c>
      <c r="D201" s="601"/>
      <c r="E201" s="13">
        <f t="shared" si="45"/>
        <v>1</v>
      </c>
      <c r="F201" s="601"/>
      <c r="G201" s="13">
        <f t="shared" si="46"/>
        <v>1</v>
      </c>
      <c r="H201" s="601"/>
      <c r="I201" s="13">
        <f t="shared" si="47"/>
        <v>1</v>
      </c>
      <c r="J201" s="601"/>
      <c r="K201" s="13">
        <f t="shared" si="48"/>
        <v>1</v>
      </c>
      <c r="L201" s="601"/>
      <c r="M201" s="13">
        <f t="shared" si="49"/>
        <v>1</v>
      </c>
      <c r="N201" s="601"/>
      <c r="O201" s="13">
        <f t="shared" si="50"/>
        <v>1</v>
      </c>
      <c r="P201" s="601"/>
      <c r="Q201" s="13">
        <f t="shared" si="51"/>
        <v>1</v>
      </c>
      <c r="R201" s="597">
        <f t="shared" si="56"/>
        <v>0</v>
      </c>
      <c r="S201" s="250">
        <f t="shared" si="57"/>
        <v>0</v>
      </c>
      <c r="T201" s="901">
        <f t="shared" si="58"/>
        <v>0</v>
      </c>
      <c r="U201" s="2988">
        <f t="shared" si="52"/>
        <v>0</v>
      </c>
      <c r="V201" s="2988">
        <f t="shared" si="53"/>
        <v>0</v>
      </c>
      <c r="W201" s="998"/>
      <c r="X201" s="2988">
        <f t="shared" si="54"/>
        <v>0</v>
      </c>
      <c r="Y201" s="2988">
        <f t="shared" si="55"/>
        <v>0</v>
      </c>
      <c r="Z201" s="998"/>
    </row>
    <row r="202" spans="1:26">
      <c r="A202" s="35"/>
      <c r="B202" s="20"/>
      <c r="C202" s="13">
        <f t="shared" si="44"/>
        <v>1</v>
      </c>
      <c r="D202" s="601"/>
      <c r="E202" s="13">
        <f t="shared" si="45"/>
        <v>1</v>
      </c>
      <c r="F202" s="601"/>
      <c r="G202" s="13">
        <f t="shared" si="46"/>
        <v>1</v>
      </c>
      <c r="H202" s="601"/>
      <c r="I202" s="13">
        <f t="shared" si="47"/>
        <v>1</v>
      </c>
      <c r="J202" s="601"/>
      <c r="K202" s="13">
        <f t="shared" si="48"/>
        <v>1</v>
      </c>
      <c r="L202" s="601"/>
      <c r="M202" s="13">
        <f t="shared" si="49"/>
        <v>1</v>
      </c>
      <c r="N202" s="601"/>
      <c r="O202" s="13">
        <f t="shared" si="50"/>
        <v>1</v>
      </c>
      <c r="P202" s="601"/>
      <c r="Q202" s="13">
        <f t="shared" si="51"/>
        <v>1</v>
      </c>
      <c r="R202" s="597">
        <f t="shared" si="56"/>
        <v>0</v>
      </c>
      <c r="S202" s="250">
        <f t="shared" si="57"/>
        <v>0</v>
      </c>
      <c r="T202" s="901">
        <f t="shared" si="58"/>
        <v>0</v>
      </c>
      <c r="U202" s="2988">
        <f t="shared" si="52"/>
        <v>0</v>
      </c>
      <c r="V202" s="2988">
        <f t="shared" si="53"/>
        <v>0</v>
      </c>
      <c r="W202" s="998"/>
      <c r="X202" s="2988">
        <f t="shared" si="54"/>
        <v>0</v>
      </c>
      <c r="Y202" s="2988">
        <f t="shared" si="55"/>
        <v>0</v>
      </c>
      <c r="Z202" s="998"/>
    </row>
    <row r="203" spans="1:26">
      <c r="A203" s="35"/>
      <c r="B203" s="20"/>
      <c r="C203" s="13">
        <f t="shared" si="44"/>
        <v>1</v>
      </c>
      <c r="D203" s="601"/>
      <c r="E203" s="13">
        <f t="shared" si="45"/>
        <v>1</v>
      </c>
      <c r="F203" s="601"/>
      <c r="G203" s="13">
        <f t="shared" si="46"/>
        <v>1</v>
      </c>
      <c r="H203" s="601"/>
      <c r="I203" s="13">
        <f t="shared" si="47"/>
        <v>1</v>
      </c>
      <c r="J203" s="601"/>
      <c r="K203" s="13">
        <f t="shared" si="48"/>
        <v>1</v>
      </c>
      <c r="L203" s="601"/>
      <c r="M203" s="13">
        <f t="shared" si="49"/>
        <v>1</v>
      </c>
      <c r="N203" s="601"/>
      <c r="O203" s="13">
        <f t="shared" si="50"/>
        <v>1</v>
      </c>
      <c r="P203" s="601"/>
      <c r="Q203" s="13">
        <f t="shared" si="51"/>
        <v>1</v>
      </c>
      <c r="R203" s="597">
        <f t="shared" si="56"/>
        <v>0</v>
      </c>
      <c r="S203" s="250">
        <f t="shared" si="57"/>
        <v>0</v>
      </c>
      <c r="T203" s="901">
        <f t="shared" si="58"/>
        <v>0</v>
      </c>
      <c r="U203" s="2988">
        <f t="shared" si="52"/>
        <v>0</v>
      </c>
      <c r="V203" s="2988">
        <f t="shared" si="53"/>
        <v>0</v>
      </c>
      <c r="W203" s="998"/>
      <c r="X203" s="2988">
        <f t="shared" si="54"/>
        <v>0</v>
      </c>
      <c r="Y203" s="2988">
        <f t="shared" si="55"/>
        <v>0</v>
      </c>
      <c r="Z203" s="998"/>
    </row>
    <row r="204" spans="1:26">
      <c r="A204" s="35"/>
      <c r="B204" s="20"/>
      <c r="C204" s="13">
        <f t="shared" si="44"/>
        <v>1</v>
      </c>
      <c r="D204" s="601"/>
      <c r="E204" s="13">
        <f t="shared" si="45"/>
        <v>1</v>
      </c>
      <c r="F204" s="601"/>
      <c r="G204" s="13">
        <f t="shared" si="46"/>
        <v>1</v>
      </c>
      <c r="H204" s="601"/>
      <c r="I204" s="13">
        <f t="shared" si="47"/>
        <v>1</v>
      </c>
      <c r="J204" s="601"/>
      <c r="K204" s="13">
        <f t="shared" si="48"/>
        <v>1</v>
      </c>
      <c r="L204" s="601"/>
      <c r="M204" s="13">
        <f t="shared" si="49"/>
        <v>1</v>
      </c>
      <c r="N204" s="601"/>
      <c r="O204" s="13">
        <f t="shared" si="50"/>
        <v>1</v>
      </c>
      <c r="P204" s="601"/>
      <c r="Q204" s="13">
        <f t="shared" si="51"/>
        <v>1</v>
      </c>
      <c r="R204" s="597">
        <f t="shared" si="56"/>
        <v>0</v>
      </c>
      <c r="S204" s="250">
        <f t="shared" si="57"/>
        <v>0</v>
      </c>
      <c r="T204" s="901">
        <f t="shared" si="58"/>
        <v>0</v>
      </c>
      <c r="U204" s="2988">
        <f t="shared" si="52"/>
        <v>0</v>
      </c>
      <c r="V204" s="2988">
        <f t="shared" si="53"/>
        <v>0</v>
      </c>
      <c r="W204" s="998"/>
      <c r="X204" s="2988">
        <f t="shared" si="54"/>
        <v>0</v>
      </c>
      <c r="Y204" s="2988">
        <f t="shared" si="55"/>
        <v>0</v>
      </c>
      <c r="Z204" s="998"/>
    </row>
    <row r="205" spans="1:26">
      <c r="A205" s="35"/>
      <c r="B205" s="20"/>
      <c r="C205" s="13">
        <f t="shared" si="44"/>
        <v>1</v>
      </c>
      <c r="D205" s="601"/>
      <c r="E205" s="13">
        <f t="shared" si="45"/>
        <v>1</v>
      </c>
      <c r="F205" s="601"/>
      <c r="G205" s="13">
        <f t="shared" si="46"/>
        <v>1</v>
      </c>
      <c r="H205" s="601"/>
      <c r="I205" s="13">
        <f t="shared" si="47"/>
        <v>1</v>
      </c>
      <c r="J205" s="601"/>
      <c r="K205" s="13">
        <f t="shared" si="48"/>
        <v>1</v>
      </c>
      <c r="L205" s="601"/>
      <c r="M205" s="13">
        <f t="shared" si="49"/>
        <v>1</v>
      </c>
      <c r="N205" s="601"/>
      <c r="O205" s="13">
        <f t="shared" si="50"/>
        <v>1</v>
      </c>
      <c r="P205" s="601"/>
      <c r="Q205" s="13">
        <f t="shared" si="51"/>
        <v>1</v>
      </c>
      <c r="R205" s="597">
        <f t="shared" si="56"/>
        <v>0</v>
      </c>
      <c r="S205" s="250">
        <f t="shared" si="57"/>
        <v>0</v>
      </c>
      <c r="T205" s="901">
        <f t="shared" si="58"/>
        <v>0</v>
      </c>
      <c r="U205" s="2988">
        <f t="shared" si="52"/>
        <v>0</v>
      </c>
      <c r="V205" s="2988">
        <f t="shared" si="53"/>
        <v>0</v>
      </c>
      <c r="W205" s="998"/>
      <c r="X205" s="2988">
        <f t="shared" si="54"/>
        <v>0</v>
      </c>
      <c r="Y205" s="2988">
        <f t="shared" si="55"/>
        <v>0</v>
      </c>
      <c r="Z205" s="998"/>
    </row>
    <row r="206" spans="1:26">
      <c r="A206" s="35"/>
      <c r="B206" s="20"/>
      <c r="C206" s="13">
        <f t="shared" si="44"/>
        <v>1</v>
      </c>
      <c r="D206" s="601"/>
      <c r="E206" s="13">
        <f t="shared" si="45"/>
        <v>1</v>
      </c>
      <c r="F206" s="601"/>
      <c r="G206" s="13">
        <f t="shared" si="46"/>
        <v>1</v>
      </c>
      <c r="H206" s="601"/>
      <c r="I206" s="13">
        <f t="shared" si="47"/>
        <v>1</v>
      </c>
      <c r="J206" s="601"/>
      <c r="K206" s="13">
        <f t="shared" si="48"/>
        <v>1</v>
      </c>
      <c r="L206" s="601"/>
      <c r="M206" s="13">
        <f t="shared" si="49"/>
        <v>1</v>
      </c>
      <c r="N206" s="601"/>
      <c r="O206" s="13">
        <f t="shared" si="50"/>
        <v>1</v>
      </c>
      <c r="P206" s="601"/>
      <c r="Q206" s="13">
        <f t="shared" si="51"/>
        <v>1</v>
      </c>
      <c r="R206" s="597">
        <f t="shared" si="56"/>
        <v>0</v>
      </c>
      <c r="S206" s="250">
        <f t="shared" si="57"/>
        <v>0</v>
      </c>
      <c r="T206" s="901">
        <f t="shared" si="58"/>
        <v>0</v>
      </c>
      <c r="U206" s="2988">
        <f t="shared" si="52"/>
        <v>0</v>
      </c>
      <c r="V206" s="2988">
        <f t="shared" si="53"/>
        <v>0</v>
      </c>
      <c r="W206" s="998"/>
      <c r="X206" s="2988">
        <f t="shared" si="54"/>
        <v>0</v>
      </c>
      <c r="Y206" s="2988">
        <f t="shared" si="55"/>
        <v>0</v>
      </c>
      <c r="Z206" s="998"/>
    </row>
    <row r="207" spans="1:26">
      <c r="A207" s="35"/>
      <c r="B207" s="20"/>
      <c r="C207" s="13">
        <f t="shared" si="44"/>
        <v>1</v>
      </c>
      <c r="D207" s="601"/>
      <c r="E207" s="13">
        <f t="shared" si="45"/>
        <v>1</v>
      </c>
      <c r="F207" s="601"/>
      <c r="G207" s="13">
        <f t="shared" si="46"/>
        <v>1</v>
      </c>
      <c r="H207" s="601"/>
      <c r="I207" s="13">
        <f t="shared" si="47"/>
        <v>1</v>
      </c>
      <c r="J207" s="601"/>
      <c r="K207" s="13">
        <f t="shared" si="48"/>
        <v>1</v>
      </c>
      <c r="L207" s="601"/>
      <c r="M207" s="13">
        <f t="shared" si="49"/>
        <v>1</v>
      </c>
      <c r="N207" s="601"/>
      <c r="O207" s="13">
        <f t="shared" si="50"/>
        <v>1</v>
      </c>
      <c r="P207" s="601"/>
      <c r="Q207" s="13">
        <f t="shared" si="51"/>
        <v>1</v>
      </c>
      <c r="R207" s="597">
        <f t="shared" si="56"/>
        <v>0</v>
      </c>
      <c r="S207" s="250">
        <f t="shared" si="57"/>
        <v>0</v>
      </c>
      <c r="T207" s="901">
        <f t="shared" si="58"/>
        <v>0</v>
      </c>
      <c r="U207" s="2988">
        <f t="shared" si="52"/>
        <v>0</v>
      </c>
      <c r="V207" s="2988">
        <f t="shared" si="53"/>
        <v>0</v>
      </c>
      <c r="W207" s="998"/>
      <c r="X207" s="2988">
        <f t="shared" si="54"/>
        <v>0</v>
      </c>
      <c r="Y207" s="2988">
        <f t="shared" si="55"/>
        <v>0</v>
      </c>
      <c r="Z207" s="998"/>
    </row>
    <row r="208" spans="1:26">
      <c r="A208" s="35"/>
      <c r="B208" s="20"/>
      <c r="C208" s="13">
        <f t="shared" si="44"/>
        <v>1</v>
      </c>
      <c r="D208" s="601"/>
      <c r="E208" s="13">
        <f t="shared" si="45"/>
        <v>1</v>
      </c>
      <c r="F208" s="601"/>
      <c r="G208" s="13">
        <f t="shared" si="46"/>
        <v>1</v>
      </c>
      <c r="H208" s="601"/>
      <c r="I208" s="13">
        <f t="shared" si="47"/>
        <v>1</v>
      </c>
      <c r="J208" s="601"/>
      <c r="K208" s="13">
        <f t="shared" si="48"/>
        <v>1</v>
      </c>
      <c r="L208" s="601"/>
      <c r="M208" s="13">
        <f t="shared" si="49"/>
        <v>1</v>
      </c>
      <c r="N208" s="601"/>
      <c r="O208" s="13">
        <f t="shared" si="50"/>
        <v>1</v>
      </c>
      <c r="P208" s="601"/>
      <c r="Q208" s="13">
        <f t="shared" si="51"/>
        <v>1</v>
      </c>
      <c r="R208" s="597">
        <f t="shared" si="56"/>
        <v>0</v>
      </c>
      <c r="S208" s="250">
        <f t="shared" si="57"/>
        <v>0</v>
      </c>
      <c r="T208" s="901">
        <f t="shared" si="58"/>
        <v>0</v>
      </c>
      <c r="U208" s="2988">
        <f t="shared" si="52"/>
        <v>0</v>
      </c>
      <c r="V208" s="2988">
        <f t="shared" si="53"/>
        <v>0</v>
      </c>
      <c r="W208" s="998"/>
      <c r="X208" s="2988">
        <f t="shared" si="54"/>
        <v>0</v>
      </c>
      <c r="Y208" s="2988">
        <f t="shared" si="55"/>
        <v>0</v>
      </c>
      <c r="Z208" s="998"/>
    </row>
    <row r="209" spans="1:26">
      <c r="A209" s="35"/>
      <c r="B209" s="20"/>
      <c r="C209" s="13">
        <f t="shared" si="44"/>
        <v>1</v>
      </c>
      <c r="D209" s="601"/>
      <c r="E209" s="13">
        <f t="shared" si="45"/>
        <v>1</v>
      </c>
      <c r="F209" s="601"/>
      <c r="G209" s="13">
        <f t="shared" si="46"/>
        <v>1</v>
      </c>
      <c r="H209" s="601"/>
      <c r="I209" s="13">
        <f t="shared" si="47"/>
        <v>1</v>
      </c>
      <c r="J209" s="601"/>
      <c r="K209" s="13">
        <f t="shared" si="48"/>
        <v>1</v>
      </c>
      <c r="L209" s="601"/>
      <c r="M209" s="13">
        <f t="shared" si="49"/>
        <v>1</v>
      </c>
      <c r="N209" s="601"/>
      <c r="O209" s="13">
        <f t="shared" si="50"/>
        <v>1</v>
      </c>
      <c r="P209" s="601"/>
      <c r="Q209" s="13">
        <f t="shared" si="51"/>
        <v>1</v>
      </c>
      <c r="R209" s="597">
        <f t="shared" si="56"/>
        <v>0</v>
      </c>
      <c r="S209" s="250">
        <f t="shared" si="57"/>
        <v>0</v>
      </c>
      <c r="T209" s="901">
        <f t="shared" si="58"/>
        <v>0</v>
      </c>
      <c r="U209" s="2988">
        <f t="shared" si="52"/>
        <v>0</v>
      </c>
      <c r="V209" s="2988">
        <f t="shared" si="53"/>
        <v>0</v>
      </c>
      <c r="W209" s="998"/>
      <c r="X209" s="2988">
        <f t="shared" si="54"/>
        <v>0</v>
      </c>
      <c r="Y209" s="2988">
        <f t="shared" si="55"/>
        <v>0</v>
      </c>
      <c r="Z209" s="998"/>
    </row>
    <row r="210" spans="1:26">
      <c r="A210" s="35"/>
      <c r="B210" s="20"/>
      <c r="C210" s="13">
        <f t="shared" si="44"/>
        <v>1</v>
      </c>
      <c r="D210" s="601"/>
      <c r="E210" s="13">
        <f t="shared" si="45"/>
        <v>1</v>
      </c>
      <c r="F210" s="601"/>
      <c r="G210" s="13">
        <f t="shared" si="46"/>
        <v>1</v>
      </c>
      <c r="H210" s="601"/>
      <c r="I210" s="13">
        <f t="shared" si="47"/>
        <v>1</v>
      </c>
      <c r="J210" s="601"/>
      <c r="K210" s="13">
        <f t="shared" si="48"/>
        <v>1</v>
      </c>
      <c r="L210" s="601"/>
      <c r="M210" s="13">
        <f t="shared" si="49"/>
        <v>1</v>
      </c>
      <c r="N210" s="601"/>
      <c r="O210" s="13">
        <f t="shared" si="50"/>
        <v>1</v>
      </c>
      <c r="P210" s="601"/>
      <c r="Q210" s="13">
        <f t="shared" si="51"/>
        <v>1</v>
      </c>
      <c r="R210" s="597">
        <f t="shared" si="56"/>
        <v>0</v>
      </c>
      <c r="S210" s="250">
        <f t="shared" si="57"/>
        <v>0</v>
      </c>
      <c r="T210" s="901">
        <f t="shared" si="58"/>
        <v>0</v>
      </c>
      <c r="U210" s="2988">
        <f t="shared" si="52"/>
        <v>0</v>
      </c>
      <c r="V210" s="2988">
        <f t="shared" si="53"/>
        <v>0</v>
      </c>
      <c r="W210" s="998"/>
      <c r="X210" s="2988">
        <f t="shared" si="54"/>
        <v>0</v>
      </c>
      <c r="Y210" s="2988">
        <f t="shared" si="55"/>
        <v>0</v>
      </c>
      <c r="Z210" s="998"/>
    </row>
    <row r="211" spans="1:26">
      <c r="A211" s="35"/>
      <c r="B211" s="20"/>
      <c r="C211" s="13">
        <f t="shared" si="44"/>
        <v>1</v>
      </c>
      <c r="D211" s="601"/>
      <c r="E211" s="13">
        <f t="shared" si="45"/>
        <v>1</v>
      </c>
      <c r="F211" s="601"/>
      <c r="G211" s="13">
        <f t="shared" si="46"/>
        <v>1</v>
      </c>
      <c r="H211" s="601"/>
      <c r="I211" s="13">
        <f t="shared" si="47"/>
        <v>1</v>
      </c>
      <c r="J211" s="601"/>
      <c r="K211" s="13">
        <f t="shared" si="48"/>
        <v>1</v>
      </c>
      <c r="L211" s="601"/>
      <c r="M211" s="13">
        <f t="shared" si="49"/>
        <v>1</v>
      </c>
      <c r="N211" s="601"/>
      <c r="O211" s="13">
        <f t="shared" si="50"/>
        <v>1</v>
      </c>
      <c r="P211" s="601"/>
      <c r="Q211" s="13">
        <f t="shared" si="51"/>
        <v>1</v>
      </c>
      <c r="R211" s="597">
        <f t="shared" si="56"/>
        <v>0</v>
      </c>
      <c r="S211" s="250">
        <f t="shared" si="57"/>
        <v>0</v>
      </c>
      <c r="T211" s="901">
        <f t="shared" si="58"/>
        <v>0</v>
      </c>
      <c r="U211" s="2988">
        <f t="shared" si="52"/>
        <v>0</v>
      </c>
      <c r="V211" s="2988">
        <f t="shared" si="53"/>
        <v>0</v>
      </c>
      <c r="W211" s="998"/>
      <c r="X211" s="2988">
        <f t="shared" si="54"/>
        <v>0</v>
      </c>
      <c r="Y211" s="2988">
        <f t="shared" si="55"/>
        <v>0</v>
      </c>
      <c r="Z211" s="998"/>
    </row>
    <row r="212" spans="1:26">
      <c r="A212" s="35"/>
      <c r="B212" s="20"/>
      <c r="C212" s="13">
        <f t="shared" si="44"/>
        <v>1</v>
      </c>
      <c r="D212" s="601"/>
      <c r="E212" s="13">
        <f t="shared" si="45"/>
        <v>1</v>
      </c>
      <c r="F212" s="601"/>
      <c r="G212" s="13">
        <f t="shared" si="46"/>
        <v>1</v>
      </c>
      <c r="H212" s="601"/>
      <c r="I212" s="13">
        <f t="shared" si="47"/>
        <v>1</v>
      </c>
      <c r="J212" s="601"/>
      <c r="K212" s="13">
        <f t="shared" si="48"/>
        <v>1</v>
      </c>
      <c r="L212" s="601"/>
      <c r="M212" s="13">
        <f t="shared" si="49"/>
        <v>1</v>
      </c>
      <c r="N212" s="601"/>
      <c r="O212" s="13">
        <f t="shared" si="50"/>
        <v>1</v>
      </c>
      <c r="P212" s="601"/>
      <c r="Q212" s="13">
        <f t="shared" si="51"/>
        <v>1</v>
      </c>
      <c r="R212" s="597">
        <f t="shared" si="56"/>
        <v>0</v>
      </c>
      <c r="S212" s="250">
        <f t="shared" si="57"/>
        <v>0</v>
      </c>
      <c r="T212" s="901">
        <f t="shared" si="58"/>
        <v>0</v>
      </c>
      <c r="U212" s="2988">
        <f t="shared" si="52"/>
        <v>0</v>
      </c>
      <c r="V212" s="2988">
        <f t="shared" si="53"/>
        <v>0</v>
      </c>
      <c r="W212" s="998"/>
      <c r="X212" s="2988">
        <f t="shared" si="54"/>
        <v>0</v>
      </c>
      <c r="Y212" s="2988">
        <f t="shared" si="55"/>
        <v>0</v>
      </c>
      <c r="Z212" s="998"/>
    </row>
    <row r="213" spans="1:26">
      <c r="A213" s="35"/>
      <c r="B213" s="20"/>
      <c r="C213" s="13">
        <f t="shared" si="44"/>
        <v>1</v>
      </c>
      <c r="D213" s="601"/>
      <c r="E213" s="13">
        <f t="shared" si="45"/>
        <v>1</v>
      </c>
      <c r="F213" s="601"/>
      <c r="G213" s="13">
        <f t="shared" si="46"/>
        <v>1</v>
      </c>
      <c r="H213" s="601"/>
      <c r="I213" s="13">
        <f t="shared" si="47"/>
        <v>1</v>
      </c>
      <c r="J213" s="601"/>
      <c r="K213" s="13">
        <f t="shared" si="48"/>
        <v>1</v>
      </c>
      <c r="L213" s="601"/>
      <c r="M213" s="13">
        <f t="shared" si="49"/>
        <v>1</v>
      </c>
      <c r="N213" s="601"/>
      <c r="O213" s="13">
        <f t="shared" si="50"/>
        <v>1</v>
      </c>
      <c r="P213" s="601"/>
      <c r="Q213" s="13">
        <f t="shared" si="51"/>
        <v>1</v>
      </c>
      <c r="R213" s="597">
        <f t="shared" si="56"/>
        <v>0</v>
      </c>
      <c r="S213" s="250">
        <f t="shared" si="57"/>
        <v>0</v>
      </c>
      <c r="T213" s="901">
        <f t="shared" si="58"/>
        <v>0</v>
      </c>
      <c r="U213" s="2988">
        <f t="shared" si="52"/>
        <v>0</v>
      </c>
      <c r="V213" s="2988">
        <f t="shared" si="53"/>
        <v>0</v>
      </c>
      <c r="W213" s="998"/>
      <c r="X213" s="2988">
        <f t="shared" si="54"/>
        <v>0</v>
      </c>
      <c r="Y213" s="2988">
        <f t="shared" si="55"/>
        <v>0</v>
      </c>
      <c r="Z213" s="998"/>
    </row>
    <row r="214" spans="1:26">
      <c r="A214" s="35"/>
      <c r="B214" s="20"/>
      <c r="C214" s="13">
        <f t="shared" si="44"/>
        <v>1</v>
      </c>
      <c r="D214" s="601"/>
      <c r="E214" s="13">
        <f t="shared" si="45"/>
        <v>1</v>
      </c>
      <c r="F214" s="601"/>
      <c r="G214" s="13">
        <f t="shared" si="46"/>
        <v>1</v>
      </c>
      <c r="H214" s="601"/>
      <c r="I214" s="13">
        <f t="shared" si="47"/>
        <v>1</v>
      </c>
      <c r="J214" s="601"/>
      <c r="K214" s="13">
        <f t="shared" si="48"/>
        <v>1</v>
      </c>
      <c r="L214" s="601"/>
      <c r="M214" s="13">
        <f t="shared" si="49"/>
        <v>1</v>
      </c>
      <c r="N214" s="601"/>
      <c r="O214" s="13">
        <f t="shared" si="50"/>
        <v>1</v>
      </c>
      <c r="P214" s="601"/>
      <c r="Q214" s="13">
        <f t="shared" si="51"/>
        <v>1</v>
      </c>
      <c r="R214" s="597">
        <f t="shared" si="56"/>
        <v>0</v>
      </c>
      <c r="S214" s="250">
        <f t="shared" si="57"/>
        <v>0</v>
      </c>
      <c r="T214" s="901">
        <f t="shared" si="58"/>
        <v>0</v>
      </c>
      <c r="U214" s="2988">
        <f t="shared" si="52"/>
        <v>0</v>
      </c>
      <c r="V214" s="2988">
        <f t="shared" si="53"/>
        <v>0</v>
      </c>
      <c r="W214" s="998"/>
      <c r="X214" s="2988">
        <f t="shared" si="54"/>
        <v>0</v>
      </c>
      <c r="Y214" s="2988">
        <f t="shared" si="55"/>
        <v>0</v>
      </c>
      <c r="Z214" s="998"/>
    </row>
    <row r="215" spans="1:26">
      <c r="A215" s="35"/>
      <c r="B215" s="20"/>
      <c r="C215" s="13">
        <f t="shared" si="44"/>
        <v>1</v>
      </c>
      <c r="D215" s="601"/>
      <c r="E215" s="13">
        <f t="shared" si="45"/>
        <v>1</v>
      </c>
      <c r="F215" s="601"/>
      <c r="G215" s="13">
        <f t="shared" si="46"/>
        <v>1</v>
      </c>
      <c r="H215" s="601"/>
      <c r="I215" s="13">
        <f t="shared" si="47"/>
        <v>1</v>
      </c>
      <c r="J215" s="601"/>
      <c r="K215" s="13">
        <f t="shared" si="48"/>
        <v>1</v>
      </c>
      <c r="L215" s="601"/>
      <c r="M215" s="13">
        <f t="shared" si="49"/>
        <v>1</v>
      </c>
      <c r="N215" s="601"/>
      <c r="O215" s="13">
        <f t="shared" si="50"/>
        <v>1</v>
      </c>
      <c r="P215" s="601"/>
      <c r="Q215" s="13">
        <f t="shared" si="51"/>
        <v>1</v>
      </c>
      <c r="R215" s="597">
        <f t="shared" si="56"/>
        <v>0</v>
      </c>
      <c r="S215" s="250">
        <f t="shared" si="57"/>
        <v>0</v>
      </c>
      <c r="T215" s="901">
        <f t="shared" si="58"/>
        <v>0</v>
      </c>
      <c r="U215" s="2988">
        <f t="shared" si="52"/>
        <v>0</v>
      </c>
      <c r="V215" s="2988">
        <f t="shared" si="53"/>
        <v>0</v>
      </c>
      <c r="W215" s="998"/>
      <c r="X215" s="2988">
        <f t="shared" si="54"/>
        <v>0</v>
      </c>
      <c r="Y215" s="2988">
        <f t="shared" si="55"/>
        <v>0</v>
      </c>
      <c r="Z215" s="998"/>
    </row>
    <row r="216" spans="1:26">
      <c r="A216" s="35"/>
      <c r="B216" s="20"/>
      <c r="C216" s="13">
        <f t="shared" si="44"/>
        <v>1</v>
      </c>
      <c r="D216" s="601"/>
      <c r="E216" s="13">
        <f t="shared" si="45"/>
        <v>1</v>
      </c>
      <c r="F216" s="601"/>
      <c r="G216" s="13">
        <f t="shared" si="46"/>
        <v>1</v>
      </c>
      <c r="H216" s="601"/>
      <c r="I216" s="13">
        <f t="shared" si="47"/>
        <v>1</v>
      </c>
      <c r="J216" s="601"/>
      <c r="K216" s="13">
        <f t="shared" si="48"/>
        <v>1</v>
      </c>
      <c r="L216" s="601"/>
      <c r="M216" s="13">
        <f t="shared" si="49"/>
        <v>1</v>
      </c>
      <c r="N216" s="601"/>
      <c r="O216" s="13">
        <f t="shared" si="50"/>
        <v>1</v>
      </c>
      <c r="P216" s="601"/>
      <c r="Q216" s="13">
        <f t="shared" si="51"/>
        <v>1</v>
      </c>
      <c r="R216" s="597">
        <f t="shared" si="56"/>
        <v>0</v>
      </c>
      <c r="S216" s="250">
        <f t="shared" si="57"/>
        <v>0</v>
      </c>
      <c r="T216" s="901">
        <f t="shared" si="58"/>
        <v>0</v>
      </c>
      <c r="U216" s="2988">
        <f t="shared" si="52"/>
        <v>0</v>
      </c>
      <c r="V216" s="2988">
        <f t="shared" si="53"/>
        <v>0</v>
      </c>
      <c r="W216" s="998"/>
      <c r="X216" s="2988">
        <f t="shared" si="54"/>
        <v>0</v>
      </c>
      <c r="Y216" s="2988">
        <f t="shared" si="55"/>
        <v>0</v>
      </c>
      <c r="Z216" s="998"/>
    </row>
    <row r="217" spans="1:26">
      <c r="A217" s="35"/>
      <c r="B217" s="20"/>
      <c r="C217" s="13">
        <f t="shared" si="44"/>
        <v>1</v>
      </c>
      <c r="D217" s="601"/>
      <c r="E217" s="13">
        <f t="shared" si="45"/>
        <v>1</v>
      </c>
      <c r="F217" s="601"/>
      <c r="G217" s="13">
        <f t="shared" si="46"/>
        <v>1</v>
      </c>
      <c r="H217" s="601"/>
      <c r="I217" s="13">
        <f t="shared" si="47"/>
        <v>1</v>
      </c>
      <c r="J217" s="601"/>
      <c r="K217" s="13">
        <f t="shared" si="48"/>
        <v>1</v>
      </c>
      <c r="L217" s="601"/>
      <c r="M217" s="13">
        <f t="shared" si="49"/>
        <v>1</v>
      </c>
      <c r="N217" s="601"/>
      <c r="O217" s="13">
        <f t="shared" si="50"/>
        <v>1</v>
      </c>
      <c r="P217" s="601"/>
      <c r="Q217" s="13">
        <f t="shared" si="51"/>
        <v>1</v>
      </c>
      <c r="R217" s="597">
        <f t="shared" si="56"/>
        <v>0</v>
      </c>
      <c r="S217" s="250">
        <f t="shared" si="57"/>
        <v>0</v>
      </c>
      <c r="T217" s="901">
        <f t="shared" si="58"/>
        <v>0</v>
      </c>
      <c r="U217" s="2988">
        <f t="shared" si="52"/>
        <v>0</v>
      </c>
      <c r="V217" s="2988">
        <f t="shared" si="53"/>
        <v>0</v>
      </c>
      <c r="W217" s="998"/>
      <c r="X217" s="2988">
        <f t="shared" si="54"/>
        <v>0</v>
      </c>
      <c r="Y217" s="2988">
        <f t="shared" si="55"/>
        <v>0</v>
      </c>
      <c r="Z217" s="998"/>
    </row>
    <row r="218" spans="1:26">
      <c r="A218" s="35"/>
      <c r="B218" s="20"/>
      <c r="C218" s="13">
        <f t="shared" si="44"/>
        <v>1</v>
      </c>
      <c r="D218" s="601"/>
      <c r="E218" s="13">
        <f t="shared" si="45"/>
        <v>1</v>
      </c>
      <c r="F218" s="601"/>
      <c r="G218" s="13">
        <f t="shared" si="46"/>
        <v>1</v>
      </c>
      <c r="H218" s="601"/>
      <c r="I218" s="13">
        <f t="shared" si="47"/>
        <v>1</v>
      </c>
      <c r="J218" s="601"/>
      <c r="K218" s="13">
        <f t="shared" si="48"/>
        <v>1</v>
      </c>
      <c r="L218" s="601"/>
      <c r="M218" s="13">
        <f t="shared" si="49"/>
        <v>1</v>
      </c>
      <c r="N218" s="601"/>
      <c r="O218" s="13">
        <f t="shared" si="50"/>
        <v>1</v>
      </c>
      <c r="P218" s="601"/>
      <c r="Q218" s="13">
        <f t="shared" si="51"/>
        <v>1</v>
      </c>
      <c r="R218" s="597">
        <f t="shared" si="56"/>
        <v>0</v>
      </c>
      <c r="S218" s="250">
        <f t="shared" si="57"/>
        <v>0</v>
      </c>
      <c r="T218" s="901">
        <f t="shared" si="58"/>
        <v>0</v>
      </c>
      <c r="U218" s="2988">
        <f t="shared" si="52"/>
        <v>0</v>
      </c>
      <c r="V218" s="2988">
        <f t="shared" si="53"/>
        <v>0</v>
      </c>
      <c r="W218" s="998"/>
      <c r="X218" s="2988">
        <f t="shared" si="54"/>
        <v>0</v>
      </c>
      <c r="Y218" s="2988">
        <f t="shared" si="55"/>
        <v>0</v>
      </c>
      <c r="Z218" s="998"/>
    </row>
    <row r="219" spans="1:26">
      <c r="A219" s="35"/>
      <c r="B219" s="20"/>
      <c r="C219" s="13">
        <f t="shared" si="44"/>
        <v>1</v>
      </c>
      <c r="D219" s="601"/>
      <c r="E219" s="13">
        <f t="shared" si="45"/>
        <v>1</v>
      </c>
      <c r="F219" s="601"/>
      <c r="G219" s="13">
        <f t="shared" si="46"/>
        <v>1</v>
      </c>
      <c r="H219" s="601"/>
      <c r="I219" s="13">
        <f t="shared" si="47"/>
        <v>1</v>
      </c>
      <c r="J219" s="601"/>
      <c r="K219" s="13">
        <f t="shared" si="48"/>
        <v>1</v>
      </c>
      <c r="L219" s="601"/>
      <c r="M219" s="13">
        <f t="shared" si="49"/>
        <v>1</v>
      </c>
      <c r="N219" s="601"/>
      <c r="O219" s="13">
        <f t="shared" si="50"/>
        <v>1</v>
      </c>
      <c r="P219" s="601"/>
      <c r="Q219" s="13">
        <f t="shared" si="51"/>
        <v>1</v>
      </c>
      <c r="R219" s="597">
        <f t="shared" si="56"/>
        <v>0</v>
      </c>
      <c r="S219" s="250">
        <f t="shared" si="57"/>
        <v>0</v>
      </c>
      <c r="T219" s="901">
        <f t="shared" si="58"/>
        <v>0</v>
      </c>
      <c r="U219" s="2988">
        <f t="shared" si="52"/>
        <v>0</v>
      </c>
      <c r="V219" s="2988">
        <f t="shared" si="53"/>
        <v>0</v>
      </c>
      <c r="W219" s="998"/>
      <c r="X219" s="2988">
        <f t="shared" si="54"/>
        <v>0</v>
      </c>
      <c r="Y219" s="2988">
        <f t="shared" si="55"/>
        <v>0</v>
      </c>
      <c r="Z219" s="998"/>
    </row>
    <row r="220" spans="1:26">
      <c r="A220" s="35"/>
      <c r="B220" s="20"/>
      <c r="C220" s="13">
        <f t="shared" ref="C220:C283" si="59">IF(B220="",1,(LOOKUP(B220,$6:$6,$7:$7)-LOOKUP($B$27,$6:$6,$7:$7)+100)/100)</f>
        <v>1</v>
      </c>
      <c r="D220" s="601"/>
      <c r="E220" s="13">
        <f t="shared" ref="E220:E283" si="60">(SUMIF($8:$8,D220,$9:$9)-SUMIF($8:$8,$D$27,$9:$9)+100)/100</f>
        <v>1</v>
      </c>
      <c r="F220" s="601"/>
      <c r="G220" s="13">
        <f t="shared" ref="G220:G283" si="61">(SUMIF($10:$10,F220,$11:$11)-SUMIF($10:$10,$F$27,$11:$11)+100)/100</f>
        <v>1</v>
      </c>
      <c r="H220" s="601"/>
      <c r="I220" s="13">
        <f t="shared" ref="I220:I283" si="62">(SUMIF($12:$12,H220,$13:$13)-SUMIF($12:$12,$H$27,$13:$13)+100)/100</f>
        <v>1</v>
      </c>
      <c r="J220" s="601"/>
      <c r="K220" s="13">
        <f t="shared" ref="K220:K283" si="63">(SUMIF($14:$14,J220,$15:$15)-SUMIF($14:$14,$J$27,$15:$15)+100)/100</f>
        <v>1</v>
      </c>
      <c r="L220" s="601"/>
      <c r="M220" s="13">
        <f t="shared" ref="M220:M283" si="64">(SUMIF($16:$16,L220,$17:$17)-SUMIF($16:$16,$L$27,$17:$17)+100)/100</f>
        <v>1</v>
      </c>
      <c r="N220" s="601"/>
      <c r="O220" s="13">
        <f t="shared" ref="O220:O283" si="65">(SUMIF($18:$18,N220,$19:$19)-SUMIF($18:$18,$N$27,$19:$19)+100)/100</f>
        <v>1</v>
      </c>
      <c r="P220" s="601"/>
      <c r="Q220" s="13">
        <f t="shared" ref="Q220:Q283" si="66">(SUMIF($20:$20,P220,$21:$21)-SUMIF($20:$20,$P$27,$21:$21)+100)/100</f>
        <v>1</v>
      </c>
      <c r="R220" s="597">
        <f t="shared" si="56"/>
        <v>0</v>
      </c>
      <c r="S220" s="250">
        <f t="shared" si="57"/>
        <v>0</v>
      </c>
      <c r="T220" s="901">
        <f t="shared" si="58"/>
        <v>0</v>
      </c>
      <c r="U220" s="2988">
        <f t="shared" ref="U220:U283" si="67">ROUND(W220*B220,0)</f>
        <v>0</v>
      </c>
      <c r="V220" s="2988">
        <f t="shared" ref="V220:V283" si="68">ROUND(W220*B220/10000,0)</f>
        <v>0</v>
      </c>
      <c r="W220" s="998"/>
      <c r="X220" s="2988">
        <f t="shared" ref="X220:X283" si="69">ROUND(Z220*B220,0)</f>
        <v>0</v>
      </c>
      <c r="Y220" s="2988">
        <f t="shared" ref="Y220:Y283" si="70">ROUND(Z220*B220/10000,0)</f>
        <v>0</v>
      </c>
      <c r="Z220" s="998"/>
    </row>
    <row r="221" spans="1:26">
      <c r="A221" s="35"/>
      <c r="B221" s="20"/>
      <c r="C221" s="13">
        <f t="shared" si="59"/>
        <v>1</v>
      </c>
      <c r="D221" s="601"/>
      <c r="E221" s="13">
        <f t="shared" si="60"/>
        <v>1</v>
      </c>
      <c r="F221" s="601"/>
      <c r="G221" s="13">
        <f t="shared" si="61"/>
        <v>1</v>
      </c>
      <c r="H221" s="601"/>
      <c r="I221" s="13">
        <f t="shared" si="62"/>
        <v>1</v>
      </c>
      <c r="J221" s="601"/>
      <c r="K221" s="13">
        <f t="shared" si="63"/>
        <v>1</v>
      </c>
      <c r="L221" s="601"/>
      <c r="M221" s="13">
        <f t="shared" si="64"/>
        <v>1</v>
      </c>
      <c r="N221" s="601"/>
      <c r="O221" s="13">
        <f t="shared" si="65"/>
        <v>1</v>
      </c>
      <c r="P221" s="601"/>
      <c r="Q221" s="13">
        <f t="shared" si="66"/>
        <v>1</v>
      </c>
      <c r="R221" s="597">
        <f t="shared" ref="R221:R284" si="71">IF(B221="",0,ROUND($R$27*C221*E221*G221*I221*K221*M221*O221*Q221,0))</f>
        <v>0</v>
      </c>
      <c r="S221" s="250">
        <f t="shared" ref="S221:S284" si="72">ROUND(R221*B221,0)</f>
        <v>0</v>
      </c>
      <c r="T221" s="901">
        <f t="shared" ref="T221:T284" si="73">ROUND(R221*B221/10000,0)</f>
        <v>0</v>
      </c>
      <c r="U221" s="2988">
        <f t="shared" si="67"/>
        <v>0</v>
      </c>
      <c r="V221" s="2988">
        <f t="shared" si="68"/>
        <v>0</v>
      </c>
      <c r="W221" s="998"/>
      <c r="X221" s="2988">
        <f t="shared" si="69"/>
        <v>0</v>
      </c>
      <c r="Y221" s="2988">
        <f t="shared" si="70"/>
        <v>0</v>
      </c>
      <c r="Z221" s="998"/>
    </row>
    <row r="222" spans="1:26">
      <c r="A222" s="35"/>
      <c r="B222" s="20"/>
      <c r="C222" s="13">
        <f t="shared" si="59"/>
        <v>1</v>
      </c>
      <c r="D222" s="601"/>
      <c r="E222" s="13">
        <f t="shared" si="60"/>
        <v>1</v>
      </c>
      <c r="F222" s="601"/>
      <c r="G222" s="13">
        <f t="shared" si="61"/>
        <v>1</v>
      </c>
      <c r="H222" s="601"/>
      <c r="I222" s="13">
        <f t="shared" si="62"/>
        <v>1</v>
      </c>
      <c r="J222" s="601"/>
      <c r="K222" s="13">
        <f t="shared" si="63"/>
        <v>1</v>
      </c>
      <c r="L222" s="601"/>
      <c r="M222" s="13">
        <f t="shared" si="64"/>
        <v>1</v>
      </c>
      <c r="N222" s="601"/>
      <c r="O222" s="13">
        <f t="shared" si="65"/>
        <v>1</v>
      </c>
      <c r="P222" s="601"/>
      <c r="Q222" s="13">
        <f t="shared" si="66"/>
        <v>1</v>
      </c>
      <c r="R222" s="597">
        <f t="shared" si="71"/>
        <v>0</v>
      </c>
      <c r="S222" s="250">
        <f t="shared" si="72"/>
        <v>0</v>
      </c>
      <c r="T222" s="901">
        <f t="shared" si="73"/>
        <v>0</v>
      </c>
      <c r="U222" s="2988">
        <f t="shared" si="67"/>
        <v>0</v>
      </c>
      <c r="V222" s="2988">
        <f t="shared" si="68"/>
        <v>0</v>
      </c>
      <c r="W222" s="998"/>
      <c r="X222" s="2988">
        <f t="shared" si="69"/>
        <v>0</v>
      </c>
      <c r="Y222" s="2988">
        <f t="shared" si="70"/>
        <v>0</v>
      </c>
      <c r="Z222" s="998"/>
    </row>
    <row r="223" spans="1:26">
      <c r="A223" s="35"/>
      <c r="B223" s="20"/>
      <c r="C223" s="13">
        <f t="shared" si="59"/>
        <v>1</v>
      </c>
      <c r="D223" s="601"/>
      <c r="E223" s="13">
        <f t="shared" si="60"/>
        <v>1</v>
      </c>
      <c r="F223" s="601"/>
      <c r="G223" s="13">
        <f t="shared" si="61"/>
        <v>1</v>
      </c>
      <c r="H223" s="601"/>
      <c r="I223" s="13">
        <f t="shared" si="62"/>
        <v>1</v>
      </c>
      <c r="J223" s="601"/>
      <c r="K223" s="13">
        <f t="shared" si="63"/>
        <v>1</v>
      </c>
      <c r="L223" s="601"/>
      <c r="M223" s="13">
        <f t="shared" si="64"/>
        <v>1</v>
      </c>
      <c r="N223" s="601"/>
      <c r="O223" s="13">
        <f t="shared" si="65"/>
        <v>1</v>
      </c>
      <c r="P223" s="601"/>
      <c r="Q223" s="13">
        <f t="shared" si="66"/>
        <v>1</v>
      </c>
      <c r="R223" s="597">
        <f t="shared" si="71"/>
        <v>0</v>
      </c>
      <c r="S223" s="250">
        <f t="shared" si="72"/>
        <v>0</v>
      </c>
      <c r="T223" s="901">
        <f t="shared" si="73"/>
        <v>0</v>
      </c>
      <c r="U223" s="2988">
        <f t="shared" si="67"/>
        <v>0</v>
      </c>
      <c r="V223" s="2988">
        <f t="shared" si="68"/>
        <v>0</v>
      </c>
      <c r="W223" s="998"/>
      <c r="X223" s="2988">
        <f t="shared" si="69"/>
        <v>0</v>
      </c>
      <c r="Y223" s="2988">
        <f t="shared" si="70"/>
        <v>0</v>
      </c>
      <c r="Z223" s="998"/>
    </row>
    <row r="224" spans="1:26">
      <c r="A224" s="35"/>
      <c r="B224" s="20"/>
      <c r="C224" s="13">
        <f t="shared" si="59"/>
        <v>1</v>
      </c>
      <c r="D224" s="601"/>
      <c r="E224" s="13">
        <f t="shared" si="60"/>
        <v>1</v>
      </c>
      <c r="F224" s="601"/>
      <c r="G224" s="13">
        <f t="shared" si="61"/>
        <v>1</v>
      </c>
      <c r="H224" s="601"/>
      <c r="I224" s="13">
        <f t="shared" si="62"/>
        <v>1</v>
      </c>
      <c r="J224" s="601"/>
      <c r="K224" s="13">
        <f t="shared" si="63"/>
        <v>1</v>
      </c>
      <c r="L224" s="601"/>
      <c r="M224" s="13">
        <f t="shared" si="64"/>
        <v>1</v>
      </c>
      <c r="N224" s="601"/>
      <c r="O224" s="13">
        <f t="shared" si="65"/>
        <v>1</v>
      </c>
      <c r="P224" s="601"/>
      <c r="Q224" s="13">
        <f t="shared" si="66"/>
        <v>1</v>
      </c>
      <c r="R224" s="597">
        <f t="shared" si="71"/>
        <v>0</v>
      </c>
      <c r="S224" s="250">
        <f t="shared" si="72"/>
        <v>0</v>
      </c>
      <c r="T224" s="901">
        <f t="shared" si="73"/>
        <v>0</v>
      </c>
      <c r="U224" s="2988">
        <f t="shared" si="67"/>
        <v>0</v>
      </c>
      <c r="V224" s="2988">
        <f t="shared" si="68"/>
        <v>0</v>
      </c>
      <c r="W224" s="998"/>
      <c r="X224" s="2988">
        <f t="shared" si="69"/>
        <v>0</v>
      </c>
      <c r="Y224" s="2988">
        <f t="shared" si="70"/>
        <v>0</v>
      </c>
      <c r="Z224" s="998"/>
    </row>
    <row r="225" spans="1:26">
      <c r="A225" s="35"/>
      <c r="B225" s="20"/>
      <c r="C225" s="13">
        <f t="shared" si="59"/>
        <v>1</v>
      </c>
      <c r="D225" s="601"/>
      <c r="E225" s="13">
        <f t="shared" si="60"/>
        <v>1</v>
      </c>
      <c r="F225" s="601"/>
      <c r="G225" s="13">
        <f t="shared" si="61"/>
        <v>1</v>
      </c>
      <c r="H225" s="601"/>
      <c r="I225" s="13">
        <f t="shared" si="62"/>
        <v>1</v>
      </c>
      <c r="J225" s="601"/>
      <c r="K225" s="13">
        <f t="shared" si="63"/>
        <v>1</v>
      </c>
      <c r="L225" s="601"/>
      <c r="M225" s="13">
        <f t="shared" si="64"/>
        <v>1</v>
      </c>
      <c r="N225" s="601"/>
      <c r="O225" s="13">
        <f t="shared" si="65"/>
        <v>1</v>
      </c>
      <c r="P225" s="601"/>
      <c r="Q225" s="13">
        <f t="shared" si="66"/>
        <v>1</v>
      </c>
      <c r="R225" s="597">
        <f t="shared" si="71"/>
        <v>0</v>
      </c>
      <c r="S225" s="250">
        <f t="shared" si="72"/>
        <v>0</v>
      </c>
      <c r="T225" s="901">
        <f t="shared" si="73"/>
        <v>0</v>
      </c>
      <c r="U225" s="2988">
        <f t="shared" si="67"/>
        <v>0</v>
      </c>
      <c r="V225" s="2988">
        <f t="shared" si="68"/>
        <v>0</v>
      </c>
      <c r="W225" s="998"/>
      <c r="X225" s="2988">
        <f t="shared" si="69"/>
        <v>0</v>
      </c>
      <c r="Y225" s="2988">
        <f t="shared" si="70"/>
        <v>0</v>
      </c>
      <c r="Z225" s="998"/>
    </row>
    <row r="226" spans="1:26">
      <c r="A226" s="35"/>
      <c r="B226" s="20"/>
      <c r="C226" s="13">
        <f t="shared" si="59"/>
        <v>1</v>
      </c>
      <c r="D226" s="601"/>
      <c r="E226" s="13">
        <f t="shared" si="60"/>
        <v>1</v>
      </c>
      <c r="F226" s="601"/>
      <c r="G226" s="13">
        <f t="shared" si="61"/>
        <v>1</v>
      </c>
      <c r="H226" s="601"/>
      <c r="I226" s="13">
        <f t="shared" si="62"/>
        <v>1</v>
      </c>
      <c r="J226" s="601"/>
      <c r="K226" s="13">
        <f t="shared" si="63"/>
        <v>1</v>
      </c>
      <c r="L226" s="601"/>
      <c r="M226" s="13">
        <f t="shared" si="64"/>
        <v>1</v>
      </c>
      <c r="N226" s="601"/>
      <c r="O226" s="13">
        <f t="shared" si="65"/>
        <v>1</v>
      </c>
      <c r="P226" s="601"/>
      <c r="Q226" s="13">
        <f t="shared" si="66"/>
        <v>1</v>
      </c>
      <c r="R226" s="597">
        <f t="shared" si="71"/>
        <v>0</v>
      </c>
      <c r="S226" s="250">
        <f t="shared" si="72"/>
        <v>0</v>
      </c>
      <c r="T226" s="901">
        <f t="shared" si="73"/>
        <v>0</v>
      </c>
      <c r="U226" s="2988">
        <f t="shared" si="67"/>
        <v>0</v>
      </c>
      <c r="V226" s="2988">
        <f t="shared" si="68"/>
        <v>0</v>
      </c>
      <c r="W226" s="998"/>
      <c r="X226" s="2988">
        <f t="shared" si="69"/>
        <v>0</v>
      </c>
      <c r="Y226" s="2988">
        <f t="shared" si="70"/>
        <v>0</v>
      </c>
      <c r="Z226" s="998"/>
    </row>
    <row r="227" spans="1:26">
      <c r="A227" s="35"/>
      <c r="B227" s="20"/>
      <c r="C227" s="13">
        <f t="shared" si="59"/>
        <v>1</v>
      </c>
      <c r="D227" s="601"/>
      <c r="E227" s="13">
        <f t="shared" si="60"/>
        <v>1</v>
      </c>
      <c r="F227" s="601"/>
      <c r="G227" s="13">
        <f t="shared" si="61"/>
        <v>1</v>
      </c>
      <c r="H227" s="601"/>
      <c r="I227" s="13">
        <f t="shared" si="62"/>
        <v>1</v>
      </c>
      <c r="J227" s="601"/>
      <c r="K227" s="13">
        <f t="shared" si="63"/>
        <v>1</v>
      </c>
      <c r="L227" s="601"/>
      <c r="M227" s="13">
        <f t="shared" si="64"/>
        <v>1</v>
      </c>
      <c r="N227" s="601"/>
      <c r="O227" s="13">
        <f t="shared" si="65"/>
        <v>1</v>
      </c>
      <c r="P227" s="601"/>
      <c r="Q227" s="13">
        <f t="shared" si="66"/>
        <v>1</v>
      </c>
      <c r="R227" s="597">
        <f t="shared" si="71"/>
        <v>0</v>
      </c>
      <c r="S227" s="250">
        <f t="shared" si="72"/>
        <v>0</v>
      </c>
      <c r="T227" s="901">
        <f t="shared" si="73"/>
        <v>0</v>
      </c>
      <c r="U227" s="2988">
        <f t="shared" si="67"/>
        <v>0</v>
      </c>
      <c r="V227" s="2988">
        <f t="shared" si="68"/>
        <v>0</v>
      </c>
      <c r="W227" s="998"/>
      <c r="X227" s="2988">
        <f t="shared" si="69"/>
        <v>0</v>
      </c>
      <c r="Y227" s="2988">
        <f t="shared" si="70"/>
        <v>0</v>
      </c>
      <c r="Z227" s="998"/>
    </row>
    <row r="228" spans="1:26">
      <c r="A228" s="35"/>
      <c r="B228" s="20"/>
      <c r="C228" s="13">
        <f t="shared" si="59"/>
        <v>1</v>
      </c>
      <c r="D228" s="601"/>
      <c r="E228" s="13">
        <f t="shared" si="60"/>
        <v>1</v>
      </c>
      <c r="F228" s="601"/>
      <c r="G228" s="13">
        <f t="shared" si="61"/>
        <v>1</v>
      </c>
      <c r="H228" s="601"/>
      <c r="I228" s="13">
        <f t="shared" si="62"/>
        <v>1</v>
      </c>
      <c r="J228" s="601"/>
      <c r="K228" s="13">
        <f t="shared" si="63"/>
        <v>1</v>
      </c>
      <c r="L228" s="601"/>
      <c r="M228" s="13">
        <f t="shared" si="64"/>
        <v>1</v>
      </c>
      <c r="N228" s="601"/>
      <c r="O228" s="13">
        <f t="shared" si="65"/>
        <v>1</v>
      </c>
      <c r="P228" s="601"/>
      <c r="Q228" s="13">
        <f t="shared" si="66"/>
        <v>1</v>
      </c>
      <c r="R228" s="597">
        <f t="shared" si="71"/>
        <v>0</v>
      </c>
      <c r="S228" s="250">
        <f t="shared" si="72"/>
        <v>0</v>
      </c>
      <c r="T228" s="901">
        <f t="shared" si="73"/>
        <v>0</v>
      </c>
      <c r="U228" s="2988">
        <f t="shared" si="67"/>
        <v>0</v>
      </c>
      <c r="V228" s="2988">
        <f t="shared" si="68"/>
        <v>0</v>
      </c>
      <c r="W228" s="998"/>
      <c r="X228" s="2988">
        <f t="shared" si="69"/>
        <v>0</v>
      </c>
      <c r="Y228" s="2988">
        <f t="shared" si="70"/>
        <v>0</v>
      </c>
      <c r="Z228" s="998"/>
    </row>
    <row r="229" spans="1:26">
      <c r="A229" s="35"/>
      <c r="B229" s="20"/>
      <c r="C229" s="13">
        <f t="shared" si="59"/>
        <v>1</v>
      </c>
      <c r="D229" s="601"/>
      <c r="E229" s="13">
        <f t="shared" si="60"/>
        <v>1</v>
      </c>
      <c r="F229" s="601"/>
      <c r="G229" s="13">
        <f t="shared" si="61"/>
        <v>1</v>
      </c>
      <c r="H229" s="601"/>
      <c r="I229" s="13">
        <f t="shared" si="62"/>
        <v>1</v>
      </c>
      <c r="J229" s="601"/>
      <c r="K229" s="13">
        <f t="shared" si="63"/>
        <v>1</v>
      </c>
      <c r="L229" s="601"/>
      <c r="M229" s="13">
        <f t="shared" si="64"/>
        <v>1</v>
      </c>
      <c r="N229" s="601"/>
      <c r="O229" s="13">
        <f t="shared" si="65"/>
        <v>1</v>
      </c>
      <c r="P229" s="601"/>
      <c r="Q229" s="13">
        <f t="shared" si="66"/>
        <v>1</v>
      </c>
      <c r="R229" s="597">
        <f t="shared" si="71"/>
        <v>0</v>
      </c>
      <c r="S229" s="250">
        <f t="shared" si="72"/>
        <v>0</v>
      </c>
      <c r="T229" s="901">
        <f t="shared" si="73"/>
        <v>0</v>
      </c>
      <c r="U229" s="2988">
        <f t="shared" si="67"/>
        <v>0</v>
      </c>
      <c r="V229" s="2988">
        <f t="shared" si="68"/>
        <v>0</v>
      </c>
      <c r="W229" s="998"/>
      <c r="X229" s="2988">
        <f t="shared" si="69"/>
        <v>0</v>
      </c>
      <c r="Y229" s="2988">
        <f t="shared" si="70"/>
        <v>0</v>
      </c>
      <c r="Z229" s="998"/>
    </row>
    <row r="230" spans="1:26">
      <c r="A230" s="35"/>
      <c r="B230" s="20"/>
      <c r="C230" s="13">
        <f t="shared" si="59"/>
        <v>1</v>
      </c>
      <c r="D230" s="601"/>
      <c r="E230" s="13">
        <f t="shared" si="60"/>
        <v>1</v>
      </c>
      <c r="F230" s="601"/>
      <c r="G230" s="13">
        <f t="shared" si="61"/>
        <v>1</v>
      </c>
      <c r="H230" s="601"/>
      <c r="I230" s="13">
        <f t="shared" si="62"/>
        <v>1</v>
      </c>
      <c r="J230" s="601"/>
      <c r="K230" s="13">
        <f t="shared" si="63"/>
        <v>1</v>
      </c>
      <c r="L230" s="601"/>
      <c r="M230" s="13">
        <f t="shared" si="64"/>
        <v>1</v>
      </c>
      <c r="N230" s="601"/>
      <c r="O230" s="13">
        <f t="shared" si="65"/>
        <v>1</v>
      </c>
      <c r="P230" s="601"/>
      <c r="Q230" s="13">
        <f t="shared" si="66"/>
        <v>1</v>
      </c>
      <c r="R230" s="597">
        <f t="shared" si="71"/>
        <v>0</v>
      </c>
      <c r="S230" s="250">
        <f t="shared" si="72"/>
        <v>0</v>
      </c>
      <c r="T230" s="901">
        <f t="shared" si="73"/>
        <v>0</v>
      </c>
      <c r="U230" s="2988">
        <f t="shared" si="67"/>
        <v>0</v>
      </c>
      <c r="V230" s="2988">
        <f t="shared" si="68"/>
        <v>0</v>
      </c>
      <c r="W230" s="998"/>
      <c r="X230" s="2988">
        <f t="shared" si="69"/>
        <v>0</v>
      </c>
      <c r="Y230" s="2988">
        <f t="shared" si="70"/>
        <v>0</v>
      </c>
      <c r="Z230" s="998"/>
    </row>
    <row r="231" spans="1:26">
      <c r="A231" s="35"/>
      <c r="B231" s="20"/>
      <c r="C231" s="13">
        <f t="shared" si="59"/>
        <v>1</v>
      </c>
      <c r="D231" s="601"/>
      <c r="E231" s="13">
        <f t="shared" si="60"/>
        <v>1</v>
      </c>
      <c r="F231" s="601"/>
      <c r="G231" s="13">
        <f t="shared" si="61"/>
        <v>1</v>
      </c>
      <c r="H231" s="601"/>
      <c r="I231" s="13">
        <f t="shared" si="62"/>
        <v>1</v>
      </c>
      <c r="J231" s="601"/>
      <c r="K231" s="13">
        <f t="shared" si="63"/>
        <v>1</v>
      </c>
      <c r="L231" s="601"/>
      <c r="M231" s="13">
        <f t="shared" si="64"/>
        <v>1</v>
      </c>
      <c r="N231" s="601"/>
      <c r="O231" s="13">
        <f t="shared" si="65"/>
        <v>1</v>
      </c>
      <c r="P231" s="601"/>
      <c r="Q231" s="13">
        <f t="shared" si="66"/>
        <v>1</v>
      </c>
      <c r="R231" s="597">
        <f t="shared" si="71"/>
        <v>0</v>
      </c>
      <c r="S231" s="250">
        <f t="shared" si="72"/>
        <v>0</v>
      </c>
      <c r="T231" s="901">
        <f t="shared" si="73"/>
        <v>0</v>
      </c>
      <c r="U231" s="2988">
        <f t="shared" si="67"/>
        <v>0</v>
      </c>
      <c r="V231" s="2988">
        <f t="shared" si="68"/>
        <v>0</v>
      </c>
      <c r="W231" s="998"/>
      <c r="X231" s="2988">
        <f t="shared" si="69"/>
        <v>0</v>
      </c>
      <c r="Y231" s="2988">
        <f t="shared" si="70"/>
        <v>0</v>
      </c>
      <c r="Z231" s="998"/>
    </row>
    <row r="232" spans="1:26">
      <c r="A232" s="35"/>
      <c r="B232" s="20"/>
      <c r="C232" s="13">
        <f t="shared" si="59"/>
        <v>1</v>
      </c>
      <c r="D232" s="601"/>
      <c r="E232" s="13">
        <f t="shared" si="60"/>
        <v>1</v>
      </c>
      <c r="F232" s="601"/>
      <c r="G232" s="13">
        <f t="shared" si="61"/>
        <v>1</v>
      </c>
      <c r="H232" s="601"/>
      <c r="I232" s="13">
        <f t="shared" si="62"/>
        <v>1</v>
      </c>
      <c r="J232" s="601"/>
      <c r="K232" s="13">
        <f t="shared" si="63"/>
        <v>1</v>
      </c>
      <c r="L232" s="601"/>
      <c r="M232" s="13">
        <f t="shared" si="64"/>
        <v>1</v>
      </c>
      <c r="N232" s="601"/>
      <c r="O232" s="13">
        <f t="shared" si="65"/>
        <v>1</v>
      </c>
      <c r="P232" s="601"/>
      <c r="Q232" s="13">
        <f t="shared" si="66"/>
        <v>1</v>
      </c>
      <c r="R232" s="597">
        <f t="shared" si="71"/>
        <v>0</v>
      </c>
      <c r="S232" s="250">
        <f t="shared" si="72"/>
        <v>0</v>
      </c>
      <c r="T232" s="901">
        <f t="shared" si="73"/>
        <v>0</v>
      </c>
      <c r="U232" s="2988">
        <f t="shared" si="67"/>
        <v>0</v>
      </c>
      <c r="V232" s="2988">
        <f t="shared" si="68"/>
        <v>0</v>
      </c>
      <c r="W232" s="998"/>
      <c r="X232" s="2988">
        <f t="shared" si="69"/>
        <v>0</v>
      </c>
      <c r="Y232" s="2988">
        <f t="shared" si="70"/>
        <v>0</v>
      </c>
      <c r="Z232" s="998"/>
    </row>
    <row r="233" spans="1:26">
      <c r="A233" s="35"/>
      <c r="B233" s="20"/>
      <c r="C233" s="13">
        <f t="shared" si="59"/>
        <v>1</v>
      </c>
      <c r="D233" s="601"/>
      <c r="E233" s="13">
        <f t="shared" si="60"/>
        <v>1</v>
      </c>
      <c r="F233" s="601"/>
      <c r="G233" s="13">
        <f t="shared" si="61"/>
        <v>1</v>
      </c>
      <c r="H233" s="601"/>
      <c r="I233" s="13">
        <f t="shared" si="62"/>
        <v>1</v>
      </c>
      <c r="J233" s="601"/>
      <c r="K233" s="13">
        <f t="shared" si="63"/>
        <v>1</v>
      </c>
      <c r="L233" s="601"/>
      <c r="M233" s="13">
        <f t="shared" si="64"/>
        <v>1</v>
      </c>
      <c r="N233" s="601"/>
      <c r="O233" s="13">
        <f t="shared" si="65"/>
        <v>1</v>
      </c>
      <c r="P233" s="601"/>
      <c r="Q233" s="13">
        <f t="shared" si="66"/>
        <v>1</v>
      </c>
      <c r="R233" s="597">
        <f t="shared" si="71"/>
        <v>0</v>
      </c>
      <c r="S233" s="250">
        <f t="shared" si="72"/>
        <v>0</v>
      </c>
      <c r="T233" s="901">
        <f t="shared" si="73"/>
        <v>0</v>
      </c>
      <c r="U233" s="2988">
        <f t="shared" si="67"/>
        <v>0</v>
      </c>
      <c r="V233" s="2988">
        <f t="shared" si="68"/>
        <v>0</v>
      </c>
      <c r="W233" s="998"/>
      <c r="X233" s="2988">
        <f t="shared" si="69"/>
        <v>0</v>
      </c>
      <c r="Y233" s="2988">
        <f t="shared" si="70"/>
        <v>0</v>
      </c>
      <c r="Z233" s="998"/>
    </row>
    <row r="234" spans="1:26">
      <c r="A234" s="35"/>
      <c r="B234" s="20"/>
      <c r="C234" s="13">
        <f t="shared" si="59"/>
        <v>1</v>
      </c>
      <c r="D234" s="601"/>
      <c r="E234" s="13">
        <f t="shared" si="60"/>
        <v>1</v>
      </c>
      <c r="F234" s="601"/>
      <c r="G234" s="13">
        <f t="shared" si="61"/>
        <v>1</v>
      </c>
      <c r="H234" s="601"/>
      <c r="I234" s="13">
        <f t="shared" si="62"/>
        <v>1</v>
      </c>
      <c r="J234" s="601"/>
      <c r="K234" s="13">
        <f t="shared" si="63"/>
        <v>1</v>
      </c>
      <c r="L234" s="601"/>
      <c r="M234" s="13">
        <f t="shared" si="64"/>
        <v>1</v>
      </c>
      <c r="N234" s="601"/>
      <c r="O234" s="13">
        <f t="shared" si="65"/>
        <v>1</v>
      </c>
      <c r="P234" s="601"/>
      <c r="Q234" s="13">
        <f t="shared" si="66"/>
        <v>1</v>
      </c>
      <c r="R234" s="597">
        <f t="shared" si="71"/>
        <v>0</v>
      </c>
      <c r="S234" s="250">
        <f t="shared" si="72"/>
        <v>0</v>
      </c>
      <c r="T234" s="901">
        <f t="shared" si="73"/>
        <v>0</v>
      </c>
      <c r="U234" s="2988">
        <f t="shared" si="67"/>
        <v>0</v>
      </c>
      <c r="V234" s="2988">
        <f t="shared" si="68"/>
        <v>0</v>
      </c>
      <c r="W234" s="998"/>
      <c r="X234" s="2988">
        <f t="shared" si="69"/>
        <v>0</v>
      </c>
      <c r="Y234" s="2988">
        <f t="shared" si="70"/>
        <v>0</v>
      </c>
      <c r="Z234" s="998"/>
    </row>
    <row r="235" spans="1:26">
      <c r="A235" s="35"/>
      <c r="B235" s="20"/>
      <c r="C235" s="13">
        <f t="shared" si="59"/>
        <v>1</v>
      </c>
      <c r="D235" s="601"/>
      <c r="E235" s="13">
        <f t="shared" si="60"/>
        <v>1</v>
      </c>
      <c r="F235" s="601"/>
      <c r="G235" s="13">
        <f t="shared" si="61"/>
        <v>1</v>
      </c>
      <c r="H235" s="601"/>
      <c r="I235" s="13">
        <f t="shared" si="62"/>
        <v>1</v>
      </c>
      <c r="J235" s="601"/>
      <c r="K235" s="13">
        <f t="shared" si="63"/>
        <v>1</v>
      </c>
      <c r="L235" s="601"/>
      <c r="M235" s="13">
        <f t="shared" si="64"/>
        <v>1</v>
      </c>
      <c r="N235" s="601"/>
      <c r="O235" s="13">
        <f t="shared" si="65"/>
        <v>1</v>
      </c>
      <c r="P235" s="601"/>
      <c r="Q235" s="13">
        <f t="shared" si="66"/>
        <v>1</v>
      </c>
      <c r="R235" s="597">
        <f t="shared" si="71"/>
        <v>0</v>
      </c>
      <c r="S235" s="250">
        <f t="shared" si="72"/>
        <v>0</v>
      </c>
      <c r="T235" s="901">
        <f t="shared" si="73"/>
        <v>0</v>
      </c>
      <c r="U235" s="2988">
        <f t="shared" si="67"/>
        <v>0</v>
      </c>
      <c r="V235" s="2988">
        <f t="shared" si="68"/>
        <v>0</v>
      </c>
      <c r="W235" s="998"/>
      <c r="X235" s="2988">
        <f t="shared" si="69"/>
        <v>0</v>
      </c>
      <c r="Y235" s="2988">
        <f t="shared" si="70"/>
        <v>0</v>
      </c>
      <c r="Z235" s="998"/>
    </row>
    <row r="236" spans="1:26">
      <c r="A236" s="35"/>
      <c r="B236" s="20"/>
      <c r="C236" s="13">
        <f t="shared" si="59"/>
        <v>1</v>
      </c>
      <c r="D236" s="601"/>
      <c r="E236" s="13">
        <f t="shared" si="60"/>
        <v>1</v>
      </c>
      <c r="F236" s="601"/>
      <c r="G236" s="13">
        <f t="shared" si="61"/>
        <v>1</v>
      </c>
      <c r="H236" s="601"/>
      <c r="I236" s="13">
        <f t="shared" si="62"/>
        <v>1</v>
      </c>
      <c r="J236" s="601"/>
      <c r="K236" s="13">
        <f t="shared" si="63"/>
        <v>1</v>
      </c>
      <c r="L236" s="601"/>
      <c r="M236" s="13">
        <f t="shared" si="64"/>
        <v>1</v>
      </c>
      <c r="N236" s="601"/>
      <c r="O236" s="13">
        <f t="shared" si="65"/>
        <v>1</v>
      </c>
      <c r="P236" s="601"/>
      <c r="Q236" s="13">
        <f t="shared" si="66"/>
        <v>1</v>
      </c>
      <c r="R236" s="597">
        <f t="shared" si="71"/>
        <v>0</v>
      </c>
      <c r="S236" s="250">
        <f t="shared" si="72"/>
        <v>0</v>
      </c>
      <c r="T236" s="901">
        <f t="shared" si="73"/>
        <v>0</v>
      </c>
      <c r="U236" s="2988">
        <f t="shared" si="67"/>
        <v>0</v>
      </c>
      <c r="V236" s="2988">
        <f t="shared" si="68"/>
        <v>0</v>
      </c>
      <c r="W236" s="998"/>
      <c r="X236" s="2988">
        <f t="shared" si="69"/>
        <v>0</v>
      </c>
      <c r="Y236" s="2988">
        <f t="shared" si="70"/>
        <v>0</v>
      </c>
      <c r="Z236" s="998"/>
    </row>
    <row r="237" spans="1:26">
      <c r="A237" s="35"/>
      <c r="B237" s="20"/>
      <c r="C237" s="13">
        <f t="shared" si="59"/>
        <v>1</v>
      </c>
      <c r="D237" s="601"/>
      <c r="E237" s="13">
        <f t="shared" si="60"/>
        <v>1</v>
      </c>
      <c r="F237" s="601"/>
      <c r="G237" s="13">
        <f t="shared" si="61"/>
        <v>1</v>
      </c>
      <c r="H237" s="601"/>
      <c r="I237" s="13">
        <f t="shared" si="62"/>
        <v>1</v>
      </c>
      <c r="J237" s="601"/>
      <c r="K237" s="13">
        <f t="shared" si="63"/>
        <v>1</v>
      </c>
      <c r="L237" s="601"/>
      <c r="M237" s="13">
        <f t="shared" si="64"/>
        <v>1</v>
      </c>
      <c r="N237" s="601"/>
      <c r="O237" s="13">
        <f t="shared" si="65"/>
        <v>1</v>
      </c>
      <c r="P237" s="601"/>
      <c r="Q237" s="13">
        <f t="shared" si="66"/>
        <v>1</v>
      </c>
      <c r="R237" s="597">
        <f t="shared" si="71"/>
        <v>0</v>
      </c>
      <c r="S237" s="250">
        <f t="shared" si="72"/>
        <v>0</v>
      </c>
      <c r="T237" s="901">
        <f t="shared" si="73"/>
        <v>0</v>
      </c>
      <c r="U237" s="2988">
        <f t="shared" si="67"/>
        <v>0</v>
      </c>
      <c r="V237" s="2988">
        <f t="shared" si="68"/>
        <v>0</v>
      </c>
      <c r="W237" s="998"/>
      <c r="X237" s="2988">
        <f t="shared" si="69"/>
        <v>0</v>
      </c>
      <c r="Y237" s="2988">
        <f t="shared" si="70"/>
        <v>0</v>
      </c>
      <c r="Z237" s="998"/>
    </row>
    <row r="238" spans="1:26">
      <c r="A238" s="35"/>
      <c r="B238" s="20"/>
      <c r="C238" s="13">
        <f t="shared" si="59"/>
        <v>1</v>
      </c>
      <c r="D238" s="601"/>
      <c r="E238" s="13">
        <f t="shared" si="60"/>
        <v>1</v>
      </c>
      <c r="F238" s="601"/>
      <c r="G238" s="13">
        <f t="shared" si="61"/>
        <v>1</v>
      </c>
      <c r="H238" s="601"/>
      <c r="I238" s="13">
        <f t="shared" si="62"/>
        <v>1</v>
      </c>
      <c r="J238" s="601"/>
      <c r="K238" s="13">
        <f t="shared" si="63"/>
        <v>1</v>
      </c>
      <c r="L238" s="601"/>
      <c r="M238" s="13">
        <f t="shared" si="64"/>
        <v>1</v>
      </c>
      <c r="N238" s="601"/>
      <c r="O238" s="13">
        <f t="shared" si="65"/>
        <v>1</v>
      </c>
      <c r="P238" s="601"/>
      <c r="Q238" s="13">
        <f t="shared" si="66"/>
        <v>1</v>
      </c>
      <c r="R238" s="597">
        <f t="shared" si="71"/>
        <v>0</v>
      </c>
      <c r="S238" s="250">
        <f t="shared" si="72"/>
        <v>0</v>
      </c>
      <c r="T238" s="901">
        <f t="shared" si="73"/>
        <v>0</v>
      </c>
      <c r="U238" s="2988">
        <f t="shared" si="67"/>
        <v>0</v>
      </c>
      <c r="V238" s="2988">
        <f t="shared" si="68"/>
        <v>0</v>
      </c>
      <c r="W238" s="998"/>
      <c r="X238" s="2988">
        <f t="shared" si="69"/>
        <v>0</v>
      </c>
      <c r="Y238" s="2988">
        <f t="shared" si="70"/>
        <v>0</v>
      </c>
      <c r="Z238" s="998"/>
    </row>
    <row r="239" spans="1:26">
      <c r="A239" s="35"/>
      <c r="B239" s="20"/>
      <c r="C239" s="13">
        <f t="shared" si="59"/>
        <v>1</v>
      </c>
      <c r="D239" s="601"/>
      <c r="E239" s="13">
        <f t="shared" si="60"/>
        <v>1</v>
      </c>
      <c r="F239" s="601"/>
      <c r="G239" s="13">
        <f t="shared" si="61"/>
        <v>1</v>
      </c>
      <c r="H239" s="601"/>
      <c r="I239" s="13">
        <f t="shared" si="62"/>
        <v>1</v>
      </c>
      <c r="J239" s="601"/>
      <c r="K239" s="13">
        <f t="shared" si="63"/>
        <v>1</v>
      </c>
      <c r="L239" s="601"/>
      <c r="M239" s="13">
        <f t="shared" si="64"/>
        <v>1</v>
      </c>
      <c r="N239" s="601"/>
      <c r="O239" s="13">
        <f t="shared" si="65"/>
        <v>1</v>
      </c>
      <c r="P239" s="601"/>
      <c r="Q239" s="13">
        <f t="shared" si="66"/>
        <v>1</v>
      </c>
      <c r="R239" s="597">
        <f t="shared" si="71"/>
        <v>0</v>
      </c>
      <c r="S239" s="250">
        <f t="shared" si="72"/>
        <v>0</v>
      </c>
      <c r="T239" s="901">
        <f t="shared" si="73"/>
        <v>0</v>
      </c>
      <c r="U239" s="2988">
        <f t="shared" si="67"/>
        <v>0</v>
      </c>
      <c r="V239" s="2988">
        <f t="shared" si="68"/>
        <v>0</v>
      </c>
      <c r="W239" s="998"/>
      <c r="X239" s="2988">
        <f t="shared" si="69"/>
        <v>0</v>
      </c>
      <c r="Y239" s="2988">
        <f t="shared" si="70"/>
        <v>0</v>
      </c>
      <c r="Z239" s="998"/>
    </row>
    <row r="240" spans="1:26">
      <c r="A240" s="35"/>
      <c r="B240" s="20"/>
      <c r="C240" s="13">
        <f t="shared" si="59"/>
        <v>1</v>
      </c>
      <c r="D240" s="601"/>
      <c r="E240" s="13">
        <f t="shared" si="60"/>
        <v>1</v>
      </c>
      <c r="F240" s="601"/>
      <c r="G240" s="13">
        <f t="shared" si="61"/>
        <v>1</v>
      </c>
      <c r="H240" s="601"/>
      <c r="I240" s="13">
        <f t="shared" si="62"/>
        <v>1</v>
      </c>
      <c r="J240" s="601"/>
      <c r="K240" s="13">
        <f t="shared" si="63"/>
        <v>1</v>
      </c>
      <c r="L240" s="601"/>
      <c r="M240" s="13">
        <f t="shared" si="64"/>
        <v>1</v>
      </c>
      <c r="N240" s="601"/>
      <c r="O240" s="13">
        <f t="shared" si="65"/>
        <v>1</v>
      </c>
      <c r="P240" s="601"/>
      <c r="Q240" s="13">
        <f t="shared" si="66"/>
        <v>1</v>
      </c>
      <c r="R240" s="597">
        <f t="shared" si="71"/>
        <v>0</v>
      </c>
      <c r="S240" s="250">
        <f t="shared" si="72"/>
        <v>0</v>
      </c>
      <c r="T240" s="901">
        <f t="shared" si="73"/>
        <v>0</v>
      </c>
      <c r="U240" s="2988">
        <f t="shared" si="67"/>
        <v>0</v>
      </c>
      <c r="V240" s="2988">
        <f t="shared" si="68"/>
        <v>0</v>
      </c>
      <c r="W240" s="998"/>
      <c r="X240" s="2988">
        <f t="shared" si="69"/>
        <v>0</v>
      </c>
      <c r="Y240" s="2988">
        <f t="shared" si="70"/>
        <v>0</v>
      </c>
      <c r="Z240" s="998"/>
    </row>
    <row r="241" spans="1:26">
      <c r="A241" s="35"/>
      <c r="B241" s="20"/>
      <c r="C241" s="13">
        <f t="shared" si="59"/>
        <v>1</v>
      </c>
      <c r="D241" s="601"/>
      <c r="E241" s="13">
        <f t="shared" si="60"/>
        <v>1</v>
      </c>
      <c r="F241" s="601"/>
      <c r="G241" s="13">
        <f t="shared" si="61"/>
        <v>1</v>
      </c>
      <c r="H241" s="601"/>
      <c r="I241" s="13">
        <f t="shared" si="62"/>
        <v>1</v>
      </c>
      <c r="J241" s="601"/>
      <c r="K241" s="13">
        <f t="shared" si="63"/>
        <v>1</v>
      </c>
      <c r="L241" s="601"/>
      <c r="M241" s="13">
        <f t="shared" si="64"/>
        <v>1</v>
      </c>
      <c r="N241" s="601"/>
      <c r="O241" s="13">
        <f t="shared" si="65"/>
        <v>1</v>
      </c>
      <c r="P241" s="601"/>
      <c r="Q241" s="13">
        <f t="shared" si="66"/>
        <v>1</v>
      </c>
      <c r="R241" s="597">
        <f t="shared" si="71"/>
        <v>0</v>
      </c>
      <c r="S241" s="250">
        <f t="shared" si="72"/>
        <v>0</v>
      </c>
      <c r="T241" s="901">
        <f t="shared" si="73"/>
        <v>0</v>
      </c>
      <c r="U241" s="2988">
        <f t="shared" si="67"/>
        <v>0</v>
      </c>
      <c r="V241" s="2988">
        <f t="shared" si="68"/>
        <v>0</v>
      </c>
      <c r="W241" s="998"/>
      <c r="X241" s="2988">
        <f t="shared" si="69"/>
        <v>0</v>
      </c>
      <c r="Y241" s="2988">
        <f t="shared" si="70"/>
        <v>0</v>
      </c>
      <c r="Z241" s="998"/>
    </row>
    <row r="242" spans="1:26">
      <c r="A242" s="35"/>
      <c r="B242" s="20"/>
      <c r="C242" s="13">
        <f t="shared" si="59"/>
        <v>1</v>
      </c>
      <c r="D242" s="601"/>
      <c r="E242" s="13">
        <f t="shared" si="60"/>
        <v>1</v>
      </c>
      <c r="F242" s="601"/>
      <c r="G242" s="13">
        <f t="shared" si="61"/>
        <v>1</v>
      </c>
      <c r="H242" s="601"/>
      <c r="I242" s="13">
        <f t="shared" si="62"/>
        <v>1</v>
      </c>
      <c r="J242" s="601"/>
      <c r="K242" s="13">
        <f t="shared" si="63"/>
        <v>1</v>
      </c>
      <c r="L242" s="601"/>
      <c r="M242" s="13">
        <f t="shared" si="64"/>
        <v>1</v>
      </c>
      <c r="N242" s="601"/>
      <c r="O242" s="13">
        <f t="shared" si="65"/>
        <v>1</v>
      </c>
      <c r="P242" s="601"/>
      <c r="Q242" s="13">
        <f t="shared" si="66"/>
        <v>1</v>
      </c>
      <c r="R242" s="597">
        <f t="shared" si="71"/>
        <v>0</v>
      </c>
      <c r="S242" s="250">
        <f t="shared" si="72"/>
        <v>0</v>
      </c>
      <c r="T242" s="901">
        <f t="shared" si="73"/>
        <v>0</v>
      </c>
      <c r="U242" s="2988">
        <f t="shared" si="67"/>
        <v>0</v>
      </c>
      <c r="V242" s="2988">
        <f t="shared" si="68"/>
        <v>0</v>
      </c>
      <c r="W242" s="998"/>
      <c r="X242" s="2988">
        <f t="shared" si="69"/>
        <v>0</v>
      </c>
      <c r="Y242" s="2988">
        <f t="shared" si="70"/>
        <v>0</v>
      </c>
      <c r="Z242" s="998"/>
    </row>
    <row r="243" spans="1:26">
      <c r="A243" s="35"/>
      <c r="B243" s="20"/>
      <c r="C243" s="13">
        <f t="shared" si="59"/>
        <v>1</v>
      </c>
      <c r="D243" s="601"/>
      <c r="E243" s="13">
        <f t="shared" si="60"/>
        <v>1</v>
      </c>
      <c r="F243" s="601"/>
      <c r="G243" s="13">
        <f t="shared" si="61"/>
        <v>1</v>
      </c>
      <c r="H243" s="601"/>
      <c r="I243" s="13">
        <f t="shared" si="62"/>
        <v>1</v>
      </c>
      <c r="J243" s="601"/>
      <c r="K243" s="13">
        <f t="shared" si="63"/>
        <v>1</v>
      </c>
      <c r="L243" s="601"/>
      <c r="M243" s="13">
        <f t="shared" si="64"/>
        <v>1</v>
      </c>
      <c r="N243" s="601"/>
      <c r="O243" s="13">
        <f t="shared" si="65"/>
        <v>1</v>
      </c>
      <c r="P243" s="601"/>
      <c r="Q243" s="13">
        <f t="shared" si="66"/>
        <v>1</v>
      </c>
      <c r="R243" s="597">
        <f t="shared" si="71"/>
        <v>0</v>
      </c>
      <c r="S243" s="250">
        <f t="shared" si="72"/>
        <v>0</v>
      </c>
      <c r="T243" s="901">
        <f t="shared" si="73"/>
        <v>0</v>
      </c>
      <c r="U243" s="2988">
        <f t="shared" si="67"/>
        <v>0</v>
      </c>
      <c r="V243" s="2988">
        <f t="shared" si="68"/>
        <v>0</v>
      </c>
      <c r="W243" s="998"/>
      <c r="X243" s="2988">
        <f t="shared" si="69"/>
        <v>0</v>
      </c>
      <c r="Y243" s="2988">
        <f t="shared" si="70"/>
        <v>0</v>
      </c>
      <c r="Z243" s="998"/>
    </row>
    <row r="244" spans="1:26">
      <c r="A244" s="35"/>
      <c r="B244" s="20"/>
      <c r="C244" s="13">
        <f t="shared" si="59"/>
        <v>1</v>
      </c>
      <c r="D244" s="601"/>
      <c r="E244" s="13">
        <f t="shared" si="60"/>
        <v>1</v>
      </c>
      <c r="F244" s="601"/>
      <c r="G244" s="13">
        <f t="shared" si="61"/>
        <v>1</v>
      </c>
      <c r="H244" s="601"/>
      <c r="I244" s="13">
        <f t="shared" si="62"/>
        <v>1</v>
      </c>
      <c r="J244" s="601"/>
      <c r="K244" s="13">
        <f t="shared" si="63"/>
        <v>1</v>
      </c>
      <c r="L244" s="601"/>
      <c r="M244" s="13">
        <f t="shared" si="64"/>
        <v>1</v>
      </c>
      <c r="N244" s="601"/>
      <c r="O244" s="13">
        <f t="shared" si="65"/>
        <v>1</v>
      </c>
      <c r="P244" s="601"/>
      <c r="Q244" s="13">
        <f t="shared" si="66"/>
        <v>1</v>
      </c>
      <c r="R244" s="597">
        <f t="shared" si="71"/>
        <v>0</v>
      </c>
      <c r="S244" s="250">
        <f t="shared" si="72"/>
        <v>0</v>
      </c>
      <c r="T244" s="901">
        <f t="shared" si="73"/>
        <v>0</v>
      </c>
      <c r="U244" s="2988">
        <f t="shared" si="67"/>
        <v>0</v>
      </c>
      <c r="V244" s="2988">
        <f t="shared" si="68"/>
        <v>0</v>
      </c>
      <c r="W244" s="998"/>
      <c r="X244" s="2988">
        <f t="shared" si="69"/>
        <v>0</v>
      </c>
      <c r="Y244" s="2988">
        <f t="shared" si="70"/>
        <v>0</v>
      </c>
      <c r="Z244" s="998"/>
    </row>
    <row r="245" spans="1:26">
      <c r="A245" s="35"/>
      <c r="B245" s="20"/>
      <c r="C245" s="13">
        <f t="shared" si="59"/>
        <v>1</v>
      </c>
      <c r="D245" s="601"/>
      <c r="E245" s="13">
        <f t="shared" si="60"/>
        <v>1</v>
      </c>
      <c r="F245" s="601"/>
      <c r="G245" s="13">
        <f t="shared" si="61"/>
        <v>1</v>
      </c>
      <c r="H245" s="601"/>
      <c r="I245" s="13">
        <f t="shared" si="62"/>
        <v>1</v>
      </c>
      <c r="J245" s="601"/>
      <c r="K245" s="13">
        <f t="shared" si="63"/>
        <v>1</v>
      </c>
      <c r="L245" s="601"/>
      <c r="M245" s="13">
        <f t="shared" si="64"/>
        <v>1</v>
      </c>
      <c r="N245" s="601"/>
      <c r="O245" s="13">
        <f t="shared" si="65"/>
        <v>1</v>
      </c>
      <c r="P245" s="601"/>
      <c r="Q245" s="13">
        <f t="shared" si="66"/>
        <v>1</v>
      </c>
      <c r="R245" s="597">
        <f t="shared" si="71"/>
        <v>0</v>
      </c>
      <c r="S245" s="250">
        <f t="shared" si="72"/>
        <v>0</v>
      </c>
      <c r="T245" s="901">
        <f t="shared" si="73"/>
        <v>0</v>
      </c>
      <c r="U245" s="2988">
        <f t="shared" si="67"/>
        <v>0</v>
      </c>
      <c r="V245" s="2988">
        <f t="shared" si="68"/>
        <v>0</v>
      </c>
      <c r="W245" s="998"/>
      <c r="X245" s="2988">
        <f t="shared" si="69"/>
        <v>0</v>
      </c>
      <c r="Y245" s="2988">
        <f t="shared" si="70"/>
        <v>0</v>
      </c>
      <c r="Z245" s="998"/>
    </row>
    <row r="246" spans="1:26">
      <c r="A246" s="35"/>
      <c r="B246" s="20"/>
      <c r="C246" s="13">
        <f t="shared" si="59"/>
        <v>1</v>
      </c>
      <c r="D246" s="601"/>
      <c r="E246" s="13">
        <f t="shared" si="60"/>
        <v>1</v>
      </c>
      <c r="F246" s="601"/>
      <c r="G246" s="13">
        <f t="shared" si="61"/>
        <v>1</v>
      </c>
      <c r="H246" s="601"/>
      <c r="I246" s="13">
        <f t="shared" si="62"/>
        <v>1</v>
      </c>
      <c r="J246" s="601"/>
      <c r="K246" s="13">
        <f t="shared" si="63"/>
        <v>1</v>
      </c>
      <c r="L246" s="601"/>
      <c r="M246" s="13">
        <f t="shared" si="64"/>
        <v>1</v>
      </c>
      <c r="N246" s="601"/>
      <c r="O246" s="13">
        <f t="shared" si="65"/>
        <v>1</v>
      </c>
      <c r="P246" s="601"/>
      <c r="Q246" s="13">
        <f t="shared" si="66"/>
        <v>1</v>
      </c>
      <c r="R246" s="597">
        <f t="shared" si="71"/>
        <v>0</v>
      </c>
      <c r="S246" s="250">
        <f t="shared" si="72"/>
        <v>0</v>
      </c>
      <c r="T246" s="901">
        <f t="shared" si="73"/>
        <v>0</v>
      </c>
      <c r="U246" s="2988">
        <f t="shared" si="67"/>
        <v>0</v>
      </c>
      <c r="V246" s="2988">
        <f t="shared" si="68"/>
        <v>0</v>
      </c>
      <c r="W246" s="998"/>
      <c r="X246" s="2988">
        <f t="shared" si="69"/>
        <v>0</v>
      </c>
      <c r="Y246" s="2988">
        <f t="shared" si="70"/>
        <v>0</v>
      </c>
      <c r="Z246" s="998"/>
    </row>
    <row r="247" spans="1:26">
      <c r="A247" s="35"/>
      <c r="B247" s="20"/>
      <c r="C247" s="13">
        <f t="shared" si="59"/>
        <v>1</v>
      </c>
      <c r="D247" s="601"/>
      <c r="E247" s="13">
        <f t="shared" si="60"/>
        <v>1</v>
      </c>
      <c r="F247" s="601"/>
      <c r="G247" s="13">
        <f t="shared" si="61"/>
        <v>1</v>
      </c>
      <c r="H247" s="601"/>
      <c r="I247" s="13">
        <f t="shared" si="62"/>
        <v>1</v>
      </c>
      <c r="J247" s="601"/>
      <c r="K247" s="13">
        <f t="shared" si="63"/>
        <v>1</v>
      </c>
      <c r="L247" s="601"/>
      <c r="M247" s="13">
        <f t="shared" si="64"/>
        <v>1</v>
      </c>
      <c r="N247" s="601"/>
      <c r="O247" s="13">
        <f t="shared" si="65"/>
        <v>1</v>
      </c>
      <c r="P247" s="601"/>
      <c r="Q247" s="13">
        <f t="shared" si="66"/>
        <v>1</v>
      </c>
      <c r="R247" s="597">
        <f t="shared" si="71"/>
        <v>0</v>
      </c>
      <c r="S247" s="250">
        <f t="shared" si="72"/>
        <v>0</v>
      </c>
      <c r="T247" s="901">
        <f t="shared" si="73"/>
        <v>0</v>
      </c>
      <c r="U247" s="2988">
        <f t="shared" si="67"/>
        <v>0</v>
      </c>
      <c r="V247" s="2988">
        <f t="shared" si="68"/>
        <v>0</v>
      </c>
      <c r="W247" s="998"/>
      <c r="X247" s="2988">
        <f t="shared" si="69"/>
        <v>0</v>
      </c>
      <c r="Y247" s="2988">
        <f t="shared" si="70"/>
        <v>0</v>
      </c>
      <c r="Z247" s="998"/>
    </row>
    <row r="248" spans="1:26">
      <c r="A248" s="35"/>
      <c r="B248" s="20"/>
      <c r="C248" s="13">
        <f t="shared" si="59"/>
        <v>1</v>
      </c>
      <c r="D248" s="601"/>
      <c r="E248" s="13">
        <f t="shared" si="60"/>
        <v>1</v>
      </c>
      <c r="F248" s="601"/>
      <c r="G248" s="13">
        <f t="shared" si="61"/>
        <v>1</v>
      </c>
      <c r="H248" s="601"/>
      <c r="I248" s="13">
        <f t="shared" si="62"/>
        <v>1</v>
      </c>
      <c r="J248" s="601"/>
      <c r="K248" s="13">
        <f t="shared" si="63"/>
        <v>1</v>
      </c>
      <c r="L248" s="601"/>
      <c r="M248" s="13">
        <f t="shared" si="64"/>
        <v>1</v>
      </c>
      <c r="N248" s="601"/>
      <c r="O248" s="13">
        <f t="shared" si="65"/>
        <v>1</v>
      </c>
      <c r="P248" s="601"/>
      <c r="Q248" s="13">
        <f t="shared" si="66"/>
        <v>1</v>
      </c>
      <c r="R248" s="597">
        <f t="shared" si="71"/>
        <v>0</v>
      </c>
      <c r="S248" s="250">
        <f t="shared" si="72"/>
        <v>0</v>
      </c>
      <c r="T248" s="901">
        <f t="shared" si="73"/>
        <v>0</v>
      </c>
      <c r="U248" s="2988">
        <f t="shared" si="67"/>
        <v>0</v>
      </c>
      <c r="V248" s="2988">
        <f t="shared" si="68"/>
        <v>0</v>
      </c>
      <c r="W248" s="998"/>
      <c r="X248" s="2988">
        <f t="shared" si="69"/>
        <v>0</v>
      </c>
      <c r="Y248" s="2988">
        <f t="shared" si="70"/>
        <v>0</v>
      </c>
      <c r="Z248" s="998"/>
    </row>
    <row r="249" spans="1:26">
      <c r="A249" s="35"/>
      <c r="B249" s="20"/>
      <c r="C249" s="13">
        <f t="shared" si="59"/>
        <v>1</v>
      </c>
      <c r="D249" s="601"/>
      <c r="E249" s="13">
        <f t="shared" si="60"/>
        <v>1</v>
      </c>
      <c r="F249" s="601"/>
      <c r="G249" s="13">
        <f t="shared" si="61"/>
        <v>1</v>
      </c>
      <c r="H249" s="601"/>
      <c r="I249" s="13">
        <f t="shared" si="62"/>
        <v>1</v>
      </c>
      <c r="J249" s="601"/>
      <c r="K249" s="13">
        <f t="shared" si="63"/>
        <v>1</v>
      </c>
      <c r="L249" s="601"/>
      <c r="M249" s="13">
        <f t="shared" si="64"/>
        <v>1</v>
      </c>
      <c r="N249" s="601"/>
      <c r="O249" s="13">
        <f t="shared" si="65"/>
        <v>1</v>
      </c>
      <c r="P249" s="601"/>
      <c r="Q249" s="13">
        <f t="shared" si="66"/>
        <v>1</v>
      </c>
      <c r="R249" s="597">
        <f t="shared" si="71"/>
        <v>0</v>
      </c>
      <c r="S249" s="250">
        <f t="shared" si="72"/>
        <v>0</v>
      </c>
      <c r="T249" s="901">
        <f t="shared" si="73"/>
        <v>0</v>
      </c>
      <c r="U249" s="2988">
        <f t="shared" si="67"/>
        <v>0</v>
      </c>
      <c r="V249" s="2988">
        <f t="shared" si="68"/>
        <v>0</v>
      </c>
      <c r="W249" s="998"/>
      <c r="X249" s="2988">
        <f t="shared" si="69"/>
        <v>0</v>
      </c>
      <c r="Y249" s="2988">
        <f t="shared" si="70"/>
        <v>0</v>
      </c>
      <c r="Z249" s="998"/>
    </row>
    <row r="250" spans="1:26">
      <c r="A250" s="35"/>
      <c r="B250" s="20"/>
      <c r="C250" s="13">
        <f t="shared" si="59"/>
        <v>1</v>
      </c>
      <c r="D250" s="601"/>
      <c r="E250" s="13">
        <f t="shared" si="60"/>
        <v>1</v>
      </c>
      <c r="F250" s="601"/>
      <c r="G250" s="13">
        <f t="shared" si="61"/>
        <v>1</v>
      </c>
      <c r="H250" s="601"/>
      <c r="I250" s="13">
        <f t="shared" si="62"/>
        <v>1</v>
      </c>
      <c r="J250" s="601"/>
      <c r="K250" s="13">
        <f t="shared" si="63"/>
        <v>1</v>
      </c>
      <c r="L250" s="601"/>
      <c r="M250" s="13">
        <f t="shared" si="64"/>
        <v>1</v>
      </c>
      <c r="N250" s="601"/>
      <c r="O250" s="13">
        <f t="shared" si="65"/>
        <v>1</v>
      </c>
      <c r="P250" s="601"/>
      <c r="Q250" s="13">
        <f t="shared" si="66"/>
        <v>1</v>
      </c>
      <c r="R250" s="597">
        <f t="shared" si="71"/>
        <v>0</v>
      </c>
      <c r="S250" s="250">
        <f t="shared" si="72"/>
        <v>0</v>
      </c>
      <c r="T250" s="901">
        <f t="shared" si="73"/>
        <v>0</v>
      </c>
      <c r="U250" s="2988">
        <f t="shared" si="67"/>
        <v>0</v>
      </c>
      <c r="V250" s="2988">
        <f t="shared" si="68"/>
        <v>0</v>
      </c>
      <c r="W250" s="998"/>
      <c r="X250" s="2988">
        <f t="shared" si="69"/>
        <v>0</v>
      </c>
      <c r="Y250" s="2988">
        <f t="shared" si="70"/>
        <v>0</v>
      </c>
      <c r="Z250" s="998"/>
    </row>
    <row r="251" spans="1:26">
      <c r="A251" s="35"/>
      <c r="B251" s="20"/>
      <c r="C251" s="13">
        <f t="shared" si="59"/>
        <v>1</v>
      </c>
      <c r="D251" s="601"/>
      <c r="E251" s="13">
        <f t="shared" si="60"/>
        <v>1</v>
      </c>
      <c r="F251" s="601"/>
      <c r="G251" s="13">
        <f t="shared" si="61"/>
        <v>1</v>
      </c>
      <c r="H251" s="601"/>
      <c r="I251" s="13">
        <f t="shared" si="62"/>
        <v>1</v>
      </c>
      <c r="J251" s="601"/>
      <c r="K251" s="13">
        <f t="shared" si="63"/>
        <v>1</v>
      </c>
      <c r="L251" s="601"/>
      <c r="M251" s="13">
        <f t="shared" si="64"/>
        <v>1</v>
      </c>
      <c r="N251" s="601"/>
      <c r="O251" s="13">
        <f t="shared" si="65"/>
        <v>1</v>
      </c>
      <c r="P251" s="601"/>
      <c r="Q251" s="13">
        <f t="shared" si="66"/>
        <v>1</v>
      </c>
      <c r="R251" s="597">
        <f t="shared" si="71"/>
        <v>0</v>
      </c>
      <c r="S251" s="250">
        <f t="shared" si="72"/>
        <v>0</v>
      </c>
      <c r="T251" s="901">
        <f t="shared" si="73"/>
        <v>0</v>
      </c>
      <c r="U251" s="2988">
        <f t="shared" si="67"/>
        <v>0</v>
      </c>
      <c r="V251" s="2988">
        <f t="shared" si="68"/>
        <v>0</v>
      </c>
      <c r="W251" s="998"/>
      <c r="X251" s="2988">
        <f t="shared" si="69"/>
        <v>0</v>
      </c>
      <c r="Y251" s="2988">
        <f t="shared" si="70"/>
        <v>0</v>
      </c>
      <c r="Z251" s="998"/>
    </row>
    <row r="252" spans="1:26">
      <c r="A252" s="35"/>
      <c r="B252" s="20"/>
      <c r="C252" s="13">
        <f t="shared" si="59"/>
        <v>1</v>
      </c>
      <c r="D252" s="601"/>
      <c r="E252" s="13">
        <f t="shared" si="60"/>
        <v>1</v>
      </c>
      <c r="F252" s="601"/>
      <c r="G252" s="13">
        <f t="shared" si="61"/>
        <v>1</v>
      </c>
      <c r="H252" s="601"/>
      <c r="I252" s="13">
        <f t="shared" si="62"/>
        <v>1</v>
      </c>
      <c r="J252" s="601"/>
      <c r="K252" s="13">
        <f t="shared" si="63"/>
        <v>1</v>
      </c>
      <c r="L252" s="601"/>
      <c r="M252" s="13">
        <f t="shared" si="64"/>
        <v>1</v>
      </c>
      <c r="N252" s="601"/>
      <c r="O252" s="13">
        <f t="shared" si="65"/>
        <v>1</v>
      </c>
      <c r="P252" s="601"/>
      <c r="Q252" s="13">
        <f t="shared" si="66"/>
        <v>1</v>
      </c>
      <c r="R252" s="597">
        <f t="shared" si="71"/>
        <v>0</v>
      </c>
      <c r="S252" s="250">
        <f t="shared" si="72"/>
        <v>0</v>
      </c>
      <c r="T252" s="901">
        <f t="shared" si="73"/>
        <v>0</v>
      </c>
      <c r="U252" s="2988">
        <f t="shared" si="67"/>
        <v>0</v>
      </c>
      <c r="V252" s="2988">
        <f t="shared" si="68"/>
        <v>0</v>
      </c>
      <c r="W252" s="998"/>
      <c r="X252" s="2988">
        <f t="shared" si="69"/>
        <v>0</v>
      </c>
      <c r="Y252" s="2988">
        <f t="shared" si="70"/>
        <v>0</v>
      </c>
      <c r="Z252" s="998"/>
    </row>
    <row r="253" spans="1:26">
      <c r="A253" s="35"/>
      <c r="B253" s="20"/>
      <c r="C253" s="13">
        <f t="shared" si="59"/>
        <v>1</v>
      </c>
      <c r="D253" s="601"/>
      <c r="E253" s="13">
        <f t="shared" si="60"/>
        <v>1</v>
      </c>
      <c r="F253" s="601"/>
      <c r="G253" s="13">
        <f t="shared" si="61"/>
        <v>1</v>
      </c>
      <c r="H253" s="601"/>
      <c r="I253" s="13">
        <f t="shared" si="62"/>
        <v>1</v>
      </c>
      <c r="J253" s="601"/>
      <c r="K253" s="13">
        <f t="shared" si="63"/>
        <v>1</v>
      </c>
      <c r="L253" s="601"/>
      <c r="M253" s="13">
        <f t="shared" si="64"/>
        <v>1</v>
      </c>
      <c r="N253" s="601"/>
      <c r="O253" s="13">
        <f t="shared" si="65"/>
        <v>1</v>
      </c>
      <c r="P253" s="601"/>
      <c r="Q253" s="13">
        <f t="shared" si="66"/>
        <v>1</v>
      </c>
      <c r="R253" s="597">
        <f t="shared" si="71"/>
        <v>0</v>
      </c>
      <c r="S253" s="250">
        <f t="shared" si="72"/>
        <v>0</v>
      </c>
      <c r="T253" s="901">
        <f t="shared" si="73"/>
        <v>0</v>
      </c>
      <c r="U253" s="2988">
        <f t="shared" si="67"/>
        <v>0</v>
      </c>
      <c r="V253" s="2988">
        <f t="shared" si="68"/>
        <v>0</v>
      </c>
      <c r="W253" s="998"/>
      <c r="X253" s="2988">
        <f t="shared" si="69"/>
        <v>0</v>
      </c>
      <c r="Y253" s="2988">
        <f t="shared" si="70"/>
        <v>0</v>
      </c>
      <c r="Z253" s="998"/>
    </row>
    <row r="254" spans="1:26">
      <c r="A254" s="35"/>
      <c r="B254" s="20"/>
      <c r="C254" s="13">
        <f t="shared" si="59"/>
        <v>1</v>
      </c>
      <c r="D254" s="601"/>
      <c r="E254" s="13">
        <f t="shared" si="60"/>
        <v>1</v>
      </c>
      <c r="F254" s="601"/>
      <c r="G254" s="13">
        <f t="shared" si="61"/>
        <v>1</v>
      </c>
      <c r="H254" s="601"/>
      <c r="I254" s="13">
        <f t="shared" si="62"/>
        <v>1</v>
      </c>
      <c r="J254" s="601"/>
      <c r="K254" s="13">
        <f t="shared" si="63"/>
        <v>1</v>
      </c>
      <c r="L254" s="601"/>
      <c r="M254" s="13">
        <f t="shared" si="64"/>
        <v>1</v>
      </c>
      <c r="N254" s="601"/>
      <c r="O254" s="13">
        <f t="shared" si="65"/>
        <v>1</v>
      </c>
      <c r="P254" s="601"/>
      <c r="Q254" s="13">
        <f t="shared" si="66"/>
        <v>1</v>
      </c>
      <c r="R254" s="597">
        <f t="shared" si="71"/>
        <v>0</v>
      </c>
      <c r="S254" s="250">
        <f t="shared" si="72"/>
        <v>0</v>
      </c>
      <c r="T254" s="901">
        <f t="shared" si="73"/>
        <v>0</v>
      </c>
      <c r="U254" s="2988">
        <f t="shared" si="67"/>
        <v>0</v>
      </c>
      <c r="V254" s="2988">
        <f t="shared" si="68"/>
        <v>0</v>
      </c>
      <c r="W254" s="998"/>
      <c r="X254" s="2988">
        <f t="shared" si="69"/>
        <v>0</v>
      </c>
      <c r="Y254" s="2988">
        <f t="shared" si="70"/>
        <v>0</v>
      </c>
      <c r="Z254" s="998"/>
    </row>
    <row r="255" spans="1:26">
      <c r="A255" s="35"/>
      <c r="B255" s="20"/>
      <c r="C255" s="13">
        <f t="shared" si="59"/>
        <v>1</v>
      </c>
      <c r="D255" s="601"/>
      <c r="E255" s="13">
        <f t="shared" si="60"/>
        <v>1</v>
      </c>
      <c r="F255" s="601"/>
      <c r="G255" s="13">
        <f t="shared" si="61"/>
        <v>1</v>
      </c>
      <c r="H255" s="601"/>
      <c r="I255" s="13">
        <f t="shared" si="62"/>
        <v>1</v>
      </c>
      <c r="J255" s="601"/>
      <c r="K255" s="13">
        <f t="shared" si="63"/>
        <v>1</v>
      </c>
      <c r="L255" s="601"/>
      <c r="M255" s="13">
        <f t="shared" si="64"/>
        <v>1</v>
      </c>
      <c r="N255" s="601"/>
      <c r="O255" s="13">
        <f t="shared" si="65"/>
        <v>1</v>
      </c>
      <c r="P255" s="601"/>
      <c r="Q255" s="13">
        <f t="shared" si="66"/>
        <v>1</v>
      </c>
      <c r="R255" s="597">
        <f t="shared" si="71"/>
        <v>0</v>
      </c>
      <c r="S255" s="250">
        <f t="shared" si="72"/>
        <v>0</v>
      </c>
      <c r="T255" s="901">
        <f t="shared" si="73"/>
        <v>0</v>
      </c>
      <c r="U255" s="2988">
        <f t="shared" si="67"/>
        <v>0</v>
      </c>
      <c r="V255" s="2988">
        <f t="shared" si="68"/>
        <v>0</v>
      </c>
      <c r="W255" s="998"/>
      <c r="X255" s="2988">
        <f t="shared" si="69"/>
        <v>0</v>
      </c>
      <c r="Y255" s="2988">
        <f t="shared" si="70"/>
        <v>0</v>
      </c>
      <c r="Z255" s="998"/>
    </row>
    <row r="256" spans="1:26">
      <c r="A256" s="35"/>
      <c r="B256" s="20"/>
      <c r="C256" s="13">
        <f t="shared" si="59"/>
        <v>1</v>
      </c>
      <c r="D256" s="601"/>
      <c r="E256" s="13">
        <f t="shared" si="60"/>
        <v>1</v>
      </c>
      <c r="F256" s="601"/>
      <c r="G256" s="13">
        <f t="shared" si="61"/>
        <v>1</v>
      </c>
      <c r="H256" s="601"/>
      <c r="I256" s="13">
        <f t="shared" si="62"/>
        <v>1</v>
      </c>
      <c r="J256" s="601"/>
      <c r="K256" s="13">
        <f t="shared" si="63"/>
        <v>1</v>
      </c>
      <c r="L256" s="601"/>
      <c r="M256" s="13">
        <f t="shared" si="64"/>
        <v>1</v>
      </c>
      <c r="N256" s="601"/>
      <c r="O256" s="13">
        <f t="shared" si="65"/>
        <v>1</v>
      </c>
      <c r="P256" s="601"/>
      <c r="Q256" s="13">
        <f t="shared" si="66"/>
        <v>1</v>
      </c>
      <c r="R256" s="597">
        <f t="shared" si="71"/>
        <v>0</v>
      </c>
      <c r="S256" s="250">
        <f t="shared" si="72"/>
        <v>0</v>
      </c>
      <c r="T256" s="901">
        <f t="shared" si="73"/>
        <v>0</v>
      </c>
      <c r="U256" s="2988">
        <f t="shared" si="67"/>
        <v>0</v>
      </c>
      <c r="V256" s="2988">
        <f t="shared" si="68"/>
        <v>0</v>
      </c>
      <c r="W256" s="998"/>
      <c r="X256" s="2988">
        <f t="shared" si="69"/>
        <v>0</v>
      </c>
      <c r="Y256" s="2988">
        <f t="shared" si="70"/>
        <v>0</v>
      </c>
      <c r="Z256" s="998"/>
    </row>
    <row r="257" spans="1:26">
      <c r="A257" s="35"/>
      <c r="B257" s="20"/>
      <c r="C257" s="13">
        <f t="shared" si="59"/>
        <v>1</v>
      </c>
      <c r="D257" s="601"/>
      <c r="E257" s="13">
        <f t="shared" si="60"/>
        <v>1</v>
      </c>
      <c r="F257" s="601"/>
      <c r="G257" s="13">
        <f t="shared" si="61"/>
        <v>1</v>
      </c>
      <c r="H257" s="601"/>
      <c r="I257" s="13">
        <f t="shared" si="62"/>
        <v>1</v>
      </c>
      <c r="J257" s="601"/>
      <c r="K257" s="13">
        <f t="shared" si="63"/>
        <v>1</v>
      </c>
      <c r="L257" s="601"/>
      <c r="M257" s="13">
        <f t="shared" si="64"/>
        <v>1</v>
      </c>
      <c r="N257" s="601"/>
      <c r="O257" s="13">
        <f t="shared" si="65"/>
        <v>1</v>
      </c>
      <c r="P257" s="601"/>
      <c r="Q257" s="13">
        <f t="shared" si="66"/>
        <v>1</v>
      </c>
      <c r="R257" s="597">
        <f t="shared" si="71"/>
        <v>0</v>
      </c>
      <c r="S257" s="250">
        <f t="shared" si="72"/>
        <v>0</v>
      </c>
      <c r="T257" s="901">
        <f t="shared" si="73"/>
        <v>0</v>
      </c>
      <c r="U257" s="2988">
        <f t="shared" si="67"/>
        <v>0</v>
      </c>
      <c r="V257" s="2988">
        <f t="shared" si="68"/>
        <v>0</v>
      </c>
      <c r="W257" s="998"/>
      <c r="X257" s="2988">
        <f t="shared" si="69"/>
        <v>0</v>
      </c>
      <c r="Y257" s="2988">
        <f t="shared" si="70"/>
        <v>0</v>
      </c>
      <c r="Z257" s="998"/>
    </row>
    <row r="258" spans="1:26">
      <c r="A258" s="35"/>
      <c r="B258" s="20"/>
      <c r="C258" s="13">
        <f t="shared" si="59"/>
        <v>1</v>
      </c>
      <c r="D258" s="601"/>
      <c r="E258" s="13">
        <f t="shared" si="60"/>
        <v>1</v>
      </c>
      <c r="F258" s="601"/>
      <c r="G258" s="13">
        <f t="shared" si="61"/>
        <v>1</v>
      </c>
      <c r="H258" s="601"/>
      <c r="I258" s="13">
        <f t="shared" si="62"/>
        <v>1</v>
      </c>
      <c r="J258" s="601"/>
      <c r="K258" s="13">
        <f t="shared" si="63"/>
        <v>1</v>
      </c>
      <c r="L258" s="601"/>
      <c r="M258" s="13">
        <f t="shared" si="64"/>
        <v>1</v>
      </c>
      <c r="N258" s="601"/>
      <c r="O258" s="13">
        <f t="shared" si="65"/>
        <v>1</v>
      </c>
      <c r="P258" s="601"/>
      <c r="Q258" s="13">
        <f t="shared" si="66"/>
        <v>1</v>
      </c>
      <c r="R258" s="597">
        <f t="shared" si="71"/>
        <v>0</v>
      </c>
      <c r="S258" s="250">
        <f t="shared" si="72"/>
        <v>0</v>
      </c>
      <c r="T258" s="901">
        <f t="shared" si="73"/>
        <v>0</v>
      </c>
      <c r="U258" s="2988">
        <f t="shared" si="67"/>
        <v>0</v>
      </c>
      <c r="V258" s="2988">
        <f t="shared" si="68"/>
        <v>0</v>
      </c>
      <c r="W258" s="998"/>
      <c r="X258" s="2988">
        <f t="shared" si="69"/>
        <v>0</v>
      </c>
      <c r="Y258" s="2988">
        <f t="shared" si="70"/>
        <v>0</v>
      </c>
      <c r="Z258" s="998"/>
    </row>
    <row r="259" spans="1:26">
      <c r="A259" s="35"/>
      <c r="B259" s="20"/>
      <c r="C259" s="13">
        <f t="shared" si="59"/>
        <v>1</v>
      </c>
      <c r="D259" s="601"/>
      <c r="E259" s="13">
        <f t="shared" si="60"/>
        <v>1</v>
      </c>
      <c r="F259" s="601"/>
      <c r="G259" s="13">
        <f t="shared" si="61"/>
        <v>1</v>
      </c>
      <c r="H259" s="601"/>
      <c r="I259" s="13">
        <f t="shared" si="62"/>
        <v>1</v>
      </c>
      <c r="J259" s="601"/>
      <c r="K259" s="13">
        <f t="shared" si="63"/>
        <v>1</v>
      </c>
      <c r="L259" s="601"/>
      <c r="M259" s="13">
        <f t="shared" si="64"/>
        <v>1</v>
      </c>
      <c r="N259" s="601"/>
      <c r="O259" s="13">
        <f t="shared" si="65"/>
        <v>1</v>
      </c>
      <c r="P259" s="601"/>
      <c r="Q259" s="13">
        <f t="shared" si="66"/>
        <v>1</v>
      </c>
      <c r="R259" s="597">
        <f t="shared" si="71"/>
        <v>0</v>
      </c>
      <c r="S259" s="250">
        <f t="shared" si="72"/>
        <v>0</v>
      </c>
      <c r="T259" s="901">
        <f t="shared" si="73"/>
        <v>0</v>
      </c>
      <c r="U259" s="2988">
        <f t="shared" si="67"/>
        <v>0</v>
      </c>
      <c r="V259" s="2988">
        <f t="shared" si="68"/>
        <v>0</v>
      </c>
      <c r="W259" s="998"/>
      <c r="X259" s="2988">
        <f t="shared" si="69"/>
        <v>0</v>
      </c>
      <c r="Y259" s="2988">
        <f t="shared" si="70"/>
        <v>0</v>
      </c>
      <c r="Z259" s="998"/>
    </row>
    <row r="260" spans="1:26">
      <c r="A260" s="35"/>
      <c r="B260" s="20"/>
      <c r="C260" s="13">
        <f t="shared" si="59"/>
        <v>1</v>
      </c>
      <c r="D260" s="601"/>
      <c r="E260" s="13">
        <f t="shared" si="60"/>
        <v>1</v>
      </c>
      <c r="F260" s="601"/>
      <c r="G260" s="13">
        <f t="shared" si="61"/>
        <v>1</v>
      </c>
      <c r="H260" s="601"/>
      <c r="I260" s="13">
        <f t="shared" si="62"/>
        <v>1</v>
      </c>
      <c r="J260" s="601"/>
      <c r="K260" s="13">
        <f t="shared" si="63"/>
        <v>1</v>
      </c>
      <c r="L260" s="601"/>
      <c r="M260" s="13">
        <f t="shared" si="64"/>
        <v>1</v>
      </c>
      <c r="N260" s="601"/>
      <c r="O260" s="13">
        <f t="shared" si="65"/>
        <v>1</v>
      </c>
      <c r="P260" s="601"/>
      <c r="Q260" s="13">
        <f t="shared" si="66"/>
        <v>1</v>
      </c>
      <c r="R260" s="597">
        <f t="shared" si="71"/>
        <v>0</v>
      </c>
      <c r="S260" s="250">
        <f t="shared" si="72"/>
        <v>0</v>
      </c>
      <c r="T260" s="901">
        <f t="shared" si="73"/>
        <v>0</v>
      </c>
      <c r="U260" s="2988">
        <f t="shared" si="67"/>
        <v>0</v>
      </c>
      <c r="V260" s="2988">
        <f t="shared" si="68"/>
        <v>0</v>
      </c>
      <c r="W260" s="998"/>
      <c r="X260" s="2988">
        <f t="shared" si="69"/>
        <v>0</v>
      </c>
      <c r="Y260" s="2988">
        <f t="shared" si="70"/>
        <v>0</v>
      </c>
      <c r="Z260" s="998"/>
    </row>
    <row r="261" spans="1:26">
      <c r="A261" s="35"/>
      <c r="B261" s="20"/>
      <c r="C261" s="13">
        <f t="shared" si="59"/>
        <v>1</v>
      </c>
      <c r="D261" s="601"/>
      <c r="E261" s="13">
        <f t="shared" si="60"/>
        <v>1</v>
      </c>
      <c r="F261" s="601"/>
      <c r="G261" s="13">
        <f t="shared" si="61"/>
        <v>1</v>
      </c>
      <c r="H261" s="601"/>
      <c r="I261" s="13">
        <f t="shared" si="62"/>
        <v>1</v>
      </c>
      <c r="J261" s="601"/>
      <c r="K261" s="13">
        <f t="shared" si="63"/>
        <v>1</v>
      </c>
      <c r="L261" s="601"/>
      <c r="M261" s="13">
        <f t="shared" si="64"/>
        <v>1</v>
      </c>
      <c r="N261" s="601"/>
      <c r="O261" s="13">
        <f t="shared" si="65"/>
        <v>1</v>
      </c>
      <c r="P261" s="601"/>
      <c r="Q261" s="13">
        <f t="shared" si="66"/>
        <v>1</v>
      </c>
      <c r="R261" s="597">
        <f t="shared" si="71"/>
        <v>0</v>
      </c>
      <c r="S261" s="250">
        <f t="shared" si="72"/>
        <v>0</v>
      </c>
      <c r="T261" s="901">
        <f t="shared" si="73"/>
        <v>0</v>
      </c>
      <c r="U261" s="2988">
        <f t="shared" si="67"/>
        <v>0</v>
      </c>
      <c r="V261" s="2988">
        <f t="shared" si="68"/>
        <v>0</v>
      </c>
      <c r="W261" s="998"/>
      <c r="X261" s="2988">
        <f t="shared" si="69"/>
        <v>0</v>
      </c>
      <c r="Y261" s="2988">
        <f t="shared" si="70"/>
        <v>0</v>
      </c>
      <c r="Z261" s="998"/>
    </row>
    <row r="262" spans="1:26">
      <c r="A262" s="35"/>
      <c r="B262" s="20"/>
      <c r="C262" s="13">
        <f t="shared" si="59"/>
        <v>1</v>
      </c>
      <c r="D262" s="601"/>
      <c r="E262" s="13">
        <f t="shared" si="60"/>
        <v>1</v>
      </c>
      <c r="F262" s="601"/>
      <c r="G262" s="13">
        <f t="shared" si="61"/>
        <v>1</v>
      </c>
      <c r="H262" s="601"/>
      <c r="I262" s="13">
        <f t="shared" si="62"/>
        <v>1</v>
      </c>
      <c r="J262" s="601"/>
      <c r="K262" s="13">
        <f t="shared" si="63"/>
        <v>1</v>
      </c>
      <c r="L262" s="601"/>
      <c r="M262" s="13">
        <f t="shared" si="64"/>
        <v>1</v>
      </c>
      <c r="N262" s="601"/>
      <c r="O262" s="13">
        <f t="shared" si="65"/>
        <v>1</v>
      </c>
      <c r="P262" s="601"/>
      <c r="Q262" s="13">
        <f t="shared" si="66"/>
        <v>1</v>
      </c>
      <c r="R262" s="597">
        <f t="shared" si="71"/>
        <v>0</v>
      </c>
      <c r="S262" s="250">
        <f t="shared" si="72"/>
        <v>0</v>
      </c>
      <c r="T262" s="901">
        <f t="shared" si="73"/>
        <v>0</v>
      </c>
      <c r="U262" s="2988">
        <f t="shared" si="67"/>
        <v>0</v>
      </c>
      <c r="V262" s="2988">
        <f t="shared" si="68"/>
        <v>0</v>
      </c>
      <c r="W262" s="998"/>
      <c r="X262" s="2988">
        <f t="shared" si="69"/>
        <v>0</v>
      </c>
      <c r="Y262" s="2988">
        <f t="shared" si="70"/>
        <v>0</v>
      </c>
      <c r="Z262" s="998"/>
    </row>
    <row r="263" spans="1:26">
      <c r="A263" s="35"/>
      <c r="B263" s="20"/>
      <c r="C263" s="13">
        <f t="shared" si="59"/>
        <v>1</v>
      </c>
      <c r="D263" s="601"/>
      <c r="E263" s="13">
        <f t="shared" si="60"/>
        <v>1</v>
      </c>
      <c r="F263" s="601"/>
      <c r="G263" s="13">
        <f t="shared" si="61"/>
        <v>1</v>
      </c>
      <c r="H263" s="601"/>
      <c r="I263" s="13">
        <f t="shared" si="62"/>
        <v>1</v>
      </c>
      <c r="J263" s="601"/>
      <c r="K263" s="13">
        <f t="shared" si="63"/>
        <v>1</v>
      </c>
      <c r="L263" s="601"/>
      <c r="M263" s="13">
        <f t="shared" si="64"/>
        <v>1</v>
      </c>
      <c r="N263" s="601"/>
      <c r="O263" s="13">
        <f t="shared" si="65"/>
        <v>1</v>
      </c>
      <c r="P263" s="601"/>
      <c r="Q263" s="13">
        <f t="shared" si="66"/>
        <v>1</v>
      </c>
      <c r="R263" s="597">
        <f t="shared" si="71"/>
        <v>0</v>
      </c>
      <c r="S263" s="250">
        <f t="shared" si="72"/>
        <v>0</v>
      </c>
      <c r="T263" s="901">
        <f t="shared" si="73"/>
        <v>0</v>
      </c>
      <c r="U263" s="2988">
        <f t="shared" si="67"/>
        <v>0</v>
      </c>
      <c r="V263" s="2988">
        <f t="shared" si="68"/>
        <v>0</v>
      </c>
      <c r="W263" s="998"/>
      <c r="X263" s="2988">
        <f t="shared" si="69"/>
        <v>0</v>
      </c>
      <c r="Y263" s="2988">
        <f t="shared" si="70"/>
        <v>0</v>
      </c>
      <c r="Z263" s="998"/>
    </row>
    <row r="264" spans="1:26">
      <c r="A264" s="35"/>
      <c r="B264" s="20"/>
      <c r="C264" s="13">
        <f t="shared" si="59"/>
        <v>1</v>
      </c>
      <c r="D264" s="601"/>
      <c r="E264" s="13">
        <f t="shared" si="60"/>
        <v>1</v>
      </c>
      <c r="F264" s="601"/>
      <c r="G264" s="13">
        <f t="shared" si="61"/>
        <v>1</v>
      </c>
      <c r="H264" s="601"/>
      <c r="I264" s="13">
        <f t="shared" si="62"/>
        <v>1</v>
      </c>
      <c r="J264" s="601"/>
      <c r="K264" s="13">
        <f t="shared" si="63"/>
        <v>1</v>
      </c>
      <c r="L264" s="601"/>
      <c r="M264" s="13">
        <f t="shared" si="64"/>
        <v>1</v>
      </c>
      <c r="N264" s="601"/>
      <c r="O264" s="13">
        <f t="shared" si="65"/>
        <v>1</v>
      </c>
      <c r="P264" s="601"/>
      <c r="Q264" s="13">
        <f t="shared" si="66"/>
        <v>1</v>
      </c>
      <c r="R264" s="597">
        <f t="shared" si="71"/>
        <v>0</v>
      </c>
      <c r="S264" s="250">
        <f t="shared" si="72"/>
        <v>0</v>
      </c>
      <c r="T264" s="901">
        <f t="shared" si="73"/>
        <v>0</v>
      </c>
      <c r="U264" s="2988">
        <f t="shared" si="67"/>
        <v>0</v>
      </c>
      <c r="V264" s="2988">
        <f t="shared" si="68"/>
        <v>0</v>
      </c>
      <c r="W264" s="998"/>
      <c r="X264" s="2988">
        <f t="shared" si="69"/>
        <v>0</v>
      </c>
      <c r="Y264" s="2988">
        <f t="shared" si="70"/>
        <v>0</v>
      </c>
      <c r="Z264" s="998"/>
    </row>
    <row r="265" spans="1:26">
      <c r="A265" s="35"/>
      <c r="B265" s="20"/>
      <c r="C265" s="13">
        <f t="shared" si="59"/>
        <v>1</v>
      </c>
      <c r="D265" s="601"/>
      <c r="E265" s="13">
        <f t="shared" si="60"/>
        <v>1</v>
      </c>
      <c r="F265" s="601"/>
      <c r="G265" s="13">
        <f t="shared" si="61"/>
        <v>1</v>
      </c>
      <c r="H265" s="601"/>
      <c r="I265" s="13">
        <f t="shared" si="62"/>
        <v>1</v>
      </c>
      <c r="J265" s="601"/>
      <c r="K265" s="13">
        <f t="shared" si="63"/>
        <v>1</v>
      </c>
      <c r="L265" s="601"/>
      <c r="M265" s="13">
        <f t="shared" si="64"/>
        <v>1</v>
      </c>
      <c r="N265" s="601"/>
      <c r="O265" s="13">
        <f t="shared" si="65"/>
        <v>1</v>
      </c>
      <c r="P265" s="601"/>
      <c r="Q265" s="13">
        <f t="shared" si="66"/>
        <v>1</v>
      </c>
      <c r="R265" s="597">
        <f t="shared" si="71"/>
        <v>0</v>
      </c>
      <c r="S265" s="250">
        <f t="shared" si="72"/>
        <v>0</v>
      </c>
      <c r="T265" s="901">
        <f t="shared" si="73"/>
        <v>0</v>
      </c>
      <c r="U265" s="2988">
        <f t="shared" si="67"/>
        <v>0</v>
      </c>
      <c r="V265" s="2988">
        <f t="shared" si="68"/>
        <v>0</v>
      </c>
      <c r="W265" s="998"/>
      <c r="X265" s="2988">
        <f t="shared" si="69"/>
        <v>0</v>
      </c>
      <c r="Y265" s="2988">
        <f t="shared" si="70"/>
        <v>0</v>
      </c>
      <c r="Z265" s="998"/>
    </row>
    <row r="266" spans="1:26">
      <c r="A266" s="35"/>
      <c r="B266" s="20"/>
      <c r="C266" s="13">
        <f t="shared" si="59"/>
        <v>1</v>
      </c>
      <c r="D266" s="601"/>
      <c r="E266" s="13">
        <f t="shared" si="60"/>
        <v>1</v>
      </c>
      <c r="F266" s="601"/>
      <c r="G266" s="13">
        <f t="shared" si="61"/>
        <v>1</v>
      </c>
      <c r="H266" s="601"/>
      <c r="I266" s="13">
        <f t="shared" si="62"/>
        <v>1</v>
      </c>
      <c r="J266" s="601"/>
      <c r="K266" s="13">
        <f t="shared" si="63"/>
        <v>1</v>
      </c>
      <c r="L266" s="601"/>
      <c r="M266" s="13">
        <f t="shared" si="64"/>
        <v>1</v>
      </c>
      <c r="N266" s="601"/>
      <c r="O266" s="13">
        <f t="shared" si="65"/>
        <v>1</v>
      </c>
      <c r="P266" s="601"/>
      <c r="Q266" s="13">
        <f t="shared" si="66"/>
        <v>1</v>
      </c>
      <c r="R266" s="597">
        <f t="shared" si="71"/>
        <v>0</v>
      </c>
      <c r="S266" s="250">
        <f t="shared" si="72"/>
        <v>0</v>
      </c>
      <c r="T266" s="901">
        <f t="shared" si="73"/>
        <v>0</v>
      </c>
      <c r="U266" s="2988">
        <f t="shared" si="67"/>
        <v>0</v>
      </c>
      <c r="V266" s="2988">
        <f t="shared" si="68"/>
        <v>0</v>
      </c>
      <c r="W266" s="998"/>
      <c r="X266" s="2988">
        <f t="shared" si="69"/>
        <v>0</v>
      </c>
      <c r="Y266" s="2988">
        <f t="shared" si="70"/>
        <v>0</v>
      </c>
      <c r="Z266" s="998"/>
    </row>
    <row r="267" spans="1:26">
      <c r="A267" s="35"/>
      <c r="B267" s="20"/>
      <c r="C267" s="13">
        <f t="shared" si="59"/>
        <v>1</v>
      </c>
      <c r="D267" s="601"/>
      <c r="E267" s="13">
        <f t="shared" si="60"/>
        <v>1</v>
      </c>
      <c r="F267" s="601"/>
      <c r="G267" s="13">
        <f t="shared" si="61"/>
        <v>1</v>
      </c>
      <c r="H267" s="601"/>
      <c r="I267" s="13">
        <f t="shared" si="62"/>
        <v>1</v>
      </c>
      <c r="J267" s="601"/>
      <c r="K267" s="13">
        <f t="shared" si="63"/>
        <v>1</v>
      </c>
      <c r="L267" s="601"/>
      <c r="M267" s="13">
        <f t="shared" si="64"/>
        <v>1</v>
      </c>
      <c r="N267" s="601"/>
      <c r="O267" s="13">
        <f t="shared" si="65"/>
        <v>1</v>
      </c>
      <c r="P267" s="601"/>
      <c r="Q267" s="13">
        <f t="shared" si="66"/>
        <v>1</v>
      </c>
      <c r="R267" s="597">
        <f t="shared" si="71"/>
        <v>0</v>
      </c>
      <c r="S267" s="250">
        <f t="shared" si="72"/>
        <v>0</v>
      </c>
      <c r="T267" s="901">
        <f t="shared" si="73"/>
        <v>0</v>
      </c>
      <c r="U267" s="2988">
        <f t="shared" si="67"/>
        <v>0</v>
      </c>
      <c r="V267" s="2988">
        <f t="shared" si="68"/>
        <v>0</v>
      </c>
      <c r="W267" s="998"/>
      <c r="X267" s="2988">
        <f t="shared" si="69"/>
        <v>0</v>
      </c>
      <c r="Y267" s="2988">
        <f t="shared" si="70"/>
        <v>0</v>
      </c>
      <c r="Z267" s="998"/>
    </row>
    <row r="268" spans="1:26">
      <c r="A268" s="35"/>
      <c r="B268" s="20"/>
      <c r="C268" s="13">
        <f t="shared" si="59"/>
        <v>1</v>
      </c>
      <c r="D268" s="601"/>
      <c r="E268" s="13">
        <f t="shared" si="60"/>
        <v>1</v>
      </c>
      <c r="F268" s="601"/>
      <c r="G268" s="13">
        <f t="shared" si="61"/>
        <v>1</v>
      </c>
      <c r="H268" s="601"/>
      <c r="I268" s="13">
        <f t="shared" si="62"/>
        <v>1</v>
      </c>
      <c r="J268" s="601"/>
      <c r="K268" s="13">
        <f t="shared" si="63"/>
        <v>1</v>
      </c>
      <c r="L268" s="601"/>
      <c r="M268" s="13">
        <f t="shared" si="64"/>
        <v>1</v>
      </c>
      <c r="N268" s="601"/>
      <c r="O268" s="13">
        <f t="shared" si="65"/>
        <v>1</v>
      </c>
      <c r="P268" s="601"/>
      <c r="Q268" s="13">
        <f t="shared" si="66"/>
        <v>1</v>
      </c>
      <c r="R268" s="597">
        <f t="shared" si="71"/>
        <v>0</v>
      </c>
      <c r="S268" s="250">
        <f t="shared" si="72"/>
        <v>0</v>
      </c>
      <c r="T268" s="901">
        <f t="shared" si="73"/>
        <v>0</v>
      </c>
      <c r="U268" s="2988">
        <f t="shared" si="67"/>
        <v>0</v>
      </c>
      <c r="V268" s="2988">
        <f t="shared" si="68"/>
        <v>0</v>
      </c>
      <c r="W268" s="998"/>
      <c r="X268" s="2988">
        <f t="shared" si="69"/>
        <v>0</v>
      </c>
      <c r="Y268" s="2988">
        <f t="shared" si="70"/>
        <v>0</v>
      </c>
      <c r="Z268" s="998"/>
    </row>
    <row r="269" spans="1:26">
      <c r="A269" s="35"/>
      <c r="B269" s="20"/>
      <c r="C269" s="13">
        <f t="shared" si="59"/>
        <v>1</v>
      </c>
      <c r="D269" s="601"/>
      <c r="E269" s="13">
        <f t="shared" si="60"/>
        <v>1</v>
      </c>
      <c r="F269" s="601"/>
      <c r="G269" s="13">
        <f t="shared" si="61"/>
        <v>1</v>
      </c>
      <c r="H269" s="601"/>
      <c r="I269" s="13">
        <f t="shared" si="62"/>
        <v>1</v>
      </c>
      <c r="J269" s="601"/>
      <c r="K269" s="13">
        <f t="shared" si="63"/>
        <v>1</v>
      </c>
      <c r="L269" s="601"/>
      <c r="M269" s="13">
        <f t="shared" si="64"/>
        <v>1</v>
      </c>
      <c r="N269" s="601"/>
      <c r="O269" s="13">
        <f t="shared" si="65"/>
        <v>1</v>
      </c>
      <c r="P269" s="601"/>
      <c r="Q269" s="13">
        <f t="shared" si="66"/>
        <v>1</v>
      </c>
      <c r="R269" s="597">
        <f t="shared" si="71"/>
        <v>0</v>
      </c>
      <c r="S269" s="250">
        <f t="shared" si="72"/>
        <v>0</v>
      </c>
      <c r="T269" s="901">
        <f t="shared" si="73"/>
        <v>0</v>
      </c>
      <c r="U269" s="2988">
        <f t="shared" si="67"/>
        <v>0</v>
      </c>
      <c r="V269" s="2988">
        <f t="shared" si="68"/>
        <v>0</v>
      </c>
      <c r="W269" s="998"/>
      <c r="X269" s="2988">
        <f t="shared" si="69"/>
        <v>0</v>
      </c>
      <c r="Y269" s="2988">
        <f t="shared" si="70"/>
        <v>0</v>
      </c>
      <c r="Z269" s="998"/>
    </row>
    <row r="270" spans="1:26">
      <c r="A270" s="35"/>
      <c r="B270" s="20"/>
      <c r="C270" s="13">
        <f t="shared" si="59"/>
        <v>1</v>
      </c>
      <c r="D270" s="601"/>
      <c r="E270" s="13">
        <f t="shared" si="60"/>
        <v>1</v>
      </c>
      <c r="F270" s="601"/>
      <c r="G270" s="13">
        <f t="shared" si="61"/>
        <v>1</v>
      </c>
      <c r="H270" s="601"/>
      <c r="I270" s="13">
        <f t="shared" si="62"/>
        <v>1</v>
      </c>
      <c r="J270" s="601"/>
      <c r="K270" s="13">
        <f t="shared" si="63"/>
        <v>1</v>
      </c>
      <c r="L270" s="601"/>
      <c r="M270" s="13">
        <f t="shared" si="64"/>
        <v>1</v>
      </c>
      <c r="N270" s="601"/>
      <c r="O270" s="13">
        <f t="shared" si="65"/>
        <v>1</v>
      </c>
      <c r="P270" s="601"/>
      <c r="Q270" s="13">
        <f t="shared" si="66"/>
        <v>1</v>
      </c>
      <c r="R270" s="597">
        <f t="shared" si="71"/>
        <v>0</v>
      </c>
      <c r="S270" s="250">
        <f t="shared" si="72"/>
        <v>0</v>
      </c>
      <c r="T270" s="901">
        <f t="shared" si="73"/>
        <v>0</v>
      </c>
      <c r="U270" s="2988">
        <f t="shared" si="67"/>
        <v>0</v>
      </c>
      <c r="V270" s="2988">
        <f t="shared" si="68"/>
        <v>0</v>
      </c>
      <c r="W270" s="998"/>
      <c r="X270" s="2988">
        <f t="shared" si="69"/>
        <v>0</v>
      </c>
      <c r="Y270" s="2988">
        <f t="shared" si="70"/>
        <v>0</v>
      </c>
      <c r="Z270" s="998"/>
    </row>
    <row r="271" spans="1:26">
      <c r="A271" s="35"/>
      <c r="B271" s="20"/>
      <c r="C271" s="13">
        <f t="shared" si="59"/>
        <v>1</v>
      </c>
      <c r="D271" s="601"/>
      <c r="E271" s="13">
        <f t="shared" si="60"/>
        <v>1</v>
      </c>
      <c r="F271" s="601"/>
      <c r="G271" s="13">
        <f t="shared" si="61"/>
        <v>1</v>
      </c>
      <c r="H271" s="601"/>
      <c r="I271" s="13">
        <f t="shared" si="62"/>
        <v>1</v>
      </c>
      <c r="J271" s="601"/>
      <c r="K271" s="13">
        <f t="shared" si="63"/>
        <v>1</v>
      </c>
      <c r="L271" s="601"/>
      <c r="M271" s="13">
        <f t="shared" si="64"/>
        <v>1</v>
      </c>
      <c r="N271" s="601"/>
      <c r="O271" s="13">
        <f t="shared" si="65"/>
        <v>1</v>
      </c>
      <c r="P271" s="601"/>
      <c r="Q271" s="13">
        <f t="shared" si="66"/>
        <v>1</v>
      </c>
      <c r="R271" s="597">
        <f t="shared" si="71"/>
        <v>0</v>
      </c>
      <c r="S271" s="250">
        <f t="shared" si="72"/>
        <v>0</v>
      </c>
      <c r="T271" s="901">
        <f t="shared" si="73"/>
        <v>0</v>
      </c>
      <c r="U271" s="2988">
        <f t="shared" si="67"/>
        <v>0</v>
      </c>
      <c r="V271" s="2988">
        <f t="shared" si="68"/>
        <v>0</v>
      </c>
      <c r="W271" s="998"/>
      <c r="X271" s="2988">
        <f t="shared" si="69"/>
        <v>0</v>
      </c>
      <c r="Y271" s="2988">
        <f t="shared" si="70"/>
        <v>0</v>
      </c>
      <c r="Z271" s="998"/>
    </row>
    <row r="272" spans="1:26">
      <c r="A272" s="35"/>
      <c r="B272" s="20"/>
      <c r="C272" s="13">
        <f t="shared" si="59"/>
        <v>1</v>
      </c>
      <c r="D272" s="601"/>
      <c r="E272" s="13">
        <f t="shared" si="60"/>
        <v>1</v>
      </c>
      <c r="F272" s="601"/>
      <c r="G272" s="13">
        <f t="shared" si="61"/>
        <v>1</v>
      </c>
      <c r="H272" s="601"/>
      <c r="I272" s="13">
        <f t="shared" si="62"/>
        <v>1</v>
      </c>
      <c r="J272" s="601"/>
      <c r="K272" s="13">
        <f t="shared" si="63"/>
        <v>1</v>
      </c>
      <c r="L272" s="601"/>
      <c r="M272" s="13">
        <f t="shared" si="64"/>
        <v>1</v>
      </c>
      <c r="N272" s="601"/>
      <c r="O272" s="13">
        <f t="shared" si="65"/>
        <v>1</v>
      </c>
      <c r="P272" s="601"/>
      <c r="Q272" s="13">
        <f t="shared" si="66"/>
        <v>1</v>
      </c>
      <c r="R272" s="597">
        <f t="shared" si="71"/>
        <v>0</v>
      </c>
      <c r="S272" s="250">
        <f t="shared" si="72"/>
        <v>0</v>
      </c>
      <c r="T272" s="901">
        <f t="shared" si="73"/>
        <v>0</v>
      </c>
      <c r="U272" s="2988">
        <f t="shared" si="67"/>
        <v>0</v>
      </c>
      <c r="V272" s="2988">
        <f t="shared" si="68"/>
        <v>0</v>
      </c>
      <c r="W272" s="998"/>
      <c r="X272" s="2988">
        <f t="shared" si="69"/>
        <v>0</v>
      </c>
      <c r="Y272" s="2988">
        <f t="shared" si="70"/>
        <v>0</v>
      </c>
      <c r="Z272" s="998"/>
    </row>
    <row r="273" spans="1:26">
      <c r="A273" s="35"/>
      <c r="B273" s="20"/>
      <c r="C273" s="13">
        <f t="shared" si="59"/>
        <v>1</v>
      </c>
      <c r="D273" s="601"/>
      <c r="E273" s="13">
        <f t="shared" si="60"/>
        <v>1</v>
      </c>
      <c r="F273" s="601"/>
      <c r="G273" s="13">
        <f t="shared" si="61"/>
        <v>1</v>
      </c>
      <c r="H273" s="601"/>
      <c r="I273" s="13">
        <f t="shared" si="62"/>
        <v>1</v>
      </c>
      <c r="J273" s="601"/>
      <c r="K273" s="13">
        <f t="shared" si="63"/>
        <v>1</v>
      </c>
      <c r="L273" s="601"/>
      <c r="M273" s="13">
        <f t="shared" si="64"/>
        <v>1</v>
      </c>
      <c r="N273" s="601"/>
      <c r="O273" s="13">
        <f t="shared" si="65"/>
        <v>1</v>
      </c>
      <c r="P273" s="601"/>
      <c r="Q273" s="13">
        <f t="shared" si="66"/>
        <v>1</v>
      </c>
      <c r="R273" s="597">
        <f t="shared" si="71"/>
        <v>0</v>
      </c>
      <c r="S273" s="250">
        <f t="shared" si="72"/>
        <v>0</v>
      </c>
      <c r="T273" s="901">
        <f t="shared" si="73"/>
        <v>0</v>
      </c>
      <c r="U273" s="2988">
        <f t="shared" si="67"/>
        <v>0</v>
      </c>
      <c r="V273" s="2988">
        <f t="shared" si="68"/>
        <v>0</v>
      </c>
      <c r="W273" s="998"/>
      <c r="X273" s="2988">
        <f t="shared" si="69"/>
        <v>0</v>
      </c>
      <c r="Y273" s="2988">
        <f t="shared" si="70"/>
        <v>0</v>
      </c>
      <c r="Z273" s="998"/>
    </row>
    <row r="274" spans="1:26">
      <c r="A274" s="35"/>
      <c r="B274" s="20"/>
      <c r="C274" s="13">
        <f t="shared" si="59"/>
        <v>1</v>
      </c>
      <c r="D274" s="601"/>
      <c r="E274" s="13">
        <f t="shared" si="60"/>
        <v>1</v>
      </c>
      <c r="F274" s="601"/>
      <c r="G274" s="13">
        <f t="shared" si="61"/>
        <v>1</v>
      </c>
      <c r="H274" s="601"/>
      <c r="I274" s="13">
        <f t="shared" si="62"/>
        <v>1</v>
      </c>
      <c r="J274" s="601"/>
      <c r="K274" s="13">
        <f t="shared" si="63"/>
        <v>1</v>
      </c>
      <c r="L274" s="601"/>
      <c r="M274" s="13">
        <f t="shared" si="64"/>
        <v>1</v>
      </c>
      <c r="N274" s="601"/>
      <c r="O274" s="13">
        <f t="shared" si="65"/>
        <v>1</v>
      </c>
      <c r="P274" s="601"/>
      <c r="Q274" s="13">
        <f t="shared" si="66"/>
        <v>1</v>
      </c>
      <c r="R274" s="597">
        <f t="shared" si="71"/>
        <v>0</v>
      </c>
      <c r="S274" s="250">
        <f t="shared" si="72"/>
        <v>0</v>
      </c>
      <c r="T274" s="901">
        <f t="shared" si="73"/>
        <v>0</v>
      </c>
      <c r="U274" s="2988">
        <f t="shared" si="67"/>
        <v>0</v>
      </c>
      <c r="V274" s="2988">
        <f t="shared" si="68"/>
        <v>0</v>
      </c>
      <c r="W274" s="998"/>
      <c r="X274" s="2988">
        <f t="shared" si="69"/>
        <v>0</v>
      </c>
      <c r="Y274" s="2988">
        <f t="shared" si="70"/>
        <v>0</v>
      </c>
      <c r="Z274" s="998"/>
    </row>
    <row r="275" spans="1:26">
      <c r="A275" s="35"/>
      <c r="B275" s="20"/>
      <c r="C275" s="13">
        <f t="shared" si="59"/>
        <v>1</v>
      </c>
      <c r="D275" s="601"/>
      <c r="E275" s="13">
        <f t="shared" si="60"/>
        <v>1</v>
      </c>
      <c r="F275" s="601"/>
      <c r="G275" s="13">
        <f t="shared" si="61"/>
        <v>1</v>
      </c>
      <c r="H275" s="601"/>
      <c r="I275" s="13">
        <f t="shared" si="62"/>
        <v>1</v>
      </c>
      <c r="J275" s="601"/>
      <c r="K275" s="13">
        <f t="shared" si="63"/>
        <v>1</v>
      </c>
      <c r="L275" s="601"/>
      <c r="M275" s="13">
        <f t="shared" si="64"/>
        <v>1</v>
      </c>
      <c r="N275" s="601"/>
      <c r="O275" s="13">
        <f t="shared" si="65"/>
        <v>1</v>
      </c>
      <c r="P275" s="601"/>
      <c r="Q275" s="13">
        <f t="shared" si="66"/>
        <v>1</v>
      </c>
      <c r="R275" s="597">
        <f t="shared" si="71"/>
        <v>0</v>
      </c>
      <c r="S275" s="250">
        <f t="shared" si="72"/>
        <v>0</v>
      </c>
      <c r="T275" s="901">
        <f t="shared" si="73"/>
        <v>0</v>
      </c>
      <c r="U275" s="2988">
        <f t="shared" si="67"/>
        <v>0</v>
      </c>
      <c r="V275" s="2988">
        <f t="shared" si="68"/>
        <v>0</v>
      </c>
      <c r="W275" s="998"/>
      <c r="X275" s="2988">
        <f t="shared" si="69"/>
        <v>0</v>
      </c>
      <c r="Y275" s="2988">
        <f t="shared" si="70"/>
        <v>0</v>
      </c>
      <c r="Z275" s="998"/>
    </row>
    <row r="276" spans="1:26">
      <c r="A276" s="35"/>
      <c r="B276" s="20"/>
      <c r="C276" s="13">
        <f t="shared" si="59"/>
        <v>1</v>
      </c>
      <c r="D276" s="601"/>
      <c r="E276" s="13">
        <f t="shared" si="60"/>
        <v>1</v>
      </c>
      <c r="F276" s="601"/>
      <c r="G276" s="13">
        <f t="shared" si="61"/>
        <v>1</v>
      </c>
      <c r="H276" s="601"/>
      <c r="I276" s="13">
        <f t="shared" si="62"/>
        <v>1</v>
      </c>
      <c r="J276" s="601"/>
      <c r="K276" s="13">
        <f t="shared" si="63"/>
        <v>1</v>
      </c>
      <c r="L276" s="601"/>
      <c r="M276" s="13">
        <f t="shared" si="64"/>
        <v>1</v>
      </c>
      <c r="N276" s="601"/>
      <c r="O276" s="13">
        <f t="shared" si="65"/>
        <v>1</v>
      </c>
      <c r="P276" s="601"/>
      <c r="Q276" s="13">
        <f t="shared" si="66"/>
        <v>1</v>
      </c>
      <c r="R276" s="597">
        <f t="shared" si="71"/>
        <v>0</v>
      </c>
      <c r="S276" s="250">
        <f t="shared" si="72"/>
        <v>0</v>
      </c>
      <c r="T276" s="901">
        <f t="shared" si="73"/>
        <v>0</v>
      </c>
      <c r="U276" s="2988">
        <f t="shared" si="67"/>
        <v>0</v>
      </c>
      <c r="V276" s="2988">
        <f t="shared" si="68"/>
        <v>0</v>
      </c>
      <c r="W276" s="998"/>
      <c r="X276" s="2988">
        <f t="shared" si="69"/>
        <v>0</v>
      </c>
      <c r="Y276" s="2988">
        <f t="shared" si="70"/>
        <v>0</v>
      </c>
      <c r="Z276" s="998"/>
    </row>
    <row r="277" spans="1:26">
      <c r="A277" s="35"/>
      <c r="B277" s="20"/>
      <c r="C277" s="13">
        <f t="shared" si="59"/>
        <v>1</v>
      </c>
      <c r="D277" s="601"/>
      <c r="E277" s="13">
        <f t="shared" si="60"/>
        <v>1</v>
      </c>
      <c r="F277" s="601"/>
      <c r="G277" s="13">
        <f t="shared" si="61"/>
        <v>1</v>
      </c>
      <c r="H277" s="601"/>
      <c r="I277" s="13">
        <f t="shared" si="62"/>
        <v>1</v>
      </c>
      <c r="J277" s="601"/>
      <c r="K277" s="13">
        <f t="shared" si="63"/>
        <v>1</v>
      </c>
      <c r="L277" s="601"/>
      <c r="M277" s="13">
        <f t="shared" si="64"/>
        <v>1</v>
      </c>
      <c r="N277" s="601"/>
      <c r="O277" s="13">
        <f t="shared" si="65"/>
        <v>1</v>
      </c>
      <c r="P277" s="601"/>
      <c r="Q277" s="13">
        <f t="shared" si="66"/>
        <v>1</v>
      </c>
      <c r="R277" s="597">
        <f t="shared" si="71"/>
        <v>0</v>
      </c>
      <c r="S277" s="250">
        <f t="shared" si="72"/>
        <v>0</v>
      </c>
      <c r="T277" s="901">
        <f t="shared" si="73"/>
        <v>0</v>
      </c>
      <c r="U277" s="2988">
        <f t="shared" si="67"/>
        <v>0</v>
      </c>
      <c r="V277" s="2988">
        <f t="shared" si="68"/>
        <v>0</v>
      </c>
      <c r="W277" s="998"/>
      <c r="X277" s="2988">
        <f t="shared" si="69"/>
        <v>0</v>
      </c>
      <c r="Y277" s="2988">
        <f t="shared" si="70"/>
        <v>0</v>
      </c>
      <c r="Z277" s="998"/>
    </row>
    <row r="278" spans="1:26">
      <c r="A278" s="35"/>
      <c r="B278" s="20"/>
      <c r="C278" s="13">
        <f t="shared" si="59"/>
        <v>1</v>
      </c>
      <c r="D278" s="601"/>
      <c r="E278" s="13">
        <f t="shared" si="60"/>
        <v>1</v>
      </c>
      <c r="F278" s="601"/>
      <c r="G278" s="13">
        <f t="shared" si="61"/>
        <v>1</v>
      </c>
      <c r="H278" s="601"/>
      <c r="I278" s="13">
        <f t="shared" si="62"/>
        <v>1</v>
      </c>
      <c r="J278" s="601"/>
      <c r="K278" s="13">
        <f t="shared" si="63"/>
        <v>1</v>
      </c>
      <c r="L278" s="601"/>
      <c r="M278" s="13">
        <f t="shared" si="64"/>
        <v>1</v>
      </c>
      <c r="N278" s="601"/>
      <c r="O278" s="13">
        <f t="shared" si="65"/>
        <v>1</v>
      </c>
      <c r="P278" s="601"/>
      <c r="Q278" s="13">
        <f t="shared" si="66"/>
        <v>1</v>
      </c>
      <c r="R278" s="597">
        <f t="shared" si="71"/>
        <v>0</v>
      </c>
      <c r="S278" s="250">
        <f t="shared" si="72"/>
        <v>0</v>
      </c>
      <c r="T278" s="901">
        <f t="shared" si="73"/>
        <v>0</v>
      </c>
      <c r="U278" s="2988">
        <f t="shared" si="67"/>
        <v>0</v>
      </c>
      <c r="V278" s="2988">
        <f t="shared" si="68"/>
        <v>0</v>
      </c>
      <c r="W278" s="998"/>
      <c r="X278" s="2988">
        <f t="shared" si="69"/>
        <v>0</v>
      </c>
      <c r="Y278" s="2988">
        <f t="shared" si="70"/>
        <v>0</v>
      </c>
      <c r="Z278" s="998"/>
    </row>
    <row r="279" spans="1:26">
      <c r="A279" s="35"/>
      <c r="B279" s="20"/>
      <c r="C279" s="13">
        <f t="shared" si="59"/>
        <v>1</v>
      </c>
      <c r="D279" s="601"/>
      <c r="E279" s="13">
        <f t="shared" si="60"/>
        <v>1</v>
      </c>
      <c r="F279" s="601"/>
      <c r="G279" s="13">
        <f t="shared" si="61"/>
        <v>1</v>
      </c>
      <c r="H279" s="601"/>
      <c r="I279" s="13">
        <f t="shared" si="62"/>
        <v>1</v>
      </c>
      <c r="J279" s="601"/>
      <c r="K279" s="13">
        <f t="shared" si="63"/>
        <v>1</v>
      </c>
      <c r="L279" s="601"/>
      <c r="M279" s="13">
        <f t="shared" si="64"/>
        <v>1</v>
      </c>
      <c r="N279" s="601"/>
      <c r="O279" s="13">
        <f t="shared" si="65"/>
        <v>1</v>
      </c>
      <c r="P279" s="601"/>
      <c r="Q279" s="13">
        <f t="shared" si="66"/>
        <v>1</v>
      </c>
      <c r="R279" s="597">
        <f t="shared" si="71"/>
        <v>0</v>
      </c>
      <c r="S279" s="250">
        <f t="shared" si="72"/>
        <v>0</v>
      </c>
      <c r="T279" s="901">
        <f t="shared" si="73"/>
        <v>0</v>
      </c>
      <c r="U279" s="2988">
        <f t="shared" si="67"/>
        <v>0</v>
      </c>
      <c r="V279" s="2988">
        <f t="shared" si="68"/>
        <v>0</v>
      </c>
      <c r="W279" s="998"/>
      <c r="X279" s="2988">
        <f t="shared" si="69"/>
        <v>0</v>
      </c>
      <c r="Y279" s="2988">
        <f t="shared" si="70"/>
        <v>0</v>
      </c>
      <c r="Z279" s="998"/>
    </row>
    <row r="280" spans="1:26">
      <c r="A280" s="35"/>
      <c r="B280" s="20"/>
      <c r="C280" s="13">
        <f t="shared" si="59"/>
        <v>1</v>
      </c>
      <c r="D280" s="601"/>
      <c r="E280" s="13">
        <f t="shared" si="60"/>
        <v>1</v>
      </c>
      <c r="F280" s="601"/>
      <c r="G280" s="13">
        <f t="shared" si="61"/>
        <v>1</v>
      </c>
      <c r="H280" s="601"/>
      <c r="I280" s="13">
        <f t="shared" si="62"/>
        <v>1</v>
      </c>
      <c r="J280" s="601"/>
      <c r="K280" s="13">
        <f t="shared" si="63"/>
        <v>1</v>
      </c>
      <c r="L280" s="601"/>
      <c r="M280" s="13">
        <f t="shared" si="64"/>
        <v>1</v>
      </c>
      <c r="N280" s="601"/>
      <c r="O280" s="13">
        <f t="shared" si="65"/>
        <v>1</v>
      </c>
      <c r="P280" s="601"/>
      <c r="Q280" s="13">
        <f t="shared" si="66"/>
        <v>1</v>
      </c>
      <c r="R280" s="597">
        <f t="shared" si="71"/>
        <v>0</v>
      </c>
      <c r="S280" s="250">
        <f t="shared" si="72"/>
        <v>0</v>
      </c>
      <c r="T280" s="901">
        <f t="shared" si="73"/>
        <v>0</v>
      </c>
      <c r="U280" s="2988">
        <f t="shared" si="67"/>
        <v>0</v>
      </c>
      <c r="V280" s="2988">
        <f t="shared" si="68"/>
        <v>0</v>
      </c>
      <c r="W280" s="998"/>
      <c r="X280" s="2988">
        <f t="shared" si="69"/>
        <v>0</v>
      </c>
      <c r="Y280" s="2988">
        <f t="shared" si="70"/>
        <v>0</v>
      </c>
      <c r="Z280" s="998"/>
    </row>
    <row r="281" spans="1:26">
      <c r="A281" s="35"/>
      <c r="B281" s="20"/>
      <c r="C281" s="13">
        <f t="shared" si="59"/>
        <v>1</v>
      </c>
      <c r="D281" s="601"/>
      <c r="E281" s="13">
        <f t="shared" si="60"/>
        <v>1</v>
      </c>
      <c r="F281" s="601"/>
      <c r="G281" s="13">
        <f t="shared" si="61"/>
        <v>1</v>
      </c>
      <c r="H281" s="601"/>
      <c r="I281" s="13">
        <f t="shared" si="62"/>
        <v>1</v>
      </c>
      <c r="J281" s="601"/>
      <c r="K281" s="13">
        <f t="shared" si="63"/>
        <v>1</v>
      </c>
      <c r="L281" s="601"/>
      <c r="M281" s="13">
        <f t="shared" si="64"/>
        <v>1</v>
      </c>
      <c r="N281" s="601"/>
      <c r="O281" s="13">
        <f t="shared" si="65"/>
        <v>1</v>
      </c>
      <c r="P281" s="601"/>
      <c r="Q281" s="13">
        <f t="shared" si="66"/>
        <v>1</v>
      </c>
      <c r="R281" s="597">
        <f t="shared" si="71"/>
        <v>0</v>
      </c>
      <c r="S281" s="250">
        <f t="shared" si="72"/>
        <v>0</v>
      </c>
      <c r="T281" s="901">
        <f t="shared" si="73"/>
        <v>0</v>
      </c>
      <c r="U281" s="2988">
        <f t="shared" si="67"/>
        <v>0</v>
      </c>
      <c r="V281" s="2988">
        <f t="shared" si="68"/>
        <v>0</v>
      </c>
      <c r="W281" s="998"/>
      <c r="X281" s="2988">
        <f t="shared" si="69"/>
        <v>0</v>
      </c>
      <c r="Y281" s="2988">
        <f t="shared" si="70"/>
        <v>0</v>
      </c>
      <c r="Z281" s="998"/>
    </row>
    <row r="282" spans="1:26">
      <c r="A282" s="35"/>
      <c r="B282" s="20"/>
      <c r="C282" s="13">
        <f t="shared" si="59"/>
        <v>1</v>
      </c>
      <c r="D282" s="601"/>
      <c r="E282" s="13">
        <f t="shared" si="60"/>
        <v>1</v>
      </c>
      <c r="F282" s="601"/>
      <c r="G282" s="13">
        <f t="shared" si="61"/>
        <v>1</v>
      </c>
      <c r="H282" s="601"/>
      <c r="I282" s="13">
        <f t="shared" si="62"/>
        <v>1</v>
      </c>
      <c r="J282" s="601"/>
      <c r="K282" s="13">
        <f t="shared" si="63"/>
        <v>1</v>
      </c>
      <c r="L282" s="601"/>
      <c r="M282" s="13">
        <f t="shared" si="64"/>
        <v>1</v>
      </c>
      <c r="N282" s="601"/>
      <c r="O282" s="13">
        <f t="shared" si="65"/>
        <v>1</v>
      </c>
      <c r="P282" s="601"/>
      <c r="Q282" s="13">
        <f t="shared" si="66"/>
        <v>1</v>
      </c>
      <c r="R282" s="597">
        <f t="shared" si="71"/>
        <v>0</v>
      </c>
      <c r="S282" s="250">
        <f t="shared" si="72"/>
        <v>0</v>
      </c>
      <c r="T282" s="901">
        <f t="shared" si="73"/>
        <v>0</v>
      </c>
      <c r="U282" s="2988">
        <f t="shared" si="67"/>
        <v>0</v>
      </c>
      <c r="V282" s="2988">
        <f t="shared" si="68"/>
        <v>0</v>
      </c>
      <c r="W282" s="998"/>
      <c r="X282" s="2988">
        <f t="shared" si="69"/>
        <v>0</v>
      </c>
      <c r="Y282" s="2988">
        <f t="shared" si="70"/>
        <v>0</v>
      </c>
      <c r="Z282" s="998"/>
    </row>
    <row r="283" spans="1:26">
      <c r="A283" s="35"/>
      <c r="B283" s="20"/>
      <c r="C283" s="13">
        <f t="shared" si="59"/>
        <v>1</v>
      </c>
      <c r="D283" s="601"/>
      <c r="E283" s="13">
        <f t="shared" si="60"/>
        <v>1</v>
      </c>
      <c r="F283" s="601"/>
      <c r="G283" s="13">
        <f t="shared" si="61"/>
        <v>1</v>
      </c>
      <c r="H283" s="601"/>
      <c r="I283" s="13">
        <f t="shared" si="62"/>
        <v>1</v>
      </c>
      <c r="J283" s="601"/>
      <c r="K283" s="13">
        <f t="shared" si="63"/>
        <v>1</v>
      </c>
      <c r="L283" s="601"/>
      <c r="M283" s="13">
        <f t="shared" si="64"/>
        <v>1</v>
      </c>
      <c r="N283" s="601"/>
      <c r="O283" s="13">
        <f t="shared" si="65"/>
        <v>1</v>
      </c>
      <c r="P283" s="601"/>
      <c r="Q283" s="13">
        <f t="shared" si="66"/>
        <v>1</v>
      </c>
      <c r="R283" s="597">
        <f t="shared" si="71"/>
        <v>0</v>
      </c>
      <c r="S283" s="250">
        <f t="shared" si="72"/>
        <v>0</v>
      </c>
      <c r="T283" s="901">
        <f t="shared" si="73"/>
        <v>0</v>
      </c>
      <c r="U283" s="2988">
        <f t="shared" si="67"/>
        <v>0</v>
      </c>
      <c r="V283" s="2988">
        <f t="shared" si="68"/>
        <v>0</v>
      </c>
      <c r="W283" s="998"/>
      <c r="X283" s="2988">
        <f t="shared" si="69"/>
        <v>0</v>
      </c>
      <c r="Y283" s="2988">
        <f t="shared" si="70"/>
        <v>0</v>
      </c>
      <c r="Z283" s="998"/>
    </row>
    <row r="284" spans="1:26">
      <c r="A284" s="35"/>
      <c r="B284" s="20"/>
      <c r="C284" s="13">
        <f t="shared" ref="C284:C347" si="74">IF(B284="",1,(LOOKUP(B284,$6:$6,$7:$7)-LOOKUP($B$27,$6:$6,$7:$7)+100)/100)</f>
        <v>1</v>
      </c>
      <c r="D284" s="601"/>
      <c r="E284" s="13">
        <f t="shared" ref="E284:E347" si="75">(SUMIF($8:$8,D284,$9:$9)-SUMIF($8:$8,$D$27,$9:$9)+100)/100</f>
        <v>1</v>
      </c>
      <c r="F284" s="601"/>
      <c r="G284" s="13">
        <f t="shared" ref="G284:G347" si="76">(SUMIF($10:$10,F284,$11:$11)-SUMIF($10:$10,$F$27,$11:$11)+100)/100</f>
        <v>1</v>
      </c>
      <c r="H284" s="601"/>
      <c r="I284" s="13">
        <f t="shared" ref="I284:I347" si="77">(SUMIF($12:$12,H284,$13:$13)-SUMIF($12:$12,$H$27,$13:$13)+100)/100</f>
        <v>1</v>
      </c>
      <c r="J284" s="601"/>
      <c r="K284" s="13">
        <f t="shared" ref="K284:K347" si="78">(SUMIF($14:$14,J284,$15:$15)-SUMIF($14:$14,$J$27,$15:$15)+100)/100</f>
        <v>1</v>
      </c>
      <c r="L284" s="601"/>
      <c r="M284" s="13">
        <f t="shared" ref="M284:M347" si="79">(SUMIF($16:$16,L284,$17:$17)-SUMIF($16:$16,$L$27,$17:$17)+100)/100</f>
        <v>1</v>
      </c>
      <c r="N284" s="601"/>
      <c r="O284" s="13">
        <f t="shared" ref="O284:O347" si="80">(SUMIF($18:$18,N284,$19:$19)-SUMIF($18:$18,$N$27,$19:$19)+100)/100</f>
        <v>1</v>
      </c>
      <c r="P284" s="601"/>
      <c r="Q284" s="13">
        <f t="shared" ref="Q284:Q347" si="81">(SUMIF($20:$20,P284,$21:$21)-SUMIF($20:$20,$P$27,$21:$21)+100)/100</f>
        <v>1</v>
      </c>
      <c r="R284" s="597">
        <f t="shared" si="71"/>
        <v>0</v>
      </c>
      <c r="S284" s="250">
        <f t="shared" si="72"/>
        <v>0</v>
      </c>
      <c r="T284" s="901">
        <f t="shared" si="73"/>
        <v>0</v>
      </c>
      <c r="U284" s="2988">
        <f t="shared" ref="U284:U347" si="82">ROUND(W284*B284,0)</f>
        <v>0</v>
      </c>
      <c r="V284" s="2988">
        <f t="shared" ref="V284:V347" si="83">ROUND(W284*B284/10000,0)</f>
        <v>0</v>
      </c>
      <c r="W284" s="998"/>
      <c r="X284" s="2988">
        <f t="shared" ref="X284:X347" si="84">ROUND(Z284*B284,0)</f>
        <v>0</v>
      </c>
      <c r="Y284" s="2988">
        <f t="shared" ref="Y284:Y347" si="85">ROUND(Z284*B284/10000,0)</f>
        <v>0</v>
      </c>
      <c r="Z284" s="998"/>
    </row>
    <row r="285" spans="1:26">
      <c r="A285" s="35"/>
      <c r="B285" s="20"/>
      <c r="C285" s="13">
        <f t="shared" si="74"/>
        <v>1</v>
      </c>
      <c r="D285" s="601"/>
      <c r="E285" s="13">
        <f t="shared" si="75"/>
        <v>1</v>
      </c>
      <c r="F285" s="601"/>
      <c r="G285" s="13">
        <f t="shared" si="76"/>
        <v>1</v>
      </c>
      <c r="H285" s="601"/>
      <c r="I285" s="13">
        <f t="shared" si="77"/>
        <v>1</v>
      </c>
      <c r="J285" s="601"/>
      <c r="K285" s="13">
        <f t="shared" si="78"/>
        <v>1</v>
      </c>
      <c r="L285" s="601"/>
      <c r="M285" s="13">
        <f t="shared" si="79"/>
        <v>1</v>
      </c>
      <c r="N285" s="601"/>
      <c r="O285" s="13">
        <f t="shared" si="80"/>
        <v>1</v>
      </c>
      <c r="P285" s="601"/>
      <c r="Q285" s="13">
        <f t="shared" si="81"/>
        <v>1</v>
      </c>
      <c r="R285" s="597">
        <f t="shared" ref="R285:R348" si="86">IF(B285="",0,ROUND($R$27*C285*E285*G285*I285*K285*M285*O285*Q285,0))</f>
        <v>0</v>
      </c>
      <c r="S285" s="250">
        <f t="shared" ref="S285:S348" si="87">ROUND(R285*B285,0)</f>
        <v>0</v>
      </c>
      <c r="T285" s="901">
        <f t="shared" ref="T285:T348" si="88">ROUND(R285*B285/10000,0)</f>
        <v>0</v>
      </c>
      <c r="U285" s="2988">
        <f t="shared" si="82"/>
        <v>0</v>
      </c>
      <c r="V285" s="2988">
        <f t="shared" si="83"/>
        <v>0</v>
      </c>
      <c r="W285" s="998"/>
      <c r="X285" s="2988">
        <f t="shared" si="84"/>
        <v>0</v>
      </c>
      <c r="Y285" s="2988">
        <f t="shared" si="85"/>
        <v>0</v>
      </c>
      <c r="Z285" s="998"/>
    </row>
    <row r="286" spans="1:26">
      <c r="A286" s="35"/>
      <c r="B286" s="20"/>
      <c r="C286" s="13">
        <f t="shared" si="74"/>
        <v>1</v>
      </c>
      <c r="D286" s="601"/>
      <c r="E286" s="13">
        <f t="shared" si="75"/>
        <v>1</v>
      </c>
      <c r="F286" s="601"/>
      <c r="G286" s="13">
        <f t="shared" si="76"/>
        <v>1</v>
      </c>
      <c r="H286" s="601"/>
      <c r="I286" s="13">
        <f t="shared" si="77"/>
        <v>1</v>
      </c>
      <c r="J286" s="601"/>
      <c r="K286" s="13">
        <f t="shared" si="78"/>
        <v>1</v>
      </c>
      <c r="L286" s="601"/>
      <c r="M286" s="13">
        <f t="shared" si="79"/>
        <v>1</v>
      </c>
      <c r="N286" s="601"/>
      <c r="O286" s="13">
        <f t="shared" si="80"/>
        <v>1</v>
      </c>
      <c r="P286" s="601"/>
      <c r="Q286" s="13">
        <f t="shared" si="81"/>
        <v>1</v>
      </c>
      <c r="R286" s="597">
        <f t="shared" si="86"/>
        <v>0</v>
      </c>
      <c r="S286" s="250">
        <f t="shared" si="87"/>
        <v>0</v>
      </c>
      <c r="T286" s="901">
        <f t="shared" si="88"/>
        <v>0</v>
      </c>
      <c r="U286" s="2988">
        <f t="shared" si="82"/>
        <v>0</v>
      </c>
      <c r="V286" s="2988">
        <f t="shared" si="83"/>
        <v>0</v>
      </c>
      <c r="W286" s="998"/>
      <c r="X286" s="2988">
        <f t="shared" si="84"/>
        <v>0</v>
      </c>
      <c r="Y286" s="2988">
        <f t="shared" si="85"/>
        <v>0</v>
      </c>
      <c r="Z286" s="998"/>
    </row>
    <row r="287" spans="1:26">
      <c r="A287" s="35"/>
      <c r="B287" s="20"/>
      <c r="C287" s="13">
        <f t="shared" si="74"/>
        <v>1</v>
      </c>
      <c r="D287" s="601"/>
      <c r="E287" s="13">
        <f t="shared" si="75"/>
        <v>1</v>
      </c>
      <c r="F287" s="601"/>
      <c r="G287" s="13">
        <f t="shared" si="76"/>
        <v>1</v>
      </c>
      <c r="H287" s="601"/>
      <c r="I287" s="13">
        <f t="shared" si="77"/>
        <v>1</v>
      </c>
      <c r="J287" s="601"/>
      <c r="K287" s="13">
        <f t="shared" si="78"/>
        <v>1</v>
      </c>
      <c r="L287" s="601"/>
      <c r="M287" s="13">
        <f t="shared" si="79"/>
        <v>1</v>
      </c>
      <c r="N287" s="601"/>
      <c r="O287" s="13">
        <f t="shared" si="80"/>
        <v>1</v>
      </c>
      <c r="P287" s="601"/>
      <c r="Q287" s="13">
        <f t="shared" si="81"/>
        <v>1</v>
      </c>
      <c r="R287" s="597">
        <f t="shared" si="86"/>
        <v>0</v>
      </c>
      <c r="S287" s="250">
        <f t="shared" si="87"/>
        <v>0</v>
      </c>
      <c r="T287" s="901">
        <f t="shared" si="88"/>
        <v>0</v>
      </c>
      <c r="U287" s="2988">
        <f t="shared" si="82"/>
        <v>0</v>
      </c>
      <c r="V287" s="2988">
        <f t="shared" si="83"/>
        <v>0</v>
      </c>
      <c r="W287" s="998"/>
      <c r="X287" s="2988">
        <f t="shared" si="84"/>
        <v>0</v>
      </c>
      <c r="Y287" s="2988">
        <f t="shared" si="85"/>
        <v>0</v>
      </c>
      <c r="Z287" s="998"/>
    </row>
    <row r="288" spans="1:26">
      <c r="A288" s="35"/>
      <c r="B288" s="20"/>
      <c r="C288" s="13">
        <f t="shared" si="74"/>
        <v>1</v>
      </c>
      <c r="D288" s="601"/>
      <c r="E288" s="13">
        <f t="shared" si="75"/>
        <v>1</v>
      </c>
      <c r="F288" s="601"/>
      <c r="G288" s="13">
        <f t="shared" si="76"/>
        <v>1</v>
      </c>
      <c r="H288" s="601"/>
      <c r="I288" s="13">
        <f t="shared" si="77"/>
        <v>1</v>
      </c>
      <c r="J288" s="601"/>
      <c r="K288" s="13">
        <f t="shared" si="78"/>
        <v>1</v>
      </c>
      <c r="L288" s="601"/>
      <c r="M288" s="13">
        <f t="shared" si="79"/>
        <v>1</v>
      </c>
      <c r="N288" s="601"/>
      <c r="O288" s="13">
        <f t="shared" si="80"/>
        <v>1</v>
      </c>
      <c r="P288" s="601"/>
      <c r="Q288" s="13">
        <f t="shared" si="81"/>
        <v>1</v>
      </c>
      <c r="R288" s="597">
        <f t="shared" si="86"/>
        <v>0</v>
      </c>
      <c r="S288" s="250">
        <f t="shared" si="87"/>
        <v>0</v>
      </c>
      <c r="T288" s="901">
        <f t="shared" si="88"/>
        <v>0</v>
      </c>
      <c r="U288" s="2988">
        <f t="shared" si="82"/>
        <v>0</v>
      </c>
      <c r="V288" s="2988">
        <f t="shared" si="83"/>
        <v>0</v>
      </c>
      <c r="W288" s="998"/>
      <c r="X288" s="2988">
        <f t="shared" si="84"/>
        <v>0</v>
      </c>
      <c r="Y288" s="2988">
        <f t="shared" si="85"/>
        <v>0</v>
      </c>
      <c r="Z288" s="998"/>
    </row>
    <row r="289" spans="1:26">
      <c r="A289" s="35"/>
      <c r="B289" s="20"/>
      <c r="C289" s="13">
        <f t="shared" si="74"/>
        <v>1</v>
      </c>
      <c r="D289" s="601"/>
      <c r="E289" s="13">
        <f t="shared" si="75"/>
        <v>1</v>
      </c>
      <c r="F289" s="601"/>
      <c r="G289" s="13">
        <f t="shared" si="76"/>
        <v>1</v>
      </c>
      <c r="H289" s="601"/>
      <c r="I289" s="13">
        <f t="shared" si="77"/>
        <v>1</v>
      </c>
      <c r="J289" s="601"/>
      <c r="K289" s="13">
        <f t="shared" si="78"/>
        <v>1</v>
      </c>
      <c r="L289" s="601"/>
      <c r="M289" s="13">
        <f t="shared" si="79"/>
        <v>1</v>
      </c>
      <c r="N289" s="601"/>
      <c r="O289" s="13">
        <f t="shared" si="80"/>
        <v>1</v>
      </c>
      <c r="P289" s="601"/>
      <c r="Q289" s="13">
        <f t="shared" si="81"/>
        <v>1</v>
      </c>
      <c r="R289" s="597">
        <f t="shared" si="86"/>
        <v>0</v>
      </c>
      <c r="S289" s="250">
        <f t="shared" si="87"/>
        <v>0</v>
      </c>
      <c r="T289" s="901">
        <f t="shared" si="88"/>
        <v>0</v>
      </c>
      <c r="U289" s="2988">
        <f t="shared" si="82"/>
        <v>0</v>
      </c>
      <c r="V289" s="2988">
        <f t="shared" si="83"/>
        <v>0</v>
      </c>
      <c r="W289" s="998"/>
      <c r="X289" s="2988">
        <f t="shared" si="84"/>
        <v>0</v>
      </c>
      <c r="Y289" s="2988">
        <f t="shared" si="85"/>
        <v>0</v>
      </c>
      <c r="Z289" s="998"/>
    </row>
    <row r="290" spans="1:26">
      <c r="A290" s="35"/>
      <c r="B290" s="20"/>
      <c r="C290" s="13">
        <f t="shared" si="74"/>
        <v>1</v>
      </c>
      <c r="D290" s="601"/>
      <c r="E290" s="13">
        <f t="shared" si="75"/>
        <v>1</v>
      </c>
      <c r="F290" s="601"/>
      <c r="G290" s="13">
        <f t="shared" si="76"/>
        <v>1</v>
      </c>
      <c r="H290" s="601"/>
      <c r="I290" s="13">
        <f t="shared" si="77"/>
        <v>1</v>
      </c>
      <c r="J290" s="601"/>
      <c r="K290" s="13">
        <f t="shared" si="78"/>
        <v>1</v>
      </c>
      <c r="L290" s="601"/>
      <c r="M290" s="13">
        <f t="shared" si="79"/>
        <v>1</v>
      </c>
      <c r="N290" s="601"/>
      <c r="O290" s="13">
        <f t="shared" si="80"/>
        <v>1</v>
      </c>
      <c r="P290" s="601"/>
      <c r="Q290" s="13">
        <f t="shared" si="81"/>
        <v>1</v>
      </c>
      <c r="R290" s="597">
        <f t="shared" si="86"/>
        <v>0</v>
      </c>
      <c r="S290" s="250">
        <f t="shared" si="87"/>
        <v>0</v>
      </c>
      <c r="T290" s="901">
        <f t="shared" si="88"/>
        <v>0</v>
      </c>
      <c r="U290" s="2988">
        <f t="shared" si="82"/>
        <v>0</v>
      </c>
      <c r="V290" s="2988">
        <f t="shared" si="83"/>
        <v>0</v>
      </c>
      <c r="W290" s="998"/>
      <c r="X290" s="2988">
        <f t="shared" si="84"/>
        <v>0</v>
      </c>
      <c r="Y290" s="2988">
        <f t="shared" si="85"/>
        <v>0</v>
      </c>
      <c r="Z290" s="998"/>
    </row>
    <row r="291" spans="1:26">
      <c r="A291" s="35"/>
      <c r="B291" s="20"/>
      <c r="C291" s="13">
        <f t="shared" si="74"/>
        <v>1</v>
      </c>
      <c r="D291" s="601"/>
      <c r="E291" s="13">
        <f t="shared" si="75"/>
        <v>1</v>
      </c>
      <c r="F291" s="601"/>
      <c r="G291" s="13">
        <f t="shared" si="76"/>
        <v>1</v>
      </c>
      <c r="H291" s="601"/>
      <c r="I291" s="13">
        <f t="shared" si="77"/>
        <v>1</v>
      </c>
      <c r="J291" s="601"/>
      <c r="K291" s="13">
        <f t="shared" si="78"/>
        <v>1</v>
      </c>
      <c r="L291" s="601"/>
      <c r="M291" s="13">
        <f t="shared" si="79"/>
        <v>1</v>
      </c>
      <c r="N291" s="601"/>
      <c r="O291" s="13">
        <f t="shared" si="80"/>
        <v>1</v>
      </c>
      <c r="P291" s="601"/>
      <c r="Q291" s="13">
        <f t="shared" si="81"/>
        <v>1</v>
      </c>
      <c r="R291" s="597">
        <f t="shared" si="86"/>
        <v>0</v>
      </c>
      <c r="S291" s="250">
        <f t="shared" si="87"/>
        <v>0</v>
      </c>
      <c r="T291" s="901">
        <f t="shared" si="88"/>
        <v>0</v>
      </c>
      <c r="U291" s="2988">
        <f t="shared" si="82"/>
        <v>0</v>
      </c>
      <c r="V291" s="2988">
        <f t="shared" si="83"/>
        <v>0</v>
      </c>
      <c r="W291" s="998"/>
      <c r="X291" s="2988">
        <f t="shared" si="84"/>
        <v>0</v>
      </c>
      <c r="Y291" s="2988">
        <f t="shared" si="85"/>
        <v>0</v>
      </c>
      <c r="Z291" s="998"/>
    </row>
    <row r="292" spans="1:26">
      <c r="A292" s="35"/>
      <c r="B292" s="20"/>
      <c r="C292" s="13">
        <f t="shared" si="74"/>
        <v>1</v>
      </c>
      <c r="D292" s="601"/>
      <c r="E292" s="13">
        <f t="shared" si="75"/>
        <v>1</v>
      </c>
      <c r="F292" s="601"/>
      <c r="G292" s="13">
        <f t="shared" si="76"/>
        <v>1</v>
      </c>
      <c r="H292" s="601"/>
      <c r="I292" s="13">
        <f t="shared" si="77"/>
        <v>1</v>
      </c>
      <c r="J292" s="601"/>
      <c r="K292" s="13">
        <f t="shared" si="78"/>
        <v>1</v>
      </c>
      <c r="L292" s="601"/>
      <c r="M292" s="13">
        <f t="shared" si="79"/>
        <v>1</v>
      </c>
      <c r="N292" s="601"/>
      <c r="O292" s="13">
        <f t="shared" si="80"/>
        <v>1</v>
      </c>
      <c r="P292" s="601"/>
      <c r="Q292" s="13">
        <f t="shared" si="81"/>
        <v>1</v>
      </c>
      <c r="R292" s="597">
        <f t="shared" si="86"/>
        <v>0</v>
      </c>
      <c r="S292" s="250">
        <f t="shared" si="87"/>
        <v>0</v>
      </c>
      <c r="T292" s="901">
        <f t="shared" si="88"/>
        <v>0</v>
      </c>
      <c r="U292" s="2988">
        <f t="shared" si="82"/>
        <v>0</v>
      </c>
      <c r="V292" s="2988">
        <f t="shared" si="83"/>
        <v>0</v>
      </c>
      <c r="W292" s="998"/>
      <c r="X292" s="2988">
        <f t="shared" si="84"/>
        <v>0</v>
      </c>
      <c r="Y292" s="2988">
        <f t="shared" si="85"/>
        <v>0</v>
      </c>
      <c r="Z292" s="998"/>
    </row>
    <row r="293" spans="1:26">
      <c r="A293" s="35"/>
      <c r="B293" s="20"/>
      <c r="C293" s="13">
        <f t="shared" si="74"/>
        <v>1</v>
      </c>
      <c r="D293" s="601"/>
      <c r="E293" s="13">
        <f t="shared" si="75"/>
        <v>1</v>
      </c>
      <c r="F293" s="601"/>
      <c r="G293" s="13">
        <f t="shared" si="76"/>
        <v>1</v>
      </c>
      <c r="H293" s="601"/>
      <c r="I293" s="13">
        <f t="shared" si="77"/>
        <v>1</v>
      </c>
      <c r="J293" s="601"/>
      <c r="K293" s="13">
        <f t="shared" si="78"/>
        <v>1</v>
      </c>
      <c r="L293" s="601"/>
      <c r="M293" s="13">
        <f t="shared" si="79"/>
        <v>1</v>
      </c>
      <c r="N293" s="601"/>
      <c r="O293" s="13">
        <f t="shared" si="80"/>
        <v>1</v>
      </c>
      <c r="P293" s="601"/>
      <c r="Q293" s="13">
        <f t="shared" si="81"/>
        <v>1</v>
      </c>
      <c r="R293" s="597">
        <f t="shared" si="86"/>
        <v>0</v>
      </c>
      <c r="S293" s="250">
        <f t="shared" si="87"/>
        <v>0</v>
      </c>
      <c r="T293" s="901">
        <f t="shared" si="88"/>
        <v>0</v>
      </c>
      <c r="U293" s="2988">
        <f t="shared" si="82"/>
        <v>0</v>
      </c>
      <c r="V293" s="2988">
        <f t="shared" si="83"/>
        <v>0</v>
      </c>
      <c r="W293" s="998"/>
      <c r="X293" s="2988">
        <f t="shared" si="84"/>
        <v>0</v>
      </c>
      <c r="Y293" s="2988">
        <f t="shared" si="85"/>
        <v>0</v>
      </c>
      <c r="Z293" s="998"/>
    </row>
    <row r="294" spans="1:26">
      <c r="A294" s="35"/>
      <c r="B294" s="20"/>
      <c r="C294" s="13">
        <f t="shared" si="74"/>
        <v>1</v>
      </c>
      <c r="D294" s="601"/>
      <c r="E294" s="13">
        <f t="shared" si="75"/>
        <v>1</v>
      </c>
      <c r="F294" s="601"/>
      <c r="G294" s="13">
        <f t="shared" si="76"/>
        <v>1</v>
      </c>
      <c r="H294" s="601"/>
      <c r="I294" s="13">
        <f t="shared" si="77"/>
        <v>1</v>
      </c>
      <c r="J294" s="601"/>
      <c r="K294" s="13">
        <f t="shared" si="78"/>
        <v>1</v>
      </c>
      <c r="L294" s="601"/>
      <c r="M294" s="13">
        <f t="shared" si="79"/>
        <v>1</v>
      </c>
      <c r="N294" s="601"/>
      <c r="O294" s="13">
        <f t="shared" si="80"/>
        <v>1</v>
      </c>
      <c r="P294" s="601"/>
      <c r="Q294" s="13">
        <f t="shared" si="81"/>
        <v>1</v>
      </c>
      <c r="R294" s="597">
        <f t="shared" si="86"/>
        <v>0</v>
      </c>
      <c r="S294" s="250">
        <f t="shared" si="87"/>
        <v>0</v>
      </c>
      <c r="T294" s="901">
        <f t="shared" si="88"/>
        <v>0</v>
      </c>
      <c r="U294" s="2988">
        <f t="shared" si="82"/>
        <v>0</v>
      </c>
      <c r="V294" s="2988">
        <f t="shared" si="83"/>
        <v>0</v>
      </c>
      <c r="W294" s="998"/>
      <c r="X294" s="2988">
        <f t="shared" si="84"/>
        <v>0</v>
      </c>
      <c r="Y294" s="2988">
        <f t="shared" si="85"/>
        <v>0</v>
      </c>
      <c r="Z294" s="998"/>
    </row>
    <row r="295" spans="1:26">
      <c r="A295" s="35"/>
      <c r="B295" s="20"/>
      <c r="C295" s="13">
        <f t="shared" si="74"/>
        <v>1</v>
      </c>
      <c r="D295" s="601"/>
      <c r="E295" s="13">
        <f t="shared" si="75"/>
        <v>1</v>
      </c>
      <c r="F295" s="601"/>
      <c r="G295" s="13">
        <f t="shared" si="76"/>
        <v>1</v>
      </c>
      <c r="H295" s="601"/>
      <c r="I295" s="13">
        <f t="shared" si="77"/>
        <v>1</v>
      </c>
      <c r="J295" s="601"/>
      <c r="K295" s="13">
        <f t="shared" si="78"/>
        <v>1</v>
      </c>
      <c r="L295" s="601"/>
      <c r="M295" s="13">
        <f t="shared" si="79"/>
        <v>1</v>
      </c>
      <c r="N295" s="601"/>
      <c r="O295" s="13">
        <f t="shared" si="80"/>
        <v>1</v>
      </c>
      <c r="P295" s="601"/>
      <c r="Q295" s="13">
        <f t="shared" si="81"/>
        <v>1</v>
      </c>
      <c r="R295" s="597">
        <f t="shared" si="86"/>
        <v>0</v>
      </c>
      <c r="S295" s="250">
        <f t="shared" si="87"/>
        <v>0</v>
      </c>
      <c r="T295" s="901">
        <f t="shared" si="88"/>
        <v>0</v>
      </c>
      <c r="U295" s="2988">
        <f t="shared" si="82"/>
        <v>0</v>
      </c>
      <c r="V295" s="2988">
        <f t="shared" si="83"/>
        <v>0</v>
      </c>
      <c r="W295" s="998"/>
      <c r="X295" s="2988">
        <f t="shared" si="84"/>
        <v>0</v>
      </c>
      <c r="Y295" s="2988">
        <f t="shared" si="85"/>
        <v>0</v>
      </c>
      <c r="Z295" s="998"/>
    </row>
    <row r="296" spans="1:26">
      <c r="A296" s="35"/>
      <c r="B296" s="20"/>
      <c r="C296" s="13">
        <f t="shared" si="74"/>
        <v>1</v>
      </c>
      <c r="D296" s="601"/>
      <c r="E296" s="13">
        <f t="shared" si="75"/>
        <v>1</v>
      </c>
      <c r="F296" s="601"/>
      <c r="G296" s="13">
        <f t="shared" si="76"/>
        <v>1</v>
      </c>
      <c r="H296" s="601"/>
      <c r="I296" s="13">
        <f t="shared" si="77"/>
        <v>1</v>
      </c>
      <c r="J296" s="601"/>
      <c r="K296" s="13">
        <f t="shared" si="78"/>
        <v>1</v>
      </c>
      <c r="L296" s="601"/>
      <c r="M296" s="13">
        <f t="shared" si="79"/>
        <v>1</v>
      </c>
      <c r="N296" s="601"/>
      <c r="O296" s="13">
        <f t="shared" si="80"/>
        <v>1</v>
      </c>
      <c r="P296" s="601"/>
      <c r="Q296" s="13">
        <f t="shared" si="81"/>
        <v>1</v>
      </c>
      <c r="R296" s="597">
        <f t="shared" si="86"/>
        <v>0</v>
      </c>
      <c r="S296" s="250">
        <f t="shared" si="87"/>
        <v>0</v>
      </c>
      <c r="T296" s="901">
        <f t="shared" si="88"/>
        <v>0</v>
      </c>
      <c r="U296" s="2988">
        <f t="shared" si="82"/>
        <v>0</v>
      </c>
      <c r="V296" s="2988">
        <f t="shared" si="83"/>
        <v>0</v>
      </c>
      <c r="W296" s="998"/>
      <c r="X296" s="2988">
        <f t="shared" si="84"/>
        <v>0</v>
      </c>
      <c r="Y296" s="2988">
        <f t="shared" si="85"/>
        <v>0</v>
      </c>
      <c r="Z296" s="998"/>
    </row>
    <row r="297" spans="1:26">
      <c r="A297" s="35"/>
      <c r="B297" s="20"/>
      <c r="C297" s="13">
        <f t="shared" si="74"/>
        <v>1</v>
      </c>
      <c r="D297" s="601"/>
      <c r="E297" s="13">
        <f t="shared" si="75"/>
        <v>1</v>
      </c>
      <c r="F297" s="601"/>
      <c r="G297" s="13">
        <f t="shared" si="76"/>
        <v>1</v>
      </c>
      <c r="H297" s="601"/>
      <c r="I297" s="13">
        <f t="shared" si="77"/>
        <v>1</v>
      </c>
      <c r="J297" s="601"/>
      <c r="K297" s="13">
        <f t="shared" si="78"/>
        <v>1</v>
      </c>
      <c r="L297" s="601"/>
      <c r="M297" s="13">
        <f t="shared" si="79"/>
        <v>1</v>
      </c>
      <c r="N297" s="601"/>
      <c r="O297" s="13">
        <f t="shared" si="80"/>
        <v>1</v>
      </c>
      <c r="P297" s="601"/>
      <c r="Q297" s="13">
        <f t="shared" si="81"/>
        <v>1</v>
      </c>
      <c r="R297" s="597">
        <f t="shared" si="86"/>
        <v>0</v>
      </c>
      <c r="S297" s="250">
        <f t="shared" si="87"/>
        <v>0</v>
      </c>
      <c r="T297" s="901">
        <f t="shared" si="88"/>
        <v>0</v>
      </c>
      <c r="U297" s="2988">
        <f t="shared" si="82"/>
        <v>0</v>
      </c>
      <c r="V297" s="2988">
        <f t="shared" si="83"/>
        <v>0</v>
      </c>
      <c r="W297" s="998"/>
      <c r="X297" s="2988">
        <f t="shared" si="84"/>
        <v>0</v>
      </c>
      <c r="Y297" s="2988">
        <f t="shared" si="85"/>
        <v>0</v>
      </c>
      <c r="Z297" s="998"/>
    </row>
    <row r="298" spans="1:26">
      <c r="A298" s="35"/>
      <c r="B298" s="20"/>
      <c r="C298" s="13">
        <f t="shared" si="74"/>
        <v>1</v>
      </c>
      <c r="D298" s="601"/>
      <c r="E298" s="13">
        <f t="shared" si="75"/>
        <v>1</v>
      </c>
      <c r="F298" s="601"/>
      <c r="G298" s="13">
        <f t="shared" si="76"/>
        <v>1</v>
      </c>
      <c r="H298" s="601"/>
      <c r="I298" s="13">
        <f t="shared" si="77"/>
        <v>1</v>
      </c>
      <c r="J298" s="601"/>
      <c r="K298" s="13">
        <f t="shared" si="78"/>
        <v>1</v>
      </c>
      <c r="L298" s="601"/>
      <c r="M298" s="13">
        <f t="shared" si="79"/>
        <v>1</v>
      </c>
      <c r="N298" s="601"/>
      <c r="O298" s="13">
        <f t="shared" si="80"/>
        <v>1</v>
      </c>
      <c r="P298" s="601"/>
      <c r="Q298" s="13">
        <f t="shared" si="81"/>
        <v>1</v>
      </c>
      <c r="R298" s="597">
        <f t="shared" si="86"/>
        <v>0</v>
      </c>
      <c r="S298" s="250">
        <f t="shared" si="87"/>
        <v>0</v>
      </c>
      <c r="T298" s="901">
        <f t="shared" si="88"/>
        <v>0</v>
      </c>
      <c r="U298" s="2988">
        <f t="shared" si="82"/>
        <v>0</v>
      </c>
      <c r="V298" s="2988">
        <f t="shared" si="83"/>
        <v>0</v>
      </c>
      <c r="W298" s="998"/>
      <c r="X298" s="2988">
        <f t="shared" si="84"/>
        <v>0</v>
      </c>
      <c r="Y298" s="2988">
        <f t="shared" si="85"/>
        <v>0</v>
      </c>
      <c r="Z298" s="998"/>
    </row>
    <row r="299" spans="1:26">
      <c r="A299" s="35"/>
      <c r="B299" s="20"/>
      <c r="C299" s="13">
        <f t="shared" si="74"/>
        <v>1</v>
      </c>
      <c r="D299" s="601"/>
      <c r="E299" s="13">
        <f t="shared" si="75"/>
        <v>1</v>
      </c>
      <c r="F299" s="601"/>
      <c r="G299" s="13">
        <f t="shared" si="76"/>
        <v>1</v>
      </c>
      <c r="H299" s="601"/>
      <c r="I299" s="13">
        <f t="shared" si="77"/>
        <v>1</v>
      </c>
      <c r="J299" s="601"/>
      <c r="K299" s="13">
        <f t="shared" si="78"/>
        <v>1</v>
      </c>
      <c r="L299" s="601"/>
      <c r="M299" s="13">
        <f t="shared" si="79"/>
        <v>1</v>
      </c>
      <c r="N299" s="601"/>
      <c r="O299" s="13">
        <f t="shared" si="80"/>
        <v>1</v>
      </c>
      <c r="P299" s="601"/>
      <c r="Q299" s="13">
        <f t="shared" si="81"/>
        <v>1</v>
      </c>
      <c r="R299" s="597">
        <f t="shared" si="86"/>
        <v>0</v>
      </c>
      <c r="S299" s="250">
        <f t="shared" si="87"/>
        <v>0</v>
      </c>
      <c r="T299" s="901">
        <f t="shared" si="88"/>
        <v>0</v>
      </c>
      <c r="U299" s="2988">
        <f t="shared" si="82"/>
        <v>0</v>
      </c>
      <c r="V299" s="2988">
        <f t="shared" si="83"/>
        <v>0</v>
      </c>
      <c r="W299" s="998"/>
      <c r="X299" s="2988">
        <f t="shared" si="84"/>
        <v>0</v>
      </c>
      <c r="Y299" s="2988">
        <f t="shared" si="85"/>
        <v>0</v>
      </c>
      <c r="Z299" s="998"/>
    </row>
    <row r="300" spans="1:26">
      <c r="A300" s="35"/>
      <c r="B300" s="20"/>
      <c r="C300" s="13">
        <f t="shared" si="74"/>
        <v>1</v>
      </c>
      <c r="D300" s="601"/>
      <c r="E300" s="13">
        <f t="shared" si="75"/>
        <v>1</v>
      </c>
      <c r="F300" s="601"/>
      <c r="G300" s="13">
        <f t="shared" si="76"/>
        <v>1</v>
      </c>
      <c r="H300" s="601"/>
      <c r="I300" s="13">
        <f t="shared" si="77"/>
        <v>1</v>
      </c>
      <c r="J300" s="601"/>
      <c r="K300" s="13">
        <f t="shared" si="78"/>
        <v>1</v>
      </c>
      <c r="L300" s="601"/>
      <c r="M300" s="13">
        <f t="shared" si="79"/>
        <v>1</v>
      </c>
      <c r="N300" s="601"/>
      <c r="O300" s="13">
        <f t="shared" si="80"/>
        <v>1</v>
      </c>
      <c r="P300" s="601"/>
      <c r="Q300" s="13">
        <f t="shared" si="81"/>
        <v>1</v>
      </c>
      <c r="R300" s="597">
        <f t="shared" si="86"/>
        <v>0</v>
      </c>
      <c r="S300" s="250">
        <f t="shared" si="87"/>
        <v>0</v>
      </c>
      <c r="T300" s="901">
        <f t="shared" si="88"/>
        <v>0</v>
      </c>
      <c r="U300" s="2988">
        <f t="shared" si="82"/>
        <v>0</v>
      </c>
      <c r="V300" s="2988">
        <f t="shared" si="83"/>
        <v>0</v>
      </c>
      <c r="W300" s="998"/>
      <c r="X300" s="2988">
        <f t="shared" si="84"/>
        <v>0</v>
      </c>
      <c r="Y300" s="2988">
        <f t="shared" si="85"/>
        <v>0</v>
      </c>
      <c r="Z300" s="998"/>
    </row>
    <row r="301" spans="1:26">
      <c r="A301" s="35"/>
      <c r="B301" s="20"/>
      <c r="C301" s="13">
        <f t="shared" si="74"/>
        <v>1</v>
      </c>
      <c r="D301" s="601"/>
      <c r="E301" s="13">
        <f t="shared" si="75"/>
        <v>1</v>
      </c>
      <c r="F301" s="601"/>
      <c r="G301" s="13">
        <f t="shared" si="76"/>
        <v>1</v>
      </c>
      <c r="H301" s="601"/>
      <c r="I301" s="13">
        <f t="shared" si="77"/>
        <v>1</v>
      </c>
      <c r="J301" s="601"/>
      <c r="K301" s="13">
        <f t="shared" si="78"/>
        <v>1</v>
      </c>
      <c r="L301" s="601"/>
      <c r="M301" s="13">
        <f t="shared" si="79"/>
        <v>1</v>
      </c>
      <c r="N301" s="601"/>
      <c r="O301" s="13">
        <f t="shared" si="80"/>
        <v>1</v>
      </c>
      <c r="P301" s="601"/>
      <c r="Q301" s="13">
        <f t="shared" si="81"/>
        <v>1</v>
      </c>
      <c r="R301" s="597">
        <f t="shared" si="86"/>
        <v>0</v>
      </c>
      <c r="S301" s="250">
        <f t="shared" si="87"/>
        <v>0</v>
      </c>
      <c r="T301" s="901">
        <f t="shared" si="88"/>
        <v>0</v>
      </c>
      <c r="U301" s="2988">
        <f t="shared" si="82"/>
        <v>0</v>
      </c>
      <c r="V301" s="2988">
        <f t="shared" si="83"/>
        <v>0</v>
      </c>
      <c r="W301" s="998"/>
      <c r="X301" s="2988">
        <f t="shared" si="84"/>
        <v>0</v>
      </c>
      <c r="Y301" s="2988">
        <f t="shared" si="85"/>
        <v>0</v>
      </c>
      <c r="Z301" s="998"/>
    </row>
    <row r="302" spans="1:26">
      <c r="A302" s="35"/>
      <c r="B302" s="20"/>
      <c r="C302" s="13">
        <f t="shared" si="74"/>
        <v>1</v>
      </c>
      <c r="D302" s="601"/>
      <c r="E302" s="13">
        <f t="shared" si="75"/>
        <v>1</v>
      </c>
      <c r="F302" s="601"/>
      <c r="G302" s="13">
        <f t="shared" si="76"/>
        <v>1</v>
      </c>
      <c r="H302" s="601"/>
      <c r="I302" s="13">
        <f t="shared" si="77"/>
        <v>1</v>
      </c>
      <c r="J302" s="601"/>
      <c r="K302" s="13">
        <f t="shared" si="78"/>
        <v>1</v>
      </c>
      <c r="L302" s="601"/>
      <c r="M302" s="13">
        <f t="shared" si="79"/>
        <v>1</v>
      </c>
      <c r="N302" s="601"/>
      <c r="O302" s="13">
        <f t="shared" si="80"/>
        <v>1</v>
      </c>
      <c r="P302" s="601"/>
      <c r="Q302" s="13">
        <f t="shared" si="81"/>
        <v>1</v>
      </c>
      <c r="R302" s="597">
        <f t="shared" si="86"/>
        <v>0</v>
      </c>
      <c r="S302" s="250">
        <f t="shared" si="87"/>
        <v>0</v>
      </c>
      <c r="T302" s="901">
        <f t="shared" si="88"/>
        <v>0</v>
      </c>
      <c r="U302" s="2988">
        <f t="shared" si="82"/>
        <v>0</v>
      </c>
      <c r="V302" s="2988">
        <f t="shared" si="83"/>
        <v>0</v>
      </c>
      <c r="W302" s="998"/>
      <c r="X302" s="2988">
        <f t="shared" si="84"/>
        <v>0</v>
      </c>
      <c r="Y302" s="2988">
        <f t="shared" si="85"/>
        <v>0</v>
      </c>
      <c r="Z302" s="998"/>
    </row>
    <row r="303" spans="1:26">
      <c r="A303" s="35"/>
      <c r="B303" s="20"/>
      <c r="C303" s="13">
        <f t="shared" si="74"/>
        <v>1</v>
      </c>
      <c r="D303" s="601"/>
      <c r="E303" s="13">
        <f t="shared" si="75"/>
        <v>1</v>
      </c>
      <c r="F303" s="601"/>
      <c r="G303" s="13">
        <f t="shared" si="76"/>
        <v>1</v>
      </c>
      <c r="H303" s="601"/>
      <c r="I303" s="13">
        <f t="shared" si="77"/>
        <v>1</v>
      </c>
      <c r="J303" s="601"/>
      <c r="K303" s="13">
        <f t="shared" si="78"/>
        <v>1</v>
      </c>
      <c r="L303" s="601"/>
      <c r="M303" s="13">
        <f t="shared" si="79"/>
        <v>1</v>
      </c>
      <c r="N303" s="601"/>
      <c r="O303" s="13">
        <f t="shared" si="80"/>
        <v>1</v>
      </c>
      <c r="P303" s="601"/>
      <c r="Q303" s="13">
        <f t="shared" si="81"/>
        <v>1</v>
      </c>
      <c r="R303" s="597">
        <f t="shared" si="86"/>
        <v>0</v>
      </c>
      <c r="S303" s="250">
        <f t="shared" si="87"/>
        <v>0</v>
      </c>
      <c r="T303" s="901">
        <f t="shared" si="88"/>
        <v>0</v>
      </c>
      <c r="U303" s="2988">
        <f t="shared" si="82"/>
        <v>0</v>
      </c>
      <c r="V303" s="2988">
        <f t="shared" si="83"/>
        <v>0</v>
      </c>
      <c r="W303" s="998"/>
      <c r="X303" s="2988">
        <f t="shared" si="84"/>
        <v>0</v>
      </c>
      <c r="Y303" s="2988">
        <f t="shared" si="85"/>
        <v>0</v>
      </c>
      <c r="Z303" s="998"/>
    </row>
    <row r="304" spans="1:26">
      <c r="A304" s="35"/>
      <c r="B304" s="20"/>
      <c r="C304" s="13">
        <f t="shared" si="74"/>
        <v>1</v>
      </c>
      <c r="D304" s="601"/>
      <c r="E304" s="13">
        <f t="shared" si="75"/>
        <v>1</v>
      </c>
      <c r="F304" s="601"/>
      <c r="G304" s="13">
        <f t="shared" si="76"/>
        <v>1</v>
      </c>
      <c r="H304" s="601"/>
      <c r="I304" s="13">
        <f t="shared" si="77"/>
        <v>1</v>
      </c>
      <c r="J304" s="601"/>
      <c r="K304" s="13">
        <f t="shared" si="78"/>
        <v>1</v>
      </c>
      <c r="L304" s="601"/>
      <c r="M304" s="13">
        <f t="shared" si="79"/>
        <v>1</v>
      </c>
      <c r="N304" s="601"/>
      <c r="O304" s="13">
        <f t="shared" si="80"/>
        <v>1</v>
      </c>
      <c r="P304" s="601"/>
      <c r="Q304" s="13">
        <f t="shared" si="81"/>
        <v>1</v>
      </c>
      <c r="R304" s="597">
        <f t="shared" si="86"/>
        <v>0</v>
      </c>
      <c r="S304" s="250">
        <f t="shared" si="87"/>
        <v>0</v>
      </c>
      <c r="T304" s="901">
        <f t="shared" si="88"/>
        <v>0</v>
      </c>
      <c r="U304" s="2988">
        <f t="shared" si="82"/>
        <v>0</v>
      </c>
      <c r="V304" s="2988">
        <f t="shared" si="83"/>
        <v>0</v>
      </c>
      <c r="W304" s="998"/>
      <c r="X304" s="2988">
        <f t="shared" si="84"/>
        <v>0</v>
      </c>
      <c r="Y304" s="2988">
        <f t="shared" si="85"/>
        <v>0</v>
      </c>
      <c r="Z304" s="998"/>
    </row>
    <row r="305" spans="1:26">
      <c r="A305" s="35"/>
      <c r="B305" s="20"/>
      <c r="C305" s="13">
        <f t="shared" si="74"/>
        <v>1</v>
      </c>
      <c r="D305" s="601"/>
      <c r="E305" s="13">
        <f t="shared" si="75"/>
        <v>1</v>
      </c>
      <c r="F305" s="601"/>
      <c r="G305" s="13">
        <f t="shared" si="76"/>
        <v>1</v>
      </c>
      <c r="H305" s="601"/>
      <c r="I305" s="13">
        <f t="shared" si="77"/>
        <v>1</v>
      </c>
      <c r="J305" s="601"/>
      <c r="K305" s="13">
        <f t="shared" si="78"/>
        <v>1</v>
      </c>
      <c r="L305" s="601"/>
      <c r="M305" s="13">
        <f t="shared" si="79"/>
        <v>1</v>
      </c>
      <c r="N305" s="601"/>
      <c r="O305" s="13">
        <f t="shared" si="80"/>
        <v>1</v>
      </c>
      <c r="P305" s="601"/>
      <c r="Q305" s="13">
        <f t="shared" si="81"/>
        <v>1</v>
      </c>
      <c r="R305" s="597">
        <f t="shared" si="86"/>
        <v>0</v>
      </c>
      <c r="S305" s="250">
        <f t="shared" si="87"/>
        <v>0</v>
      </c>
      <c r="T305" s="901">
        <f t="shared" si="88"/>
        <v>0</v>
      </c>
      <c r="U305" s="2988">
        <f t="shared" si="82"/>
        <v>0</v>
      </c>
      <c r="V305" s="2988">
        <f t="shared" si="83"/>
        <v>0</v>
      </c>
      <c r="W305" s="998"/>
      <c r="X305" s="2988">
        <f t="shared" si="84"/>
        <v>0</v>
      </c>
      <c r="Y305" s="2988">
        <f t="shared" si="85"/>
        <v>0</v>
      </c>
      <c r="Z305" s="998"/>
    </row>
    <row r="306" spans="1:26">
      <c r="A306" s="35"/>
      <c r="B306" s="20"/>
      <c r="C306" s="13">
        <f t="shared" si="74"/>
        <v>1</v>
      </c>
      <c r="D306" s="601"/>
      <c r="E306" s="13">
        <f t="shared" si="75"/>
        <v>1</v>
      </c>
      <c r="F306" s="601"/>
      <c r="G306" s="13">
        <f t="shared" si="76"/>
        <v>1</v>
      </c>
      <c r="H306" s="601"/>
      <c r="I306" s="13">
        <f t="shared" si="77"/>
        <v>1</v>
      </c>
      <c r="J306" s="601"/>
      <c r="K306" s="13">
        <f t="shared" si="78"/>
        <v>1</v>
      </c>
      <c r="L306" s="601"/>
      <c r="M306" s="13">
        <f t="shared" si="79"/>
        <v>1</v>
      </c>
      <c r="N306" s="601"/>
      <c r="O306" s="13">
        <f t="shared" si="80"/>
        <v>1</v>
      </c>
      <c r="P306" s="601"/>
      <c r="Q306" s="13">
        <f t="shared" si="81"/>
        <v>1</v>
      </c>
      <c r="R306" s="597">
        <f t="shared" si="86"/>
        <v>0</v>
      </c>
      <c r="S306" s="250">
        <f t="shared" si="87"/>
        <v>0</v>
      </c>
      <c r="T306" s="901">
        <f t="shared" si="88"/>
        <v>0</v>
      </c>
      <c r="U306" s="2988">
        <f t="shared" si="82"/>
        <v>0</v>
      </c>
      <c r="V306" s="2988">
        <f t="shared" si="83"/>
        <v>0</v>
      </c>
      <c r="W306" s="998"/>
      <c r="X306" s="2988">
        <f t="shared" si="84"/>
        <v>0</v>
      </c>
      <c r="Y306" s="2988">
        <f t="shared" si="85"/>
        <v>0</v>
      </c>
      <c r="Z306" s="998"/>
    </row>
    <row r="307" spans="1:26">
      <c r="A307" s="35"/>
      <c r="B307" s="20"/>
      <c r="C307" s="13">
        <f t="shared" si="74"/>
        <v>1</v>
      </c>
      <c r="D307" s="601"/>
      <c r="E307" s="13">
        <f t="shared" si="75"/>
        <v>1</v>
      </c>
      <c r="F307" s="601"/>
      <c r="G307" s="13">
        <f t="shared" si="76"/>
        <v>1</v>
      </c>
      <c r="H307" s="601"/>
      <c r="I307" s="13">
        <f t="shared" si="77"/>
        <v>1</v>
      </c>
      <c r="J307" s="601"/>
      <c r="K307" s="13">
        <f t="shared" si="78"/>
        <v>1</v>
      </c>
      <c r="L307" s="601"/>
      <c r="M307" s="13">
        <f t="shared" si="79"/>
        <v>1</v>
      </c>
      <c r="N307" s="601"/>
      <c r="O307" s="13">
        <f t="shared" si="80"/>
        <v>1</v>
      </c>
      <c r="P307" s="601"/>
      <c r="Q307" s="13">
        <f t="shared" si="81"/>
        <v>1</v>
      </c>
      <c r="R307" s="597">
        <f t="shared" si="86"/>
        <v>0</v>
      </c>
      <c r="S307" s="250">
        <f t="shared" si="87"/>
        <v>0</v>
      </c>
      <c r="T307" s="901">
        <f t="shared" si="88"/>
        <v>0</v>
      </c>
      <c r="U307" s="2988">
        <f t="shared" si="82"/>
        <v>0</v>
      </c>
      <c r="V307" s="2988">
        <f t="shared" si="83"/>
        <v>0</v>
      </c>
      <c r="W307" s="998"/>
      <c r="X307" s="2988">
        <f t="shared" si="84"/>
        <v>0</v>
      </c>
      <c r="Y307" s="2988">
        <f t="shared" si="85"/>
        <v>0</v>
      </c>
      <c r="Z307" s="998"/>
    </row>
    <row r="308" spans="1:26">
      <c r="A308" s="35"/>
      <c r="B308" s="20"/>
      <c r="C308" s="13">
        <f t="shared" si="74"/>
        <v>1</v>
      </c>
      <c r="D308" s="601"/>
      <c r="E308" s="13">
        <f t="shared" si="75"/>
        <v>1</v>
      </c>
      <c r="F308" s="601"/>
      <c r="G308" s="13">
        <f t="shared" si="76"/>
        <v>1</v>
      </c>
      <c r="H308" s="601"/>
      <c r="I308" s="13">
        <f t="shared" si="77"/>
        <v>1</v>
      </c>
      <c r="J308" s="601"/>
      <c r="K308" s="13">
        <f t="shared" si="78"/>
        <v>1</v>
      </c>
      <c r="L308" s="601"/>
      <c r="M308" s="13">
        <f t="shared" si="79"/>
        <v>1</v>
      </c>
      <c r="N308" s="601"/>
      <c r="O308" s="13">
        <f t="shared" si="80"/>
        <v>1</v>
      </c>
      <c r="P308" s="601"/>
      <c r="Q308" s="13">
        <f t="shared" si="81"/>
        <v>1</v>
      </c>
      <c r="R308" s="597">
        <f t="shared" si="86"/>
        <v>0</v>
      </c>
      <c r="S308" s="250">
        <f t="shared" si="87"/>
        <v>0</v>
      </c>
      <c r="T308" s="901">
        <f t="shared" si="88"/>
        <v>0</v>
      </c>
      <c r="U308" s="2988">
        <f t="shared" si="82"/>
        <v>0</v>
      </c>
      <c r="V308" s="2988">
        <f t="shared" si="83"/>
        <v>0</v>
      </c>
      <c r="W308" s="998"/>
      <c r="X308" s="2988">
        <f t="shared" si="84"/>
        <v>0</v>
      </c>
      <c r="Y308" s="2988">
        <f t="shared" si="85"/>
        <v>0</v>
      </c>
      <c r="Z308" s="998"/>
    </row>
    <row r="309" spans="1:26">
      <c r="A309" s="35"/>
      <c r="B309" s="20"/>
      <c r="C309" s="13">
        <f t="shared" si="74"/>
        <v>1</v>
      </c>
      <c r="D309" s="601"/>
      <c r="E309" s="13">
        <f t="shared" si="75"/>
        <v>1</v>
      </c>
      <c r="F309" s="601"/>
      <c r="G309" s="13">
        <f t="shared" si="76"/>
        <v>1</v>
      </c>
      <c r="H309" s="601"/>
      <c r="I309" s="13">
        <f t="shared" si="77"/>
        <v>1</v>
      </c>
      <c r="J309" s="601"/>
      <c r="K309" s="13">
        <f t="shared" si="78"/>
        <v>1</v>
      </c>
      <c r="L309" s="601"/>
      <c r="M309" s="13">
        <f t="shared" si="79"/>
        <v>1</v>
      </c>
      <c r="N309" s="601"/>
      <c r="O309" s="13">
        <f t="shared" si="80"/>
        <v>1</v>
      </c>
      <c r="P309" s="601"/>
      <c r="Q309" s="13">
        <f t="shared" si="81"/>
        <v>1</v>
      </c>
      <c r="R309" s="597">
        <f t="shared" si="86"/>
        <v>0</v>
      </c>
      <c r="S309" s="250">
        <f t="shared" si="87"/>
        <v>0</v>
      </c>
      <c r="T309" s="901">
        <f t="shared" si="88"/>
        <v>0</v>
      </c>
      <c r="U309" s="2988">
        <f t="shared" si="82"/>
        <v>0</v>
      </c>
      <c r="V309" s="2988">
        <f t="shared" si="83"/>
        <v>0</v>
      </c>
      <c r="W309" s="998"/>
      <c r="X309" s="2988">
        <f t="shared" si="84"/>
        <v>0</v>
      </c>
      <c r="Y309" s="2988">
        <f t="shared" si="85"/>
        <v>0</v>
      </c>
      <c r="Z309" s="998"/>
    </row>
    <row r="310" spans="1:26">
      <c r="A310" s="35"/>
      <c r="B310" s="20"/>
      <c r="C310" s="13">
        <f t="shared" si="74"/>
        <v>1</v>
      </c>
      <c r="D310" s="601"/>
      <c r="E310" s="13">
        <f t="shared" si="75"/>
        <v>1</v>
      </c>
      <c r="F310" s="601"/>
      <c r="G310" s="13">
        <f t="shared" si="76"/>
        <v>1</v>
      </c>
      <c r="H310" s="601"/>
      <c r="I310" s="13">
        <f t="shared" si="77"/>
        <v>1</v>
      </c>
      <c r="J310" s="601"/>
      <c r="K310" s="13">
        <f t="shared" si="78"/>
        <v>1</v>
      </c>
      <c r="L310" s="601"/>
      <c r="M310" s="13">
        <f t="shared" si="79"/>
        <v>1</v>
      </c>
      <c r="N310" s="601"/>
      <c r="O310" s="13">
        <f t="shared" si="80"/>
        <v>1</v>
      </c>
      <c r="P310" s="601"/>
      <c r="Q310" s="13">
        <f t="shared" si="81"/>
        <v>1</v>
      </c>
      <c r="R310" s="597">
        <f t="shared" si="86"/>
        <v>0</v>
      </c>
      <c r="S310" s="250">
        <f t="shared" si="87"/>
        <v>0</v>
      </c>
      <c r="T310" s="901">
        <f t="shared" si="88"/>
        <v>0</v>
      </c>
      <c r="U310" s="2988">
        <f t="shared" si="82"/>
        <v>0</v>
      </c>
      <c r="V310" s="2988">
        <f t="shared" si="83"/>
        <v>0</v>
      </c>
      <c r="W310" s="998"/>
      <c r="X310" s="2988">
        <f t="shared" si="84"/>
        <v>0</v>
      </c>
      <c r="Y310" s="2988">
        <f t="shared" si="85"/>
        <v>0</v>
      </c>
      <c r="Z310" s="998"/>
    </row>
    <row r="311" spans="1:26">
      <c r="A311" s="35"/>
      <c r="B311" s="20"/>
      <c r="C311" s="13">
        <f t="shared" si="74"/>
        <v>1</v>
      </c>
      <c r="D311" s="601"/>
      <c r="E311" s="13">
        <f t="shared" si="75"/>
        <v>1</v>
      </c>
      <c r="F311" s="601"/>
      <c r="G311" s="13">
        <f t="shared" si="76"/>
        <v>1</v>
      </c>
      <c r="H311" s="601"/>
      <c r="I311" s="13">
        <f t="shared" si="77"/>
        <v>1</v>
      </c>
      <c r="J311" s="601"/>
      <c r="K311" s="13">
        <f t="shared" si="78"/>
        <v>1</v>
      </c>
      <c r="L311" s="601"/>
      <c r="M311" s="13">
        <f t="shared" si="79"/>
        <v>1</v>
      </c>
      <c r="N311" s="601"/>
      <c r="O311" s="13">
        <f t="shared" si="80"/>
        <v>1</v>
      </c>
      <c r="P311" s="601"/>
      <c r="Q311" s="13">
        <f t="shared" si="81"/>
        <v>1</v>
      </c>
      <c r="R311" s="597">
        <f t="shared" si="86"/>
        <v>0</v>
      </c>
      <c r="S311" s="250">
        <f t="shared" si="87"/>
        <v>0</v>
      </c>
      <c r="T311" s="901">
        <f t="shared" si="88"/>
        <v>0</v>
      </c>
      <c r="U311" s="2988">
        <f t="shared" si="82"/>
        <v>0</v>
      </c>
      <c r="V311" s="2988">
        <f t="shared" si="83"/>
        <v>0</v>
      </c>
      <c r="W311" s="998"/>
      <c r="X311" s="2988">
        <f t="shared" si="84"/>
        <v>0</v>
      </c>
      <c r="Y311" s="2988">
        <f t="shared" si="85"/>
        <v>0</v>
      </c>
      <c r="Z311" s="998"/>
    </row>
    <row r="312" spans="1:26">
      <c r="A312" s="35"/>
      <c r="B312" s="20"/>
      <c r="C312" s="13">
        <f t="shared" si="74"/>
        <v>1</v>
      </c>
      <c r="D312" s="601"/>
      <c r="E312" s="13">
        <f t="shared" si="75"/>
        <v>1</v>
      </c>
      <c r="F312" s="601"/>
      <c r="G312" s="13">
        <f t="shared" si="76"/>
        <v>1</v>
      </c>
      <c r="H312" s="601"/>
      <c r="I312" s="13">
        <f t="shared" si="77"/>
        <v>1</v>
      </c>
      <c r="J312" s="601"/>
      <c r="K312" s="13">
        <f t="shared" si="78"/>
        <v>1</v>
      </c>
      <c r="L312" s="601"/>
      <c r="M312" s="13">
        <f t="shared" si="79"/>
        <v>1</v>
      </c>
      <c r="N312" s="601"/>
      <c r="O312" s="13">
        <f t="shared" si="80"/>
        <v>1</v>
      </c>
      <c r="P312" s="601"/>
      <c r="Q312" s="13">
        <f t="shared" si="81"/>
        <v>1</v>
      </c>
      <c r="R312" s="597">
        <f t="shared" si="86"/>
        <v>0</v>
      </c>
      <c r="S312" s="250">
        <f t="shared" si="87"/>
        <v>0</v>
      </c>
      <c r="T312" s="901">
        <f t="shared" si="88"/>
        <v>0</v>
      </c>
      <c r="U312" s="2988">
        <f t="shared" si="82"/>
        <v>0</v>
      </c>
      <c r="V312" s="2988">
        <f t="shared" si="83"/>
        <v>0</v>
      </c>
      <c r="W312" s="998"/>
      <c r="X312" s="2988">
        <f t="shared" si="84"/>
        <v>0</v>
      </c>
      <c r="Y312" s="2988">
        <f t="shared" si="85"/>
        <v>0</v>
      </c>
      <c r="Z312" s="998"/>
    </row>
    <row r="313" spans="1:26">
      <c r="A313" s="35"/>
      <c r="B313" s="20"/>
      <c r="C313" s="13">
        <f t="shared" si="74"/>
        <v>1</v>
      </c>
      <c r="D313" s="601"/>
      <c r="E313" s="13">
        <f t="shared" si="75"/>
        <v>1</v>
      </c>
      <c r="F313" s="601"/>
      <c r="G313" s="13">
        <f t="shared" si="76"/>
        <v>1</v>
      </c>
      <c r="H313" s="601"/>
      <c r="I313" s="13">
        <f t="shared" si="77"/>
        <v>1</v>
      </c>
      <c r="J313" s="601"/>
      <c r="K313" s="13">
        <f t="shared" si="78"/>
        <v>1</v>
      </c>
      <c r="L313" s="601"/>
      <c r="M313" s="13">
        <f t="shared" si="79"/>
        <v>1</v>
      </c>
      <c r="N313" s="601"/>
      <c r="O313" s="13">
        <f t="shared" si="80"/>
        <v>1</v>
      </c>
      <c r="P313" s="601"/>
      <c r="Q313" s="13">
        <f t="shared" si="81"/>
        <v>1</v>
      </c>
      <c r="R313" s="597">
        <f t="shared" si="86"/>
        <v>0</v>
      </c>
      <c r="S313" s="250">
        <f t="shared" si="87"/>
        <v>0</v>
      </c>
      <c r="T313" s="901">
        <f t="shared" si="88"/>
        <v>0</v>
      </c>
      <c r="U313" s="2988">
        <f t="shared" si="82"/>
        <v>0</v>
      </c>
      <c r="V313" s="2988">
        <f t="shared" si="83"/>
        <v>0</v>
      </c>
      <c r="W313" s="998"/>
      <c r="X313" s="2988">
        <f t="shared" si="84"/>
        <v>0</v>
      </c>
      <c r="Y313" s="2988">
        <f t="shared" si="85"/>
        <v>0</v>
      </c>
      <c r="Z313" s="998"/>
    </row>
    <row r="314" spans="1:26">
      <c r="A314" s="35"/>
      <c r="B314" s="20"/>
      <c r="C314" s="13">
        <f t="shared" si="74"/>
        <v>1</v>
      </c>
      <c r="D314" s="601"/>
      <c r="E314" s="13">
        <f t="shared" si="75"/>
        <v>1</v>
      </c>
      <c r="F314" s="601"/>
      <c r="G314" s="13">
        <f t="shared" si="76"/>
        <v>1</v>
      </c>
      <c r="H314" s="601"/>
      <c r="I314" s="13">
        <f t="shared" si="77"/>
        <v>1</v>
      </c>
      <c r="J314" s="601"/>
      <c r="K314" s="13">
        <f t="shared" si="78"/>
        <v>1</v>
      </c>
      <c r="L314" s="601"/>
      <c r="M314" s="13">
        <f t="shared" si="79"/>
        <v>1</v>
      </c>
      <c r="N314" s="601"/>
      <c r="O314" s="13">
        <f t="shared" si="80"/>
        <v>1</v>
      </c>
      <c r="P314" s="601"/>
      <c r="Q314" s="13">
        <f t="shared" si="81"/>
        <v>1</v>
      </c>
      <c r="R314" s="597">
        <f t="shared" si="86"/>
        <v>0</v>
      </c>
      <c r="S314" s="250">
        <f t="shared" si="87"/>
        <v>0</v>
      </c>
      <c r="T314" s="901">
        <f t="shared" si="88"/>
        <v>0</v>
      </c>
      <c r="U314" s="2988">
        <f t="shared" si="82"/>
        <v>0</v>
      </c>
      <c r="V314" s="2988">
        <f t="shared" si="83"/>
        <v>0</v>
      </c>
      <c r="W314" s="998"/>
      <c r="X314" s="2988">
        <f t="shared" si="84"/>
        <v>0</v>
      </c>
      <c r="Y314" s="2988">
        <f t="shared" si="85"/>
        <v>0</v>
      </c>
      <c r="Z314" s="998"/>
    </row>
    <row r="315" spans="1:26">
      <c r="A315" s="35"/>
      <c r="B315" s="20"/>
      <c r="C315" s="13">
        <f t="shared" si="74"/>
        <v>1</v>
      </c>
      <c r="D315" s="601"/>
      <c r="E315" s="13">
        <f t="shared" si="75"/>
        <v>1</v>
      </c>
      <c r="F315" s="601"/>
      <c r="G315" s="13">
        <f t="shared" si="76"/>
        <v>1</v>
      </c>
      <c r="H315" s="601"/>
      <c r="I315" s="13">
        <f t="shared" si="77"/>
        <v>1</v>
      </c>
      <c r="J315" s="601"/>
      <c r="K315" s="13">
        <f t="shared" si="78"/>
        <v>1</v>
      </c>
      <c r="L315" s="601"/>
      <c r="M315" s="13">
        <f t="shared" si="79"/>
        <v>1</v>
      </c>
      <c r="N315" s="601"/>
      <c r="O315" s="13">
        <f t="shared" si="80"/>
        <v>1</v>
      </c>
      <c r="P315" s="601"/>
      <c r="Q315" s="13">
        <f t="shared" si="81"/>
        <v>1</v>
      </c>
      <c r="R315" s="597">
        <f t="shared" si="86"/>
        <v>0</v>
      </c>
      <c r="S315" s="250">
        <f t="shared" si="87"/>
        <v>0</v>
      </c>
      <c r="T315" s="901">
        <f t="shared" si="88"/>
        <v>0</v>
      </c>
      <c r="U315" s="2988">
        <f t="shared" si="82"/>
        <v>0</v>
      </c>
      <c r="V315" s="2988">
        <f t="shared" si="83"/>
        <v>0</v>
      </c>
      <c r="W315" s="998"/>
      <c r="X315" s="2988">
        <f t="shared" si="84"/>
        <v>0</v>
      </c>
      <c r="Y315" s="2988">
        <f t="shared" si="85"/>
        <v>0</v>
      </c>
      <c r="Z315" s="998"/>
    </row>
    <row r="316" spans="1:26">
      <c r="A316" s="35"/>
      <c r="B316" s="20"/>
      <c r="C316" s="13">
        <f t="shared" si="74"/>
        <v>1</v>
      </c>
      <c r="D316" s="601"/>
      <c r="E316" s="13">
        <f t="shared" si="75"/>
        <v>1</v>
      </c>
      <c r="F316" s="601"/>
      <c r="G316" s="13">
        <f t="shared" si="76"/>
        <v>1</v>
      </c>
      <c r="H316" s="601"/>
      <c r="I316" s="13">
        <f t="shared" si="77"/>
        <v>1</v>
      </c>
      <c r="J316" s="601"/>
      <c r="K316" s="13">
        <f t="shared" si="78"/>
        <v>1</v>
      </c>
      <c r="L316" s="601"/>
      <c r="M316" s="13">
        <f t="shared" si="79"/>
        <v>1</v>
      </c>
      <c r="N316" s="601"/>
      <c r="O316" s="13">
        <f t="shared" si="80"/>
        <v>1</v>
      </c>
      <c r="P316" s="601"/>
      <c r="Q316" s="13">
        <f t="shared" si="81"/>
        <v>1</v>
      </c>
      <c r="R316" s="597">
        <f t="shared" si="86"/>
        <v>0</v>
      </c>
      <c r="S316" s="250">
        <f t="shared" si="87"/>
        <v>0</v>
      </c>
      <c r="T316" s="901">
        <f t="shared" si="88"/>
        <v>0</v>
      </c>
      <c r="U316" s="2988">
        <f t="shared" si="82"/>
        <v>0</v>
      </c>
      <c r="V316" s="2988">
        <f t="shared" si="83"/>
        <v>0</v>
      </c>
      <c r="W316" s="998"/>
      <c r="X316" s="2988">
        <f t="shared" si="84"/>
        <v>0</v>
      </c>
      <c r="Y316" s="2988">
        <f t="shared" si="85"/>
        <v>0</v>
      </c>
      <c r="Z316" s="998"/>
    </row>
    <row r="317" spans="1:26">
      <c r="A317" s="35"/>
      <c r="B317" s="20"/>
      <c r="C317" s="13">
        <f t="shared" si="74"/>
        <v>1</v>
      </c>
      <c r="D317" s="601"/>
      <c r="E317" s="13">
        <f t="shared" si="75"/>
        <v>1</v>
      </c>
      <c r="F317" s="601"/>
      <c r="G317" s="13">
        <f t="shared" si="76"/>
        <v>1</v>
      </c>
      <c r="H317" s="601"/>
      <c r="I317" s="13">
        <f t="shared" si="77"/>
        <v>1</v>
      </c>
      <c r="J317" s="601"/>
      <c r="K317" s="13">
        <f t="shared" si="78"/>
        <v>1</v>
      </c>
      <c r="L317" s="601"/>
      <c r="M317" s="13">
        <f t="shared" si="79"/>
        <v>1</v>
      </c>
      <c r="N317" s="601"/>
      <c r="O317" s="13">
        <f t="shared" si="80"/>
        <v>1</v>
      </c>
      <c r="P317" s="601"/>
      <c r="Q317" s="13">
        <f t="shared" si="81"/>
        <v>1</v>
      </c>
      <c r="R317" s="597">
        <f t="shared" si="86"/>
        <v>0</v>
      </c>
      <c r="S317" s="250">
        <f t="shared" si="87"/>
        <v>0</v>
      </c>
      <c r="T317" s="901">
        <f t="shared" si="88"/>
        <v>0</v>
      </c>
      <c r="U317" s="2988">
        <f t="shared" si="82"/>
        <v>0</v>
      </c>
      <c r="V317" s="2988">
        <f t="shared" si="83"/>
        <v>0</v>
      </c>
      <c r="W317" s="998"/>
      <c r="X317" s="2988">
        <f t="shared" si="84"/>
        <v>0</v>
      </c>
      <c r="Y317" s="2988">
        <f t="shared" si="85"/>
        <v>0</v>
      </c>
      <c r="Z317" s="998"/>
    </row>
    <row r="318" spans="1:26">
      <c r="A318" s="35"/>
      <c r="B318" s="20"/>
      <c r="C318" s="13">
        <f t="shared" si="74"/>
        <v>1</v>
      </c>
      <c r="D318" s="601"/>
      <c r="E318" s="13">
        <f t="shared" si="75"/>
        <v>1</v>
      </c>
      <c r="F318" s="601"/>
      <c r="G318" s="13">
        <f t="shared" si="76"/>
        <v>1</v>
      </c>
      <c r="H318" s="601"/>
      <c r="I318" s="13">
        <f t="shared" si="77"/>
        <v>1</v>
      </c>
      <c r="J318" s="601"/>
      <c r="K318" s="13">
        <f t="shared" si="78"/>
        <v>1</v>
      </c>
      <c r="L318" s="601"/>
      <c r="M318" s="13">
        <f t="shared" si="79"/>
        <v>1</v>
      </c>
      <c r="N318" s="601"/>
      <c r="O318" s="13">
        <f t="shared" si="80"/>
        <v>1</v>
      </c>
      <c r="P318" s="601"/>
      <c r="Q318" s="13">
        <f t="shared" si="81"/>
        <v>1</v>
      </c>
      <c r="R318" s="597">
        <f t="shared" si="86"/>
        <v>0</v>
      </c>
      <c r="S318" s="250">
        <f t="shared" si="87"/>
        <v>0</v>
      </c>
      <c r="T318" s="901">
        <f t="shared" si="88"/>
        <v>0</v>
      </c>
      <c r="U318" s="2988">
        <f t="shared" si="82"/>
        <v>0</v>
      </c>
      <c r="V318" s="2988">
        <f t="shared" si="83"/>
        <v>0</v>
      </c>
      <c r="W318" s="998"/>
      <c r="X318" s="2988">
        <f t="shared" si="84"/>
        <v>0</v>
      </c>
      <c r="Y318" s="2988">
        <f t="shared" si="85"/>
        <v>0</v>
      </c>
      <c r="Z318" s="998"/>
    </row>
    <row r="319" spans="1:26">
      <c r="A319" s="35"/>
      <c r="B319" s="20"/>
      <c r="C319" s="13">
        <f t="shared" si="74"/>
        <v>1</v>
      </c>
      <c r="D319" s="601"/>
      <c r="E319" s="13">
        <f t="shared" si="75"/>
        <v>1</v>
      </c>
      <c r="F319" s="601"/>
      <c r="G319" s="13">
        <f t="shared" si="76"/>
        <v>1</v>
      </c>
      <c r="H319" s="601"/>
      <c r="I319" s="13">
        <f t="shared" si="77"/>
        <v>1</v>
      </c>
      <c r="J319" s="601"/>
      <c r="K319" s="13">
        <f t="shared" si="78"/>
        <v>1</v>
      </c>
      <c r="L319" s="601"/>
      <c r="M319" s="13">
        <f t="shared" si="79"/>
        <v>1</v>
      </c>
      <c r="N319" s="601"/>
      <c r="O319" s="13">
        <f t="shared" si="80"/>
        <v>1</v>
      </c>
      <c r="P319" s="601"/>
      <c r="Q319" s="13">
        <f t="shared" si="81"/>
        <v>1</v>
      </c>
      <c r="R319" s="597">
        <f t="shared" si="86"/>
        <v>0</v>
      </c>
      <c r="S319" s="250">
        <f t="shared" si="87"/>
        <v>0</v>
      </c>
      <c r="T319" s="901">
        <f t="shared" si="88"/>
        <v>0</v>
      </c>
      <c r="U319" s="2988">
        <f t="shared" si="82"/>
        <v>0</v>
      </c>
      <c r="V319" s="2988">
        <f t="shared" si="83"/>
        <v>0</v>
      </c>
      <c r="W319" s="998"/>
      <c r="X319" s="2988">
        <f t="shared" si="84"/>
        <v>0</v>
      </c>
      <c r="Y319" s="2988">
        <f t="shared" si="85"/>
        <v>0</v>
      </c>
      <c r="Z319" s="998"/>
    </row>
    <row r="320" spans="1:26">
      <c r="A320" s="35"/>
      <c r="B320" s="20"/>
      <c r="C320" s="13">
        <f t="shared" si="74"/>
        <v>1</v>
      </c>
      <c r="D320" s="601"/>
      <c r="E320" s="13">
        <f t="shared" si="75"/>
        <v>1</v>
      </c>
      <c r="F320" s="601"/>
      <c r="G320" s="13">
        <f t="shared" si="76"/>
        <v>1</v>
      </c>
      <c r="H320" s="601"/>
      <c r="I320" s="13">
        <f t="shared" si="77"/>
        <v>1</v>
      </c>
      <c r="J320" s="601"/>
      <c r="K320" s="13">
        <f t="shared" si="78"/>
        <v>1</v>
      </c>
      <c r="L320" s="601"/>
      <c r="M320" s="13">
        <f t="shared" si="79"/>
        <v>1</v>
      </c>
      <c r="N320" s="601"/>
      <c r="O320" s="13">
        <f t="shared" si="80"/>
        <v>1</v>
      </c>
      <c r="P320" s="601"/>
      <c r="Q320" s="13">
        <f t="shared" si="81"/>
        <v>1</v>
      </c>
      <c r="R320" s="597">
        <f t="shared" si="86"/>
        <v>0</v>
      </c>
      <c r="S320" s="250">
        <f t="shared" si="87"/>
        <v>0</v>
      </c>
      <c r="T320" s="901">
        <f t="shared" si="88"/>
        <v>0</v>
      </c>
      <c r="U320" s="2988">
        <f t="shared" si="82"/>
        <v>0</v>
      </c>
      <c r="V320" s="2988">
        <f t="shared" si="83"/>
        <v>0</v>
      </c>
      <c r="W320" s="998"/>
      <c r="X320" s="2988">
        <f t="shared" si="84"/>
        <v>0</v>
      </c>
      <c r="Y320" s="2988">
        <f t="shared" si="85"/>
        <v>0</v>
      </c>
      <c r="Z320" s="998"/>
    </row>
    <row r="321" spans="1:26">
      <c r="A321" s="35"/>
      <c r="B321" s="20"/>
      <c r="C321" s="13">
        <f t="shared" si="74"/>
        <v>1</v>
      </c>
      <c r="D321" s="601"/>
      <c r="E321" s="13">
        <f t="shared" si="75"/>
        <v>1</v>
      </c>
      <c r="F321" s="601"/>
      <c r="G321" s="13">
        <f t="shared" si="76"/>
        <v>1</v>
      </c>
      <c r="H321" s="601"/>
      <c r="I321" s="13">
        <f t="shared" si="77"/>
        <v>1</v>
      </c>
      <c r="J321" s="601"/>
      <c r="K321" s="13">
        <f t="shared" si="78"/>
        <v>1</v>
      </c>
      <c r="L321" s="601"/>
      <c r="M321" s="13">
        <f t="shared" si="79"/>
        <v>1</v>
      </c>
      <c r="N321" s="601"/>
      <c r="O321" s="13">
        <f t="shared" si="80"/>
        <v>1</v>
      </c>
      <c r="P321" s="601"/>
      <c r="Q321" s="13">
        <f t="shared" si="81"/>
        <v>1</v>
      </c>
      <c r="R321" s="597">
        <f t="shared" si="86"/>
        <v>0</v>
      </c>
      <c r="S321" s="250">
        <f t="shared" si="87"/>
        <v>0</v>
      </c>
      <c r="T321" s="901">
        <f t="shared" si="88"/>
        <v>0</v>
      </c>
      <c r="U321" s="2988">
        <f t="shared" si="82"/>
        <v>0</v>
      </c>
      <c r="V321" s="2988">
        <f t="shared" si="83"/>
        <v>0</v>
      </c>
      <c r="W321" s="998"/>
      <c r="X321" s="2988">
        <f t="shared" si="84"/>
        <v>0</v>
      </c>
      <c r="Y321" s="2988">
        <f t="shared" si="85"/>
        <v>0</v>
      </c>
      <c r="Z321" s="998"/>
    </row>
    <row r="322" spans="1:26">
      <c r="A322" s="35"/>
      <c r="B322" s="20"/>
      <c r="C322" s="13">
        <f t="shared" si="74"/>
        <v>1</v>
      </c>
      <c r="D322" s="601"/>
      <c r="E322" s="13">
        <f t="shared" si="75"/>
        <v>1</v>
      </c>
      <c r="F322" s="601"/>
      <c r="G322" s="13">
        <f t="shared" si="76"/>
        <v>1</v>
      </c>
      <c r="H322" s="601"/>
      <c r="I322" s="13">
        <f t="shared" si="77"/>
        <v>1</v>
      </c>
      <c r="J322" s="601"/>
      <c r="K322" s="13">
        <f t="shared" si="78"/>
        <v>1</v>
      </c>
      <c r="L322" s="601"/>
      <c r="M322" s="13">
        <f t="shared" si="79"/>
        <v>1</v>
      </c>
      <c r="N322" s="601"/>
      <c r="O322" s="13">
        <f t="shared" si="80"/>
        <v>1</v>
      </c>
      <c r="P322" s="601"/>
      <c r="Q322" s="13">
        <f t="shared" si="81"/>
        <v>1</v>
      </c>
      <c r="R322" s="597">
        <f t="shared" si="86"/>
        <v>0</v>
      </c>
      <c r="S322" s="250">
        <f t="shared" si="87"/>
        <v>0</v>
      </c>
      <c r="T322" s="901">
        <f t="shared" si="88"/>
        <v>0</v>
      </c>
      <c r="U322" s="2988">
        <f t="shared" si="82"/>
        <v>0</v>
      </c>
      <c r="V322" s="2988">
        <f t="shared" si="83"/>
        <v>0</v>
      </c>
      <c r="W322" s="998"/>
      <c r="X322" s="2988">
        <f t="shared" si="84"/>
        <v>0</v>
      </c>
      <c r="Y322" s="2988">
        <f t="shared" si="85"/>
        <v>0</v>
      </c>
      <c r="Z322" s="998"/>
    </row>
    <row r="323" spans="1:26">
      <c r="A323" s="35"/>
      <c r="B323" s="20"/>
      <c r="C323" s="13">
        <f t="shared" si="74"/>
        <v>1</v>
      </c>
      <c r="D323" s="601"/>
      <c r="E323" s="13">
        <f t="shared" si="75"/>
        <v>1</v>
      </c>
      <c r="F323" s="601"/>
      <c r="G323" s="13">
        <f t="shared" si="76"/>
        <v>1</v>
      </c>
      <c r="H323" s="601"/>
      <c r="I323" s="13">
        <f t="shared" si="77"/>
        <v>1</v>
      </c>
      <c r="J323" s="601"/>
      <c r="K323" s="13">
        <f t="shared" si="78"/>
        <v>1</v>
      </c>
      <c r="L323" s="601"/>
      <c r="M323" s="13">
        <f t="shared" si="79"/>
        <v>1</v>
      </c>
      <c r="N323" s="601"/>
      <c r="O323" s="13">
        <f t="shared" si="80"/>
        <v>1</v>
      </c>
      <c r="P323" s="601"/>
      <c r="Q323" s="13">
        <f t="shared" si="81"/>
        <v>1</v>
      </c>
      <c r="R323" s="597">
        <f t="shared" si="86"/>
        <v>0</v>
      </c>
      <c r="S323" s="250">
        <f t="shared" si="87"/>
        <v>0</v>
      </c>
      <c r="T323" s="901">
        <f t="shared" si="88"/>
        <v>0</v>
      </c>
      <c r="U323" s="2988">
        <f t="shared" si="82"/>
        <v>0</v>
      </c>
      <c r="V323" s="2988">
        <f t="shared" si="83"/>
        <v>0</v>
      </c>
      <c r="W323" s="998"/>
      <c r="X323" s="2988">
        <f t="shared" si="84"/>
        <v>0</v>
      </c>
      <c r="Y323" s="2988">
        <f t="shared" si="85"/>
        <v>0</v>
      </c>
      <c r="Z323" s="998"/>
    </row>
    <row r="324" spans="1:26">
      <c r="A324" s="35"/>
      <c r="B324" s="20"/>
      <c r="C324" s="13">
        <f t="shared" si="74"/>
        <v>1</v>
      </c>
      <c r="D324" s="601"/>
      <c r="E324" s="13">
        <f t="shared" si="75"/>
        <v>1</v>
      </c>
      <c r="F324" s="601"/>
      <c r="G324" s="13">
        <f t="shared" si="76"/>
        <v>1</v>
      </c>
      <c r="H324" s="601"/>
      <c r="I324" s="13">
        <f t="shared" si="77"/>
        <v>1</v>
      </c>
      <c r="J324" s="601"/>
      <c r="K324" s="13">
        <f t="shared" si="78"/>
        <v>1</v>
      </c>
      <c r="L324" s="601"/>
      <c r="M324" s="13">
        <f t="shared" si="79"/>
        <v>1</v>
      </c>
      <c r="N324" s="601"/>
      <c r="O324" s="13">
        <f t="shared" si="80"/>
        <v>1</v>
      </c>
      <c r="P324" s="601"/>
      <c r="Q324" s="13">
        <f t="shared" si="81"/>
        <v>1</v>
      </c>
      <c r="R324" s="597">
        <f t="shared" si="86"/>
        <v>0</v>
      </c>
      <c r="S324" s="250">
        <f t="shared" si="87"/>
        <v>0</v>
      </c>
      <c r="T324" s="901">
        <f t="shared" si="88"/>
        <v>0</v>
      </c>
      <c r="U324" s="2988">
        <f t="shared" si="82"/>
        <v>0</v>
      </c>
      <c r="V324" s="2988">
        <f t="shared" si="83"/>
        <v>0</v>
      </c>
      <c r="W324" s="998"/>
      <c r="X324" s="2988">
        <f t="shared" si="84"/>
        <v>0</v>
      </c>
      <c r="Y324" s="2988">
        <f t="shared" si="85"/>
        <v>0</v>
      </c>
      <c r="Z324" s="998"/>
    </row>
    <row r="325" spans="1:26">
      <c r="A325" s="35"/>
      <c r="B325" s="20"/>
      <c r="C325" s="13">
        <f t="shared" si="74"/>
        <v>1</v>
      </c>
      <c r="D325" s="601"/>
      <c r="E325" s="13">
        <f t="shared" si="75"/>
        <v>1</v>
      </c>
      <c r="F325" s="601"/>
      <c r="G325" s="13">
        <f t="shared" si="76"/>
        <v>1</v>
      </c>
      <c r="H325" s="601"/>
      <c r="I325" s="13">
        <f t="shared" si="77"/>
        <v>1</v>
      </c>
      <c r="J325" s="601"/>
      <c r="K325" s="13">
        <f t="shared" si="78"/>
        <v>1</v>
      </c>
      <c r="L325" s="601"/>
      <c r="M325" s="13">
        <f t="shared" si="79"/>
        <v>1</v>
      </c>
      <c r="N325" s="601"/>
      <c r="O325" s="13">
        <f t="shared" si="80"/>
        <v>1</v>
      </c>
      <c r="P325" s="601"/>
      <c r="Q325" s="13">
        <f t="shared" si="81"/>
        <v>1</v>
      </c>
      <c r="R325" s="597">
        <f t="shared" si="86"/>
        <v>0</v>
      </c>
      <c r="S325" s="250">
        <f t="shared" si="87"/>
        <v>0</v>
      </c>
      <c r="T325" s="901">
        <f t="shared" si="88"/>
        <v>0</v>
      </c>
      <c r="U325" s="2988">
        <f t="shared" si="82"/>
        <v>0</v>
      </c>
      <c r="V325" s="2988">
        <f t="shared" si="83"/>
        <v>0</v>
      </c>
      <c r="W325" s="998"/>
      <c r="X325" s="2988">
        <f t="shared" si="84"/>
        <v>0</v>
      </c>
      <c r="Y325" s="2988">
        <f t="shared" si="85"/>
        <v>0</v>
      </c>
      <c r="Z325" s="998"/>
    </row>
    <row r="326" spans="1:26">
      <c r="A326" s="35"/>
      <c r="B326" s="20"/>
      <c r="C326" s="13">
        <f t="shared" si="74"/>
        <v>1</v>
      </c>
      <c r="D326" s="601"/>
      <c r="E326" s="13">
        <f t="shared" si="75"/>
        <v>1</v>
      </c>
      <c r="F326" s="601"/>
      <c r="G326" s="13">
        <f t="shared" si="76"/>
        <v>1</v>
      </c>
      <c r="H326" s="601"/>
      <c r="I326" s="13">
        <f t="shared" si="77"/>
        <v>1</v>
      </c>
      <c r="J326" s="601"/>
      <c r="K326" s="13">
        <f t="shared" si="78"/>
        <v>1</v>
      </c>
      <c r="L326" s="601"/>
      <c r="M326" s="13">
        <f t="shared" si="79"/>
        <v>1</v>
      </c>
      <c r="N326" s="601"/>
      <c r="O326" s="13">
        <f t="shared" si="80"/>
        <v>1</v>
      </c>
      <c r="P326" s="601"/>
      <c r="Q326" s="13">
        <f t="shared" si="81"/>
        <v>1</v>
      </c>
      <c r="R326" s="597">
        <f t="shared" si="86"/>
        <v>0</v>
      </c>
      <c r="S326" s="250">
        <f t="shared" si="87"/>
        <v>0</v>
      </c>
      <c r="T326" s="901">
        <f t="shared" si="88"/>
        <v>0</v>
      </c>
      <c r="U326" s="2988">
        <f t="shared" si="82"/>
        <v>0</v>
      </c>
      <c r="V326" s="2988">
        <f t="shared" si="83"/>
        <v>0</v>
      </c>
      <c r="W326" s="998"/>
      <c r="X326" s="2988">
        <f t="shared" si="84"/>
        <v>0</v>
      </c>
      <c r="Y326" s="2988">
        <f t="shared" si="85"/>
        <v>0</v>
      </c>
      <c r="Z326" s="998"/>
    </row>
    <row r="327" spans="1:26">
      <c r="A327" s="35"/>
      <c r="B327" s="20"/>
      <c r="C327" s="13">
        <f t="shared" si="74"/>
        <v>1</v>
      </c>
      <c r="D327" s="601"/>
      <c r="E327" s="13">
        <f t="shared" si="75"/>
        <v>1</v>
      </c>
      <c r="F327" s="601"/>
      <c r="G327" s="13">
        <f t="shared" si="76"/>
        <v>1</v>
      </c>
      <c r="H327" s="601"/>
      <c r="I327" s="13">
        <f t="shared" si="77"/>
        <v>1</v>
      </c>
      <c r="J327" s="601"/>
      <c r="K327" s="13">
        <f t="shared" si="78"/>
        <v>1</v>
      </c>
      <c r="L327" s="601"/>
      <c r="M327" s="13">
        <f t="shared" si="79"/>
        <v>1</v>
      </c>
      <c r="N327" s="601"/>
      <c r="O327" s="13">
        <f t="shared" si="80"/>
        <v>1</v>
      </c>
      <c r="P327" s="601"/>
      <c r="Q327" s="13">
        <f t="shared" si="81"/>
        <v>1</v>
      </c>
      <c r="R327" s="597">
        <f t="shared" si="86"/>
        <v>0</v>
      </c>
      <c r="S327" s="250">
        <f t="shared" si="87"/>
        <v>0</v>
      </c>
      <c r="T327" s="901">
        <f t="shared" si="88"/>
        <v>0</v>
      </c>
      <c r="U327" s="2988">
        <f t="shared" si="82"/>
        <v>0</v>
      </c>
      <c r="V327" s="2988">
        <f t="shared" si="83"/>
        <v>0</v>
      </c>
      <c r="W327" s="998"/>
      <c r="X327" s="2988">
        <f t="shared" si="84"/>
        <v>0</v>
      </c>
      <c r="Y327" s="2988">
        <f t="shared" si="85"/>
        <v>0</v>
      </c>
      <c r="Z327" s="998"/>
    </row>
    <row r="328" spans="1:26">
      <c r="A328" s="35"/>
      <c r="B328" s="20"/>
      <c r="C328" s="13">
        <f t="shared" si="74"/>
        <v>1</v>
      </c>
      <c r="D328" s="601"/>
      <c r="E328" s="13">
        <f t="shared" si="75"/>
        <v>1</v>
      </c>
      <c r="F328" s="601"/>
      <c r="G328" s="13">
        <f t="shared" si="76"/>
        <v>1</v>
      </c>
      <c r="H328" s="601"/>
      <c r="I328" s="13">
        <f t="shared" si="77"/>
        <v>1</v>
      </c>
      <c r="J328" s="601"/>
      <c r="K328" s="13">
        <f t="shared" si="78"/>
        <v>1</v>
      </c>
      <c r="L328" s="601"/>
      <c r="M328" s="13">
        <f t="shared" si="79"/>
        <v>1</v>
      </c>
      <c r="N328" s="601"/>
      <c r="O328" s="13">
        <f t="shared" si="80"/>
        <v>1</v>
      </c>
      <c r="P328" s="601"/>
      <c r="Q328" s="13">
        <f t="shared" si="81"/>
        <v>1</v>
      </c>
      <c r="R328" s="597">
        <f t="shared" si="86"/>
        <v>0</v>
      </c>
      <c r="S328" s="250">
        <f t="shared" si="87"/>
        <v>0</v>
      </c>
      <c r="T328" s="901">
        <f t="shared" si="88"/>
        <v>0</v>
      </c>
      <c r="U328" s="2988">
        <f t="shared" si="82"/>
        <v>0</v>
      </c>
      <c r="V328" s="2988">
        <f t="shared" si="83"/>
        <v>0</v>
      </c>
      <c r="W328" s="998"/>
      <c r="X328" s="2988">
        <f t="shared" si="84"/>
        <v>0</v>
      </c>
      <c r="Y328" s="2988">
        <f t="shared" si="85"/>
        <v>0</v>
      </c>
      <c r="Z328" s="998"/>
    </row>
    <row r="329" spans="1:26">
      <c r="A329" s="35"/>
      <c r="B329" s="20"/>
      <c r="C329" s="13">
        <f t="shared" si="74"/>
        <v>1</v>
      </c>
      <c r="D329" s="601"/>
      <c r="E329" s="13">
        <f t="shared" si="75"/>
        <v>1</v>
      </c>
      <c r="F329" s="601"/>
      <c r="G329" s="13">
        <f t="shared" si="76"/>
        <v>1</v>
      </c>
      <c r="H329" s="601"/>
      <c r="I329" s="13">
        <f t="shared" si="77"/>
        <v>1</v>
      </c>
      <c r="J329" s="601"/>
      <c r="K329" s="13">
        <f t="shared" si="78"/>
        <v>1</v>
      </c>
      <c r="L329" s="601"/>
      <c r="M329" s="13">
        <f t="shared" si="79"/>
        <v>1</v>
      </c>
      <c r="N329" s="601"/>
      <c r="O329" s="13">
        <f t="shared" si="80"/>
        <v>1</v>
      </c>
      <c r="P329" s="601"/>
      <c r="Q329" s="13">
        <f t="shared" si="81"/>
        <v>1</v>
      </c>
      <c r="R329" s="597">
        <f t="shared" si="86"/>
        <v>0</v>
      </c>
      <c r="S329" s="250">
        <f t="shared" si="87"/>
        <v>0</v>
      </c>
      <c r="T329" s="901">
        <f t="shared" si="88"/>
        <v>0</v>
      </c>
      <c r="U329" s="2988">
        <f t="shared" si="82"/>
        <v>0</v>
      </c>
      <c r="V329" s="2988">
        <f t="shared" si="83"/>
        <v>0</v>
      </c>
      <c r="W329" s="998"/>
      <c r="X329" s="2988">
        <f t="shared" si="84"/>
        <v>0</v>
      </c>
      <c r="Y329" s="2988">
        <f t="shared" si="85"/>
        <v>0</v>
      </c>
      <c r="Z329" s="998"/>
    </row>
    <row r="330" spans="1:26">
      <c r="A330" s="35"/>
      <c r="B330" s="20"/>
      <c r="C330" s="13">
        <f t="shared" si="74"/>
        <v>1</v>
      </c>
      <c r="D330" s="601"/>
      <c r="E330" s="13">
        <f t="shared" si="75"/>
        <v>1</v>
      </c>
      <c r="F330" s="601"/>
      <c r="G330" s="13">
        <f t="shared" si="76"/>
        <v>1</v>
      </c>
      <c r="H330" s="601"/>
      <c r="I330" s="13">
        <f t="shared" si="77"/>
        <v>1</v>
      </c>
      <c r="J330" s="601"/>
      <c r="K330" s="13">
        <f t="shared" si="78"/>
        <v>1</v>
      </c>
      <c r="L330" s="601"/>
      <c r="M330" s="13">
        <f t="shared" si="79"/>
        <v>1</v>
      </c>
      <c r="N330" s="601"/>
      <c r="O330" s="13">
        <f t="shared" si="80"/>
        <v>1</v>
      </c>
      <c r="P330" s="601"/>
      <c r="Q330" s="13">
        <f t="shared" si="81"/>
        <v>1</v>
      </c>
      <c r="R330" s="597">
        <f t="shared" si="86"/>
        <v>0</v>
      </c>
      <c r="S330" s="250">
        <f t="shared" si="87"/>
        <v>0</v>
      </c>
      <c r="T330" s="901">
        <f t="shared" si="88"/>
        <v>0</v>
      </c>
      <c r="U330" s="2988">
        <f t="shared" si="82"/>
        <v>0</v>
      </c>
      <c r="V330" s="2988">
        <f t="shared" si="83"/>
        <v>0</v>
      </c>
      <c r="W330" s="998"/>
      <c r="X330" s="2988">
        <f t="shared" si="84"/>
        <v>0</v>
      </c>
      <c r="Y330" s="2988">
        <f t="shared" si="85"/>
        <v>0</v>
      </c>
      <c r="Z330" s="998"/>
    </row>
    <row r="331" spans="1:26">
      <c r="A331" s="35"/>
      <c r="B331" s="20"/>
      <c r="C331" s="13">
        <f t="shared" si="74"/>
        <v>1</v>
      </c>
      <c r="D331" s="601"/>
      <c r="E331" s="13">
        <f t="shared" si="75"/>
        <v>1</v>
      </c>
      <c r="F331" s="601"/>
      <c r="G331" s="13">
        <f t="shared" si="76"/>
        <v>1</v>
      </c>
      <c r="H331" s="601"/>
      <c r="I331" s="13">
        <f t="shared" si="77"/>
        <v>1</v>
      </c>
      <c r="J331" s="601"/>
      <c r="K331" s="13">
        <f t="shared" si="78"/>
        <v>1</v>
      </c>
      <c r="L331" s="601"/>
      <c r="M331" s="13">
        <f t="shared" si="79"/>
        <v>1</v>
      </c>
      <c r="N331" s="601"/>
      <c r="O331" s="13">
        <f t="shared" si="80"/>
        <v>1</v>
      </c>
      <c r="P331" s="601"/>
      <c r="Q331" s="13">
        <f t="shared" si="81"/>
        <v>1</v>
      </c>
      <c r="R331" s="597">
        <f t="shared" si="86"/>
        <v>0</v>
      </c>
      <c r="S331" s="250">
        <f t="shared" si="87"/>
        <v>0</v>
      </c>
      <c r="T331" s="901">
        <f t="shared" si="88"/>
        <v>0</v>
      </c>
      <c r="U331" s="2988">
        <f t="shared" si="82"/>
        <v>0</v>
      </c>
      <c r="V331" s="2988">
        <f t="shared" si="83"/>
        <v>0</v>
      </c>
      <c r="W331" s="998"/>
      <c r="X331" s="2988">
        <f t="shared" si="84"/>
        <v>0</v>
      </c>
      <c r="Y331" s="2988">
        <f t="shared" si="85"/>
        <v>0</v>
      </c>
      <c r="Z331" s="998"/>
    </row>
    <row r="332" spans="1:26">
      <c r="A332" s="35"/>
      <c r="B332" s="20"/>
      <c r="C332" s="13">
        <f t="shared" si="74"/>
        <v>1</v>
      </c>
      <c r="D332" s="601"/>
      <c r="E332" s="13">
        <f t="shared" si="75"/>
        <v>1</v>
      </c>
      <c r="F332" s="601"/>
      <c r="G332" s="13">
        <f t="shared" si="76"/>
        <v>1</v>
      </c>
      <c r="H332" s="601"/>
      <c r="I332" s="13">
        <f t="shared" si="77"/>
        <v>1</v>
      </c>
      <c r="J332" s="601"/>
      <c r="K332" s="13">
        <f t="shared" si="78"/>
        <v>1</v>
      </c>
      <c r="L332" s="601"/>
      <c r="M332" s="13">
        <f t="shared" si="79"/>
        <v>1</v>
      </c>
      <c r="N332" s="601"/>
      <c r="O332" s="13">
        <f t="shared" si="80"/>
        <v>1</v>
      </c>
      <c r="P332" s="601"/>
      <c r="Q332" s="13">
        <f t="shared" si="81"/>
        <v>1</v>
      </c>
      <c r="R332" s="597">
        <f t="shared" si="86"/>
        <v>0</v>
      </c>
      <c r="S332" s="250">
        <f t="shared" si="87"/>
        <v>0</v>
      </c>
      <c r="T332" s="901">
        <f t="shared" si="88"/>
        <v>0</v>
      </c>
      <c r="U332" s="2988">
        <f t="shared" si="82"/>
        <v>0</v>
      </c>
      <c r="V332" s="2988">
        <f t="shared" si="83"/>
        <v>0</v>
      </c>
      <c r="W332" s="998"/>
      <c r="X332" s="2988">
        <f t="shared" si="84"/>
        <v>0</v>
      </c>
      <c r="Y332" s="2988">
        <f t="shared" si="85"/>
        <v>0</v>
      </c>
      <c r="Z332" s="998"/>
    </row>
    <row r="333" spans="1:26">
      <c r="A333" s="35"/>
      <c r="B333" s="20"/>
      <c r="C333" s="13">
        <f t="shared" si="74"/>
        <v>1</v>
      </c>
      <c r="D333" s="601"/>
      <c r="E333" s="13">
        <f t="shared" si="75"/>
        <v>1</v>
      </c>
      <c r="F333" s="601"/>
      <c r="G333" s="13">
        <f t="shared" si="76"/>
        <v>1</v>
      </c>
      <c r="H333" s="601"/>
      <c r="I333" s="13">
        <f t="shared" si="77"/>
        <v>1</v>
      </c>
      <c r="J333" s="601"/>
      <c r="K333" s="13">
        <f t="shared" si="78"/>
        <v>1</v>
      </c>
      <c r="L333" s="601"/>
      <c r="M333" s="13">
        <f t="shared" si="79"/>
        <v>1</v>
      </c>
      <c r="N333" s="601"/>
      <c r="O333" s="13">
        <f t="shared" si="80"/>
        <v>1</v>
      </c>
      <c r="P333" s="601"/>
      <c r="Q333" s="13">
        <f t="shared" si="81"/>
        <v>1</v>
      </c>
      <c r="R333" s="597">
        <f t="shared" si="86"/>
        <v>0</v>
      </c>
      <c r="S333" s="250">
        <f t="shared" si="87"/>
        <v>0</v>
      </c>
      <c r="T333" s="901">
        <f t="shared" si="88"/>
        <v>0</v>
      </c>
      <c r="U333" s="2988">
        <f t="shared" si="82"/>
        <v>0</v>
      </c>
      <c r="V333" s="2988">
        <f t="shared" si="83"/>
        <v>0</v>
      </c>
      <c r="W333" s="998"/>
      <c r="X333" s="2988">
        <f t="shared" si="84"/>
        <v>0</v>
      </c>
      <c r="Y333" s="2988">
        <f t="shared" si="85"/>
        <v>0</v>
      </c>
      <c r="Z333" s="998"/>
    </row>
    <row r="334" spans="1:26">
      <c r="A334" s="35"/>
      <c r="B334" s="20"/>
      <c r="C334" s="13">
        <f t="shared" si="74"/>
        <v>1</v>
      </c>
      <c r="D334" s="601"/>
      <c r="E334" s="13">
        <f t="shared" si="75"/>
        <v>1</v>
      </c>
      <c r="F334" s="601"/>
      <c r="G334" s="13">
        <f t="shared" si="76"/>
        <v>1</v>
      </c>
      <c r="H334" s="601"/>
      <c r="I334" s="13">
        <f t="shared" si="77"/>
        <v>1</v>
      </c>
      <c r="J334" s="601"/>
      <c r="K334" s="13">
        <f t="shared" si="78"/>
        <v>1</v>
      </c>
      <c r="L334" s="601"/>
      <c r="M334" s="13">
        <f t="shared" si="79"/>
        <v>1</v>
      </c>
      <c r="N334" s="601"/>
      <c r="O334" s="13">
        <f t="shared" si="80"/>
        <v>1</v>
      </c>
      <c r="P334" s="601"/>
      <c r="Q334" s="13">
        <f t="shared" si="81"/>
        <v>1</v>
      </c>
      <c r="R334" s="597">
        <f t="shared" si="86"/>
        <v>0</v>
      </c>
      <c r="S334" s="250">
        <f t="shared" si="87"/>
        <v>0</v>
      </c>
      <c r="T334" s="901">
        <f t="shared" si="88"/>
        <v>0</v>
      </c>
      <c r="U334" s="2988">
        <f t="shared" si="82"/>
        <v>0</v>
      </c>
      <c r="V334" s="2988">
        <f t="shared" si="83"/>
        <v>0</v>
      </c>
      <c r="W334" s="998"/>
      <c r="X334" s="2988">
        <f t="shared" si="84"/>
        <v>0</v>
      </c>
      <c r="Y334" s="2988">
        <f t="shared" si="85"/>
        <v>0</v>
      </c>
      <c r="Z334" s="998"/>
    </row>
    <row r="335" spans="1:26">
      <c r="A335" s="35"/>
      <c r="B335" s="20"/>
      <c r="C335" s="13">
        <f t="shared" si="74"/>
        <v>1</v>
      </c>
      <c r="D335" s="601"/>
      <c r="E335" s="13">
        <f t="shared" si="75"/>
        <v>1</v>
      </c>
      <c r="F335" s="601"/>
      <c r="G335" s="13">
        <f t="shared" si="76"/>
        <v>1</v>
      </c>
      <c r="H335" s="601"/>
      <c r="I335" s="13">
        <f t="shared" si="77"/>
        <v>1</v>
      </c>
      <c r="J335" s="601"/>
      <c r="K335" s="13">
        <f t="shared" si="78"/>
        <v>1</v>
      </c>
      <c r="L335" s="601"/>
      <c r="M335" s="13">
        <f t="shared" si="79"/>
        <v>1</v>
      </c>
      <c r="N335" s="601"/>
      <c r="O335" s="13">
        <f t="shared" si="80"/>
        <v>1</v>
      </c>
      <c r="P335" s="601"/>
      <c r="Q335" s="13">
        <f t="shared" si="81"/>
        <v>1</v>
      </c>
      <c r="R335" s="597">
        <f t="shared" si="86"/>
        <v>0</v>
      </c>
      <c r="S335" s="250">
        <f t="shared" si="87"/>
        <v>0</v>
      </c>
      <c r="T335" s="901">
        <f t="shared" si="88"/>
        <v>0</v>
      </c>
      <c r="U335" s="2988">
        <f t="shared" si="82"/>
        <v>0</v>
      </c>
      <c r="V335" s="2988">
        <f t="shared" si="83"/>
        <v>0</v>
      </c>
      <c r="W335" s="998"/>
      <c r="X335" s="2988">
        <f t="shared" si="84"/>
        <v>0</v>
      </c>
      <c r="Y335" s="2988">
        <f t="shared" si="85"/>
        <v>0</v>
      </c>
      <c r="Z335" s="998"/>
    </row>
    <row r="336" spans="1:26">
      <c r="A336" s="35"/>
      <c r="B336" s="20"/>
      <c r="C336" s="13">
        <f t="shared" si="74"/>
        <v>1</v>
      </c>
      <c r="D336" s="601"/>
      <c r="E336" s="13">
        <f t="shared" si="75"/>
        <v>1</v>
      </c>
      <c r="F336" s="601"/>
      <c r="G336" s="13">
        <f t="shared" si="76"/>
        <v>1</v>
      </c>
      <c r="H336" s="601"/>
      <c r="I336" s="13">
        <f t="shared" si="77"/>
        <v>1</v>
      </c>
      <c r="J336" s="601"/>
      <c r="K336" s="13">
        <f t="shared" si="78"/>
        <v>1</v>
      </c>
      <c r="L336" s="601"/>
      <c r="M336" s="13">
        <f t="shared" si="79"/>
        <v>1</v>
      </c>
      <c r="N336" s="601"/>
      <c r="O336" s="13">
        <f t="shared" si="80"/>
        <v>1</v>
      </c>
      <c r="P336" s="601"/>
      <c r="Q336" s="13">
        <f t="shared" si="81"/>
        <v>1</v>
      </c>
      <c r="R336" s="597">
        <f t="shared" si="86"/>
        <v>0</v>
      </c>
      <c r="S336" s="250">
        <f t="shared" si="87"/>
        <v>0</v>
      </c>
      <c r="T336" s="901">
        <f t="shared" si="88"/>
        <v>0</v>
      </c>
      <c r="U336" s="2988">
        <f t="shared" si="82"/>
        <v>0</v>
      </c>
      <c r="V336" s="2988">
        <f t="shared" si="83"/>
        <v>0</v>
      </c>
      <c r="W336" s="998"/>
      <c r="X336" s="2988">
        <f t="shared" si="84"/>
        <v>0</v>
      </c>
      <c r="Y336" s="2988">
        <f t="shared" si="85"/>
        <v>0</v>
      </c>
      <c r="Z336" s="998"/>
    </row>
    <row r="337" spans="1:26">
      <c r="A337" s="35"/>
      <c r="B337" s="20"/>
      <c r="C337" s="13">
        <f t="shared" si="74"/>
        <v>1</v>
      </c>
      <c r="D337" s="601"/>
      <c r="E337" s="13">
        <f t="shared" si="75"/>
        <v>1</v>
      </c>
      <c r="F337" s="601"/>
      <c r="G337" s="13">
        <f t="shared" si="76"/>
        <v>1</v>
      </c>
      <c r="H337" s="601"/>
      <c r="I337" s="13">
        <f t="shared" si="77"/>
        <v>1</v>
      </c>
      <c r="J337" s="601"/>
      <c r="K337" s="13">
        <f t="shared" si="78"/>
        <v>1</v>
      </c>
      <c r="L337" s="601"/>
      <c r="M337" s="13">
        <f t="shared" si="79"/>
        <v>1</v>
      </c>
      <c r="N337" s="601"/>
      <c r="O337" s="13">
        <f t="shared" si="80"/>
        <v>1</v>
      </c>
      <c r="P337" s="601"/>
      <c r="Q337" s="13">
        <f t="shared" si="81"/>
        <v>1</v>
      </c>
      <c r="R337" s="597">
        <f t="shared" si="86"/>
        <v>0</v>
      </c>
      <c r="S337" s="250">
        <f t="shared" si="87"/>
        <v>0</v>
      </c>
      <c r="T337" s="901">
        <f t="shared" si="88"/>
        <v>0</v>
      </c>
      <c r="U337" s="2988">
        <f t="shared" si="82"/>
        <v>0</v>
      </c>
      <c r="V337" s="2988">
        <f t="shared" si="83"/>
        <v>0</v>
      </c>
      <c r="W337" s="998"/>
      <c r="X337" s="2988">
        <f t="shared" si="84"/>
        <v>0</v>
      </c>
      <c r="Y337" s="2988">
        <f t="shared" si="85"/>
        <v>0</v>
      </c>
      <c r="Z337" s="998"/>
    </row>
    <row r="338" spans="1:26">
      <c r="A338" s="35"/>
      <c r="B338" s="20"/>
      <c r="C338" s="13">
        <f t="shared" si="74"/>
        <v>1</v>
      </c>
      <c r="D338" s="601"/>
      <c r="E338" s="13">
        <f t="shared" si="75"/>
        <v>1</v>
      </c>
      <c r="F338" s="601"/>
      <c r="G338" s="13">
        <f t="shared" si="76"/>
        <v>1</v>
      </c>
      <c r="H338" s="601"/>
      <c r="I338" s="13">
        <f t="shared" si="77"/>
        <v>1</v>
      </c>
      <c r="J338" s="601"/>
      <c r="K338" s="13">
        <f t="shared" si="78"/>
        <v>1</v>
      </c>
      <c r="L338" s="601"/>
      <c r="M338" s="13">
        <f t="shared" si="79"/>
        <v>1</v>
      </c>
      <c r="N338" s="601"/>
      <c r="O338" s="13">
        <f t="shared" si="80"/>
        <v>1</v>
      </c>
      <c r="P338" s="601"/>
      <c r="Q338" s="13">
        <f t="shared" si="81"/>
        <v>1</v>
      </c>
      <c r="R338" s="597">
        <f t="shared" si="86"/>
        <v>0</v>
      </c>
      <c r="S338" s="250">
        <f t="shared" si="87"/>
        <v>0</v>
      </c>
      <c r="T338" s="901">
        <f t="shared" si="88"/>
        <v>0</v>
      </c>
      <c r="U338" s="2988">
        <f t="shared" si="82"/>
        <v>0</v>
      </c>
      <c r="V338" s="2988">
        <f t="shared" si="83"/>
        <v>0</v>
      </c>
      <c r="W338" s="998"/>
      <c r="X338" s="2988">
        <f t="shared" si="84"/>
        <v>0</v>
      </c>
      <c r="Y338" s="2988">
        <f t="shared" si="85"/>
        <v>0</v>
      </c>
      <c r="Z338" s="998"/>
    </row>
    <row r="339" spans="1:26">
      <c r="A339" s="35"/>
      <c r="B339" s="20"/>
      <c r="C339" s="13">
        <f t="shared" si="74"/>
        <v>1</v>
      </c>
      <c r="D339" s="601"/>
      <c r="E339" s="13">
        <f t="shared" si="75"/>
        <v>1</v>
      </c>
      <c r="F339" s="601"/>
      <c r="G339" s="13">
        <f t="shared" si="76"/>
        <v>1</v>
      </c>
      <c r="H339" s="601"/>
      <c r="I339" s="13">
        <f t="shared" si="77"/>
        <v>1</v>
      </c>
      <c r="J339" s="601"/>
      <c r="K339" s="13">
        <f t="shared" si="78"/>
        <v>1</v>
      </c>
      <c r="L339" s="601"/>
      <c r="M339" s="13">
        <f t="shared" si="79"/>
        <v>1</v>
      </c>
      <c r="N339" s="601"/>
      <c r="O339" s="13">
        <f t="shared" si="80"/>
        <v>1</v>
      </c>
      <c r="P339" s="601"/>
      <c r="Q339" s="13">
        <f t="shared" si="81"/>
        <v>1</v>
      </c>
      <c r="R339" s="597">
        <f t="shared" si="86"/>
        <v>0</v>
      </c>
      <c r="S339" s="250">
        <f t="shared" si="87"/>
        <v>0</v>
      </c>
      <c r="T339" s="901">
        <f t="shared" si="88"/>
        <v>0</v>
      </c>
      <c r="U339" s="2988">
        <f t="shared" si="82"/>
        <v>0</v>
      </c>
      <c r="V339" s="2988">
        <f t="shared" si="83"/>
        <v>0</v>
      </c>
      <c r="W339" s="998"/>
      <c r="X339" s="2988">
        <f t="shared" si="84"/>
        <v>0</v>
      </c>
      <c r="Y339" s="2988">
        <f t="shared" si="85"/>
        <v>0</v>
      </c>
      <c r="Z339" s="998"/>
    </row>
    <row r="340" spans="1:26">
      <c r="A340" s="35"/>
      <c r="B340" s="20"/>
      <c r="C340" s="13">
        <f t="shared" si="74"/>
        <v>1</v>
      </c>
      <c r="D340" s="601"/>
      <c r="E340" s="13">
        <f t="shared" si="75"/>
        <v>1</v>
      </c>
      <c r="F340" s="601"/>
      <c r="G340" s="13">
        <f t="shared" si="76"/>
        <v>1</v>
      </c>
      <c r="H340" s="601"/>
      <c r="I340" s="13">
        <f t="shared" si="77"/>
        <v>1</v>
      </c>
      <c r="J340" s="601"/>
      <c r="K340" s="13">
        <f t="shared" si="78"/>
        <v>1</v>
      </c>
      <c r="L340" s="601"/>
      <c r="M340" s="13">
        <f t="shared" si="79"/>
        <v>1</v>
      </c>
      <c r="N340" s="601"/>
      <c r="O340" s="13">
        <f t="shared" si="80"/>
        <v>1</v>
      </c>
      <c r="P340" s="601"/>
      <c r="Q340" s="13">
        <f t="shared" si="81"/>
        <v>1</v>
      </c>
      <c r="R340" s="597">
        <f t="shared" si="86"/>
        <v>0</v>
      </c>
      <c r="S340" s="250">
        <f t="shared" si="87"/>
        <v>0</v>
      </c>
      <c r="T340" s="901">
        <f t="shared" si="88"/>
        <v>0</v>
      </c>
      <c r="U340" s="2988">
        <f t="shared" si="82"/>
        <v>0</v>
      </c>
      <c r="V340" s="2988">
        <f t="shared" si="83"/>
        <v>0</v>
      </c>
      <c r="W340" s="998"/>
      <c r="X340" s="2988">
        <f t="shared" si="84"/>
        <v>0</v>
      </c>
      <c r="Y340" s="2988">
        <f t="shared" si="85"/>
        <v>0</v>
      </c>
      <c r="Z340" s="998"/>
    </row>
    <row r="341" spans="1:26">
      <c r="A341" s="35"/>
      <c r="B341" s="20"/>
      <c r="C341" s="13">
        <f t="shared" si="74"/>
        <v>1</v>
      </c>
      <c r="D341" s="601"/>
      <c r="E341" s="13">
        <f t="shared" si="75"/>
        <v>1</v>
      </c>
      <c r="F341" s="601"/>
      <c r="G341" s="13">
        <f t="shared" si="76"/>
        <v>1</v>
      </c>
      <c r="H341" s="601"/>
      <c r="I341" s="13">
        <f t="shared" si="77"/>
        <v>1</v>
      </c>
      <c r="J341" s="601"/>
      <c r="K341" s="13">
        <f t="shared" si="78"/>
        <v>1</v>
      </c>
      <c r="L341" s="601"/>
      <c r="M341" s="13">
        <f t="shared" si="79"/>
        <v>1</v>
      </c>
      <c r="N341" s="601"/>
      <c r="O341" s="13">
        <f t="shared" si="80"/>
        <v>1</v>
      </c>
      <c r="P341" s="601"/>
      <c r="Q341" s="13">
        <f t="shared" si="81"/>
        <v>1</v>
      </c>
      <c r="R341" s="597">
        <f t="shared" si="86"/>
        <v>0</v>
      </c>
      <c r="S341" s="250">
        <f t="shared" si="87"/>
        <v>0</v>
      </c>
      <c r="T341" s="901">
        <f t="shared" si="88"/>
        <v>0</v>
      </c>
      <c r="U341" s="2988">
        <f t="shared" si="82"/>
        <v>0</v>
      </c>
      <c r="V341" s="2988">
        <f t="shared" si="83"/>
        <v>0</v>
      </c>
      <c r="W341" s="998"/>
      <c r="X341" s="2988">
        <f t="shared" si="84"/>
        <v>0</v>
      </c>
      <c r="Y341" s="2988">
        <f t="shared" si="85"/>
        <v>0</v>
      </c>
      <c r="Z341" s="998"/>
    </row>
    <row r="342" spans="1:26">
      <c r="A342" s="35"/>
      <c r="B342" s="20"/>
      <c r="C342" s="13">
        <f t="shared" si="74"/>
        <v>1</v>
      </c>
      <c r="D342" s="601"/>
      <c r="E342" s="13">
        <f t="shared" si="75"/>
        <v>1</v>
      </c>
      <c r="F342" s="601"/>
      <c r="G342" s="13">
        <f t="shared" si="76"/>
        <v>1</v>
      </c>
      <c r="H342" s="601"/>
      <c r="I342" s="13">
        <f t="shared" si="77"/>
        <v>1</v>
      </c>
      <c r="J342" s="601"/>
      <c r="K342" s="13">
        <f t="shared" si="78"/>
        <v>1</v>
      </c>
      <c r="L342" s="601"/>
      <c r="M342" s="13">
        <f t="shared" si="79"/>
        <v>1</v>
      </c>
      <c r="N342" s="601"/>
      <c r="O342" s="13">
        <f t="shared" si="80"/>
        <v>1</v>
      </c>
      <c r="P342" s="601"/>
      <c r="Q342" s="13">
        <f t="shared" si="81"/>
        <v>1</v>
      </c>
      <c r="R342" s="597">
        <f t="shared" si="86"/>
        <v>0</v>
      </c>
      <c r="S342" s="250">
        <f t="shared" si="87"/>
        <v>0</v>
      </c>
      <c r="T342" s="901">
        <f t="shared" si="88"/>
        <v>0</v>
      </c>
      <c r="U342" s="2988">
        <f t="shared" si="82"/>
        <v>0</v>
      </c>
      <c r="V342" s="2988">
        <f t="shared" si="83"/>
        <v>0</v>
      </c>
      <c r="W342" s="998"/>
      <c r="X342" s="2988">
        <f t="shared" si="84"/>
        <v>0</v>
      </c>
      <c r="Y342" s="2988">
        <f t="shared" si="85"/>
        <v>0</v>
      </c>
      <c r="Z342" s="998"/>
    </row>
    <row r="343" spans="1:26">
      <c r="A343" s="35"/>
      <c r="B343" s="20"/>
      <c r="C343" s="13">
        <f t="shared" si="74"/>
        <v>1</v>
      </c>
      <c r="D343" s="601"/>
      <c r="E343" s="13">
        <f t="shared" si="75"/>
        <v>1</v>
      </c>
      <c r="F343" s="601"/>
      <c r="G343" s="13">
        <f t="shared" si="76"/>
        <v>1</v>
      </c>
      <c r="H343" s="601"/>
      <c r="I343" s="13">
        <f t="shared" si="77"/>
        <v>1</v>
      </c>
      <c r="J343" s="601"/>
      <c r="K343" s="13">
        <f t="shared" si="78"/>
        <v>1</v>
      </c>
      <c r="L343" s="601"/>
      <c r="M343" s="13">
        <f t="shared" si="79"/>
        <v>1</v>
      </c>
      <c r="N343" s="601"/>
      <c r="O343" s="13">
        <f t="shared" si="80"/>
        <v>1</v>
      </c>
      <c r="P343" s="601"/>
      <c r="Q343" s="13">
        <f t="shared" si="81"/>
        <v>1</v>
      </c>
      <c r="R343" s="597">
        <f t="shared" si="86"/>
        <v>0</v>
      </c>
      <c r="S343" s="250">
        <f t="shared" si="87"/>
        <v>0</v>
      </c>
      <c r="T343" s="901">
        <f t="shared" si="88"/>
        <v>0</v>
      </c>
      <c r="U343" s="2988">
        <f t="shared" si="82"/>
        <v>0</v>
      </c>
      <c r="V343" s="2988">
        <f t="shared" si="83"/>
        <v>0</v>
      </c>
      <c r="W343" s="998"/>
      <c r="X343" s="2988">
        <f t="shared" si="84"/>
        <v>0</v>
      </c>
      <c r="Y343" s="2988">
        <f t="shared" si="85"/>
        <v>0</v>
      </c>
      <c r="Z343" s="998"/>
    </row>
    <row r="344" spans="1:26">
      <c r="A344" s="35"/>
      <c r="B344" s="20"/>
      <c r="C344" s="13">
        <f t="shared" si="74"/>
        <v>1</v>
      </c>
      <c r="D344" s="601"/>
      <c r="E344" s="13">
        <f t="shared" si="75"/>
        <v>1</v>
      </c>
      <c r="F344" s="601"/>
      <c r="G344" s="13">
        <f t="shared" si="76"/>
        <v>1</v>
      </c>
      <c r="H344" s="601"/>
      <c r="I344" s="13">
        <f t="shared" si="77"/>
        <v>1</v>
      </c>
      <c r="J344" s="601"/>
      <c r="K344" s="13">
        <f t="shared" si="78"/>
        <v>1</v>
      </c>
      <c r="L344" s="601"/>
      <c r="M344" s="13">
        <f t="shared" si="79"/>
        <v>1</v>
      </c>
      <c r="N344" s="601"/>
      <c r="O344" s="13">
        <f t="shared" si="80"/>
        <v>1</v>
      </c>
      <c r="P344" s="601"/>
      <c r="Q344" s="13">
        <f t="shared" si="81"/>
        <v>1</v>
      </c>
      <c r="R344" s="597">
        <f t="shared" si="86"/>
        <v>0</v>
      </c>
      <c r="S344" s="250">
        <f t="shared" si="87"/>
        <v>0</v>
      </c>
      <c r="T344" s="901">
        <f t="shared" si="88"/>
        <v>0</v>
      </c>
      <c r="U344" s="2988">
        <f t="shared" si="82"/>
        <v>0</v>
      </c>
      <c r="V344" s="2988">
        <f t="shared" si="83"/>
        <v>0</v>
      </c>
      <c r="W344" s="998"/>
      <c r="X344" s="2988">
        <f t="shared" si="84"/>
        <v>0</v>
      </c>
      <c r="Y344" s="2988">
        <f t="shared" si="85"/>
        <v>0</v>
      </c>
      <c r="Z344" s="998"/>
    </row>
    <row r="345" spans="1:26">
      <c r="A345" s="35"/>
      <c r="B345" s="20"/>
      <c r="C345" s="13">
        <f t="shared" si="74"/>
        <v>1</v>
      </c>
      <c r="D345" s="601"/>
      <c r="E345" s="13">
        <f t="shared" si="75"/>
        <v>1</v>
      </c>
      <c r="F345" s="601"/>
      <c r="G345" s="13">
        <f t="shared" si="76"/>
        <v>1</v>
      </c>
      <c r="H345" s="601"/>
      <c r="I345" s="13">
        <f t="shared" si="77"/>
        <v>1</v>
      </c>
      <c r="J345" s="601"/>
      <c r="K345" s="13">
        <f t="shared" si="78"/>
        <v>1</v>
      </c>
      <c r="L345" s="601"/>
      <c r="M345" s="13">
        <f t="shared" si="79"/>
        <v>1</v>
      </c>
      <c r="N345" s="601"/>
      <c r="O345" s="13">
        <f t="shared" si="80"/>
        <v>1</v>
      </c>
      <c r="P345" s="601"/>
      <c r="Q345" s="13">
        <f t="shared" si="81"/>
        <v>1</v>
      </c>
      <c r="R345" s="597">
        <f t="shared" si="86"/>
        <v>0</v>
      </c>
      <c r="S345" s="250">
        <f t="shared" si="87"/>
        <v>0</v>
      </c>
      <c r="T345" s="901">
        <f t="shared" si="88"/>
        <v>0</v>
      </c>
      <c r="U345" s="2988">
        <f t="shared" si="82"/>
        <v>0</v>
      </c>
      <c r="V345" s="2988">
        <f t="shared" si="83"/>
        <v>0</v>
      </c>
      <c r="W345" s="998"/>
      <c r="X345" s="2988">
        <f t="shared" si="84"/>
        <v>0</v>
      </c>
      <c r="Y345" s="2988">
        <f t="shared" si="85"/>
        <v>0</v>
      </c>
      <c r="Z345" s="998"/>
    </row>
    <row r="346" spans="1:26">
      <c r="A346" s="35"/>
      <c r="B346" s="20"/>
      <c r="C346" s="13">
        <f t="shared" si="74"/>
        <v>1</v>
      </c>
      <c r="D346" s="601"/>
      <c r="E346" s="13">
        <f t="shared" si="75"/>
        <v>1</v>
      </c>
      <c r="F346" s="601"/>
      <c r="G346" s="13">
        <f t="shared" si="76"/>
        <v>1</v>
      </c>
      <c r="H346" s="601"/>
      <c r="I346" s="13">
        <f t="shared" si="77"/>
        <v>1</v>
      </c>
      <c r="J346" s="601"/>
      <c r="K346" s="13">
        <f t="shared" si="78"/>
        <v>1</v>
      </c>
      <c r="L346" s="601"/>
      <c r="M346" s="13">
        <f t="shared" si="79"/>
        <v>1</v>
      </c>
      <c r="N346" s="601"/>
      <c r="O346" s="13">
        <f t="shared" si="80"/>
        <v>1</v>
      </c>
      <c r="P346" s="601"/>
      <c r="Q346" s="13">
        <f t="shared" si="81"/>
        <v>1</v>
      </c>
      <c r="R346" s="597">
        <f t="shared" si="86"/>
        <v>0</v>
      </c>
      <c r="S346" s="250">
        <f t="shared" si="87"/>
        <v>0</v>
      </c>
      <c r="T346" s="901">
        <f t="shared" si="88"/>
        <v>0</v>
      </c>
      <c r="U346" s="2988">
        <f t="shared" si="82"/>
        <v>0</v>
      </c>
      <c r="V346" s="2988">
        <f t="shared" si="83"/>
        <v>0</v>
      </c>
      <c r="W346" s="998"/>
      <c r="X346" s="2988">
        <f t="shared" si="84"/>
        <v>0</v>
      </c>
      <c r="Y346" s="2988">
        <f t="shared" si="85"/>
        <v>0</v>
      </c>
      <c r="Z346" s="998"/>
    </row>
    <row r="347" spans="1:26">
      <c r="A347" s="35"/>
      <c r="B347" s="20"/>
      <c r="C347" s="13">
        <f t="shared" si="74"/>
        <v>1</v>
      </c>
      <c r="D347" s="601"/>
      <c r="E347" s="13">
        <f t="shared" si="75"/>
        <v>1</v>
      </c>
      <c r="F347" s="601"/>
      <c r="G347" s="13">
        <f t="shared" si="76"/>
        <v>1</v>
      </c>
      <c r="H347" s="601"/>
      <c r="I347" s="13">
        <f t="shared" si="77"/>
        <v>1</v>
      </c>
      <c r="J347" s="601"/>
      <c r="K347" s="13">
        <f t="shared" si="78"/>
        <v>1</v>
      </c>
      <c r="L347" s="601"/>
      <c r="M347" s="13">
        <f t="shared" si="79"/>
        <v>1</v>
      </c>
      <c r="N347" s="601"/>
      <c r="O347" s="13">
        <f t="shared" si="80"/>
        <v>1</v>
      </c>
      <c r="P347" s="601"/>
      <c r="Q347" s="13">
        <f t="shared" si="81"/>
        <v>1</v>
      </c>
      <c r="R347" s="597">
        <f t="shared" si="86"/>
        <v>0</v>
      </c>
      <c r="S347" s="250">
        <f t="shared" si="87"/>
        <v>0</v>
      </c>
      <c r="T347" s="901">
        <f t="shared" si="88"/>
        <v>0</v>
      </c>
      <c r="U347" s="2988">
        <f t="shared" si="82"/>
        <v>0</v>
      </c>
      <c r="V347" s="2988">
        <f t="shared" si="83"/>
        <v>0</v>
      </c>
      <c r="W347" s="998"/>
      <c r="X347" s="2988">
        <f t="shared" si="84"/>
        <v>0</v>
      </c>
      <c r="Y347" s="2988">
        <f t="shared" si="85"/>
        <v>0</v>
      </c>
      <c r="Z347" s="998"/>
    </row>
    <row r="348" spans="1:26">
      <c r="A348" s="35"/>
      <c r="B348" s="20"/>
      <c r="C348" s="13">
        <f t="shared" ref="C348:C411" si="89">IF(B348="",1,(LOOKUP(B348,$6:$6,$7:$7)-LOOKUP($B$27,$6:$6,$7:$7)+100)/100)</f>
        <v>1</v>
      </c>
      <c r="D348" s="601"/>
      <c r="E348" s="13">
        <f t="shared" ref="E348:E411" si="90">(SUMIF($8:$8,D348,$9:$9)-SUMIF($8:$8,$D$27,$9:$9)+100)/100</f>
        <v>1</v>
      </c>
      <c r="F348" s="601"/>
      <c r="G348" s="13">
        <f t="shared" ref="G348:G411" si="91">(SUMIF($10:$10,F348,$11:$11)-SUMIF($10:$10,$F$27,$11:$11)+100)/100</f>
        <v>1</v>
      </c>
      <c r="H348" s="601"/>
      <c r="I348" s="13">
        <f t="shared" ref="I348:I411" si="92">(SUMIF($12:$12,H348,$13:$13)-SUMIF($12:$12,$H$27,$13:$13)+100)/100</f>
        <v>1</v>
      </c>
      <c r="J348" s="601"/>
      <c r="K348" s="13">
        <f t="shared" ref="K348:K411" si="93">(SUMIF($14:$14,J348,$15:$15)-SUMIF($14:$14,$J$27,$15:$15)+100)/100</f>
        <v>1</v>
      </c>
      <c r="L348" s="601"/>
      <c r="M348" s="13">
        <f t="shared" ref="M348:M411" si="94">(SUMIF($16:$16,L348,$17:$17)-SUMIF($16:$16,$L$27,$17:$17)+100)/100</f>
        <v>1</v>
      </c>
      <c r="N348" s="601"/>
      <c r="O348" s="13">
        <f t="shared" ref="O348:O411" si="95">(SUMIF($18:$18,N348,$19:$19)-SUMIF($18:$18,$N$27,$19:$19)+100)/100</f>
        <v>1</v>
      </c>
      <c r="P348" s="601"/>
      <c r="Q348" s="13">
        <f t="shared" ref="Q348:Q411" si="96">(SUMIF($20:$20,P348,$21:$21)-SUMIF($20:$20,$P$27,$21:$21)+100)/100</f>
        <v>1</v>
      </c>
      <c r="R348" s="597">
        <f t="shared" si="86"/>
        <v>0</v>
      </c>
      <c r="S348" s="250">
        <f t="shared" si="87"/>
        <v>0</v>
      </c>
      <c r="T348" s="901">
        <f t="shared" si="88"/>
        <v>0</v>
      </c>
      <c r="U348" s="2988">
        <f t="shared" ref="U348:U411" si="97">ROUND(W348*B348,0)</f>
        <v>0</v>
      </c>
      <c r="V348" s="2988">
        <f t="shared" ref="V348:V411" si="98">ROUND(W348*B348/10000,0)</f>
        <v>0</v>
      </c>
      <c r="W348" s="998"/>
      <c r="X348" s="2988">
        <f t="shared" ref="X348:X411" si="99">ROUND(Z348*B348,0)</f>
        <v>0</v>
      </c>
      <c r="Y348" s="2988">
        <f t="shared" ref="Y348:Y411" si="100">ROUND(Z348*B348/10000,0)</f>
        <v>0</v>
      </c>
      <c r="Z348" s="998"/>
    </row>
    <row r="349" spans="1:26">
      <c r="A349" s="35"/>
      <c r="B349" s="20"/>
      <c r="C349" s="13">
        <f t="shared" si="89"/>
        <v>1</v>
      </c>
      <c r="D349" s="601"/>
      <c r="E349" s="13">
        <f t="shared" si="90"/>
        <v>1</v>
      </c>
      <c r="F349" s="601"/>
      <c r="G349" s="13">
        <f t="shared" si="91"/>
        <v>1</v>
      </c>
      <c r="H349" s="601"/>
      <c r="I349" s="13">
        <f t="shared" si="92"/>
        <v>1</v>
      </c>
      <c r="J349" s="601"/>
      <c r="K349" s="13">
        <f t="shared" si="93"/>
        <v>1</v>
      </c>
      <c r="L349" s="601"/>
      <c r="M349" s="13">
        <f t="shared" si="94"/>
        <v>1</v>
      </c>
      <c r="N349" s="601"/>
      <c r="O349" s="13">
        <f t="shared" si="95"/>
        <v>1</v>
      </c>
      <c r="P349" s="601"/>
      <c r="Q349" s="13">
        <f t="shared" si="96"/>
        <v>1</v>
      </c>
      <c r="R349" s="597">
        <f t="shared" ref="R349:R412" si="101">IF(B349="",0,ROUND($R$27*C349*E349*G349*I349*K349*M349*O349*Q349,0))</f>
        <v>0</v>
      </c>
      <c r="S349" s="250">
        <f t="shared" ref="S349:S412" si="102">ROUND(R349*B349,0)</f>
        <v>0</v>
      </c>
      <c r="T349" s="901">
        <f t="shared" ref="T349:T412" si="103">ROUND(R349*B349/10000,0)</f>
        <v>0</v>
      </c>
      <c r="U349" s="2988">
        <f t="shared" si="97"/>
        <v>0</v>
      </c>
      <c r="V349" s="2988">
        <f t="shared" si="98"/>
        <v>0</v>
      </c>
      <c r="W349" s="998"/>
      <c r="X349" s="2988">
        <f t="shared" si="99"/>
        <v>0</v>
      </c>
      <c r="Y349" s="2988">
        <f t="shared" si="100"/>
        <v>0</v>
      </c>
      <c r="Z349" s="998"/>
    </row>
    <row r="350" spans="1:26">
      <c r="A350" s="35"/>
      <c r="B350" s="20"/>
      <c r="C350" s="13">
        <f t="shared" si="89"/>
        <v>1</v>
      </c>
      <c r="D350" s="601"/>
      <c r="E350" s="13">
        <f t="shared" si="90"/>
        <v>1</v>
      </c>
      <c r="F350" s="601"/>
      <c r="G350" s="13">
        <f t="shared" si="91"/>
        <v>1</v>
      </c>
      <c r="H350" s="601"/>
      <c r="I350" s="13">
        <f t="shared" si="92"/>
        <v>1</v>
      </c>
      <c r="J350" s="601"/>
      <c r="K350" s="13">
        <f t="shared" si="93"/>
        <v>1</v>
      </c>
      <c r="L350" s="601"/>
      <c r="M350" s="13">
        <f t="shared" si="94"/>
        <v>1</v>
      </c>
      <c r="N350" s="601"/>
      <c r="O350" s="13">
        <f t="shared" si="95"/>
        <v>1</v>
      </c>
      <c r="P350" s="601"/>
      <c r="Q350" s="13">
        <f t="shared" si="96"/>
        <v>1</v>
      </c>
      <c r="R350" s="597">
        <f t="shared" si="101"/>
        <v>0</v>
      </c>
      <c r="S350" s="250">
        <f t="shared" si="102"/>
        <v>0</v>
      </c>
      <c r="T350" s="901">
        <f t="shared" si="103"/>
        <v>0</v>
      </c>
      <c r="U350" s="2988">
        <f t="shared" si="97"/>
        <v>0</v>
      </c>
      <c r="V350" s="2988">
        <f t="shared" si="98"/>
        <v>0</v>
      </c>
      <c r="W350" s="998"/>
      <c r="X350" s="2988">
        <f t="shared" si="99"/>
        <v>0</v>
      </c>
      <c r="Y350" s="2988">
        <f t="shared" si="100"/>
        <v>0</v>
      </c>
      <c r="Z350" s="998"/>
    </row>
    <row r="351" spans="1:26">
      <c r="A351" s="35"/>
      <c r="B351" s="20"/>
      <c r="C351" s="13">
        <f t="shared" si="89"/>
        <v>1</v>
      </c>
      <c r="D351" s="601"/>
      <c r="E351" s="13">
        <f t="shared" si="90"/>
        <v>1</v>
      </c>
      <c r="F351" s="601"/>
      <c r="G351" s="13">
        <f t="shared" si="91"/>
        <v>1</v>
      </c>
      <c r="H351" s="601"/>
      <c r="I351" s="13">
        <f t="shared" si="92"/>
        <v>1</v>
      </c>
      <c r="J351" s="601"/>
      <c r="K351" s="13">
        <f t="shared" si="93"/>
        <v>1</v>
      </c>
      <c r="L351" s="601"/>
      <c r="M351" s="13">
        <f t="shared" si="94"/>
        <v>1</v>
      </c>
      <c r="N351" s="601"/>
      <c r="O351" s="13">
        <f t="shared" si="95"/>
        <v>1</v>
      </c>
      <c r="P351" s="601"/>
      <c r="Q351" s="13">
        <f t="shared" si="96"/>
        <v>1</v>
      </c>
      <c r="R351" s="597">
        <f t="shared" si="101"/>
        <v>0</v>
      </c>
      <c r="S351" s="250">
        <f t="shared" si="102"/>
        <v>0</v>
      </c>
      <c r="T351" s="901">
        <f t="shared" si="103"/>
        <v>0</v>
      </c>
      <c r="U351" s="2988">
        <f t="shared" si="97"/>
        <v>0</v>
      </c>
      <c r="V351" s="2988">
        <f t="shared" si="98"/>
        <v>0</v>
      </c>
      <c r="W351" s="998"/>
      <c r="X351" s="2988">
        <f t="shared" si="99"/>
        <v>0</v>
      </c>
      <c r="Y351" s="2988">
        <f t="shared" si="100"/>
        <v>0</v>
      </c>
      <c r="Z351" s="998"/>
    </row>
    <row r="352" spans="1:26">
      <c r="A352" s="35"/>
      <c r="B352" s="20"/>
      <c r="C352" s="13">
        <f t="shared" si="89"/>
        <v>1</v>
      </c>
      <c r="D352" s="601"/>
      <c r="E352" s="13">
        <f t="shared" si="90"/>
        <v>1</v>
      </c>
      <c r="F352" s="601"/>
      <c r="G352" s="13">
        <f t="shared" si="91"/>
        <v>1</v>
      </c>
      <c r="H352" s="601"/>
      <c r="I352" s="13">
        <f t="shared" si="92"/>
        <v>1</v>
      </c>
      <c r="J352" s="601"/>
      <c r="K352" s="13">
        <f t="shared" si="93"/>
        <v>1</v>
      </c>
      <c r="L352" s="601"/>
      <c r="M352" s="13">
        <f t="shared" si="94"/>
        <v>1</v>
      </c>
      <c r="N352" s="601"/>
      <c r="O352" s="13">
        <f t="shared" si="95"/>
        <v>1</v>
      </c>
      <c r="P352" s="601"/>
      <c r="Q352" s="13">
        <f t="shared" si="96"/>
        <v>1</v>
      </c>
      <c r="R352" s="597">
        <f t="shared" si="101"/>
        <v>0</v>
      </c>
      <c r="S352" s="250">
        <f t="shared" si="102"/>
        <v>0</v>
      </c>
      <c r="T352" s="901">
        <f t="shared" si="103"/>
        <v>0</v>
      </c>
      <c r="U352" s="2988">
        <f t="shared" si="97"/>
        <v>0</v>
      </c>
      <c r="V352" s="2988">
        <f t="shared" si="98"/>
        <v>0</v>
      </c>
      <c r="W352" s="998"/>
      <c r="X352" s="2988">
        <f t="shared" si="99"/>
        <v>0</v>
      </c>
      <c r="Y352" s="2988">
        <f t="shared" si="100"/>
        <v>0</v>
      </c>
      <c r="Z352" s="998"/>
    </row>
    <row r="353" spans="1:26">
      <c r="A353" s="35"/>
      <c r="B353" s="20"/>
      <c r="C353" s="13">
        <f t="shared" si="89"/>
        <v>1</v>
      </c>
      <c r="D353" s="601"/>
      <c r="E353" s="13">
        <f t="shared" si="90"/>
        <v>1</v>
      </c>
      <c r="F353" s="601"/>
      <c r="G353" s="13">
        <f t="shared" si="91"/>
        <v>1</v>
      </c>
      <c r="H353" s="601"/>
      <c r="I353" s="13">
        <f t="shared" si="92"/>
        <v>1</v>
      </c>
      <c r="J353" s="601"/>
      <c r="K353" s="13">
        <f t="shared" si="93"/>
        <v>1</v>
      </c>
      <c r="L353" s="601"/>
      <c r="M353" s="13">
        <f t="shared" si="94"/>
        <v>1</v>
      </c>
      <c r="N353" s="601"/>
      <c r="O353" s="13">
        <f t="shared" si="95"/>
        <v>1</v>
      </c>
      <c r="P353" s="601"/>
      <c r="Q353" s="13">
        <f t="shared" si="96"/>
        <v>1</v>
      </c>
      <c r="R353" s="597">
        <f t="shared" si="101"/>
        <v>0</v>
      </c>
      <c r="S353" s="250">
        <f t="shared" si="102"/>
        <v>0</v>
      </c>
      <c r="T353" s="901">
        <f t="shared" si="103"/>
        <v>0</v>
      </c>
      <c r="U353" s="2988">
        <f t="shared" si="97"/>
        <v>0</v>
      </c>
      <c r="V353" s="2988">
        <f t="shared" si="98"/>
        <v>0</v>
      </c>
      <c r="W353" s="998"/>
      <c r="X353" s="2988">
        <f t="shared" si="99"/>
        <v>0</v>
      </c>
      <c r="Y353" s="2988">
        <f t="shared" si="100"/>
        <v>0</v>
      </c>
      <c r="Z353" s="998"/>
    </row>
    <row r="354" spans="1:26">
      <c r="A354" s="35"/>
      <c r="B354" s="20"/>
      <c r="C354" s="13">
        <f t="shared" si="89"/>
        <v>1</v>
      </c>
      <c r="D354" s="601"/>
      <c r="E354" s="13">
        <f t="shared" si="90"/>
        <v>1</v>
      </c>
      <c r="F354" s="601"/>
      <c r="G354" s="13">
        <f t="shared" si="91"/>
        <v>1</v>
      </c>
      <c r="H354" s="601"/>
      <c r="I354" s="13">
        <f t="shared" si="92"/>
        <v>1</v>
      </c>
      <c r="J354" s="601"/>
      <c r="K354" s="13">
        <f t="shared" si="93"/>
        <v>1</v>
      </c>
      <c r="L354" s="601"/>
      <c r="M354" s="13">
        <f t="shared" si="94"/>
        <v>1</v>
      </c>
      <c r="N354" s="601"/>
      <c r="O354" s="13">
        <f t="shared" si="95"/>
        <v>1</v>
      </c>
      <c r="P354" s="601"/>
      <c r="Q354" s="13">
        <f t="shared" si="96"/>
        <v>1</v>
      </c>
      <c r="R354" s="597">
        <f t="shared" si="101"/>
        <v>0</v>
      </c>
      <c r="S354" s="250">
        <f t="shared" si="102"/>
        <v>0</v>
      </c>
      <c r="T354" s="901">
        <f t="shared" si="103"/>
        <v>0</v>
      </c>
      <c r="U354" s="2988">
        <f t="shared" si="97"/>
        <v>0</v>
      </c>
      <c r="V354" s="2988">
        <f t="shared" si="98"/>
        <v>0</v>
      </c>
      <c r="W354" s="998"/>
      <c r="X354" s="2988">
        <f t="shared" si="99"/>
        <v>0</v>
      </c>
      <c r="Y354" s="2988">
        <f t="shared" si="100"/>
        <v>0</v>
      </c>
      <c r="Z354" s="998"/>
    </row>
    <row r="355" spans="1:26">
      <c r="A355" s="35"/>
      <c r="B355" s="20"/>
      <c r="C355" s="13">
        <f t="shared" si="89"/>
        <v>1</v>
      </c>
      <c r="D355" s="601"/>
      <c r="E355" s="13">
        <f t="shared" si="90"/>
        <v>1</v>
      </c>
      <c r="F355" s="601"/>
      <c r="G355" s="13">
        <f t="shared" si="91"/>
        <v>1</v>
      </c>
      <c r="H355" s="601"/>
      <c r="I355" s="13">
        <f t="shared" si="92"/>
        <v>1</v>
      </c>
      <c r="J355" s="601"/>
      <c r="K355" s="13">
        <f t="shared" si="93"/>
        <v>1</v>
      </c>
      <c r="L355" s="601"/>
      <c r="M355" s="13">
        <f t="shared" si="94"/>
        <v>1</v>
      </c>
      <c r="N355" s="601"/>
      <c r="O355" s="13">
        <f t="shared" si="95"/>
        <v>1</v>
      </c>
      <c r="P355" s="601"/>
      <c r="Q355" s="13">
        <f t="shared" si="96"/>
        <v>1</v>
      </c>
      <c r="R355" s="597">
        <f t="shared" si="101"/>
        <v>0</v>
      </c>
      <c r="S355" s="250">
        <f t="shared" si="102"/>
        <v>0</v>
      </c>
      <c r="T355" s="901">
        <f t="shared" si="103"/>
        <v>0</v>
      </c>
      <c r="U355" s="2988">
        <f t="shared" si="97"/>
        <v>0</v>
      </c>
      <c r="V355" s="2988">
        <f t="shared" si="98"/>
        <v>0</v>
      </c>
      <c r="W355" s="998"/>
      <c r="X355" s="2988">
        <f t="shared" si="99"/>
        <v>0</v>
      </c>
      <c r="Y355" s="2988">
        <f t="shared" si="100"/>
        <v>0</v>
      </c>
      <c r="Z355" s="998"/>
    </row>
    <row r="356" spans="1:26">
      <c r="A356" s="35"/>
      <c r="B356" s="20"/>
      <c r="C356" s="13">
        <f t="shared" si="89"/>
        <v>1</v>
      </c>
      <c r="D356" s="601"/>
      <c r="E356" s="13">
        <f t="shared" si="90"/>
        <v>1</v>
      </c>
      <c r="F356" s="601"/>
      <c r="G356" s="13">
        <f t="shared" si="91"/>
        <v>1</v>
      </c>
      <c r="H356" s="601"/>
      <c r="I356" s="13">
        <f t="shared" si="92"/>
        <v>1</v>
      </c>
      <c r="J356" s="601"/>
      <c r="K356" s="13">
        <f t="shared" si="93"/>
        <v>1</v>
      </c>
      <c r="L356" s="601"/>
      <c r="M356" s="13">
        <f t="shared" si="94"/>
        <v>1</v>
      </c>
      <c r="N356" s="601"/>
      <c r="O356" s="13">
        <f t="shared" si="95"/>
        <v>1</v>
      </c>
      <c r="P356" s="601"/>
      <c r="Q356" s="13">
        <f t="shared" si="96"/>
        <v>1</v>
      </c>
      <c r="R356" s="597">
        <f t="shared" si="101"/>
        <v>0</v>
      </c>
      <c r="S356" s="250">
        <f t="shared" si="102"/>
        <v>0</v>
      </c>
      <c r="T356" s="901">
        <f t="shared" si="103"/>
        <v>0</v>
      </c>
      <c r="U356" s="2988">
        <f t="shared" si="97"/>
        <v>0</v>
      </c>
      <c r="V356" s="2988">
        <f t="shared" si="98"/>
        <v>0</v>
      </c>
      <c r="W356" s="998"/>
      <c r="X356" s="2988">
        <f t="shared" si="99"/>
        <v>0</v>
      </c>
      <c r="Y356" s="2988">
        <f t="shared" si="100"/>
        <v>0</v>
      </c>
      <c r="Z356" s="998"/>
    </row>
    <row r="357" spans="1:26">
      <c r="A357" s="35"/>
      <c r="B357" s="20"/>
      <c r="C357" s="13">
        <f t="shared" si="89"/>
        <v>1</v>
      </c>
      <c r="D357" s="601"/>
      <c r="E357" s="13">
        <f t="shared" si="90"/>
        <v>1</v>
      </c>
      <c r="F357" s="601"/>
      <c r="G357" s="13">
        <f t="shared" si="91"/>
        <v>1</v>
      </c>
      <c r="H357" s="601"/>
      <c r="I357" s="13">
        <f t="shared" si="92"/>
        <v>1</v>
      </c>
      <c r="J357" s="601"/>
      <c r="K357" s="13">
        <f t="shared" si="93"/>
        <v>1</v>
      </c>
      <c r="L357" s="601"/>
      <c r="M357" s="13">
        <f t="shared" si="94"/>
        <v>1</v>
      </c>
      <c r="N357" s="601"/>
      <c r="O357" s="13">
        <f t="shared" si="95"/>
        <v>1</v>
      </c>
      <c r="P357" s="601"/>
      <c r="Q357" s="13">
        <f t="shared" si="96"/>
        <v>1</v>
      </c>
      <c r="R357" s="597">
        <f t="shared" si="101"/>
        <v>0</v>
      </c>
      <c r="S357" s="250">
        <f t="shared" si="102"/>
        <v>0</v>
      </c>
      <c r="T357" s="901">
        <f t="shared" si="103"/>
        <v>0</v>
      </c>
      <c r="U357" s="2988">
        <f t="shared" si="97"/>
        <v>0</v>
      </c>
      <c r="V357" s="2988">
        <f t="shared" si="98"/>
        <v>0</v>
      </c>
      <c r="W357" s="998"/>
      <c r="X357" s="2988">
        <f t="shared" si="99"/>
        <v>0</v>
      </c>
      <c r="Y357" s="2988">
        <f t="shared" si="100"/>
        <v>0</v>
      </c>
      <c r="Z357" s="998"/>
    </row>
    <row r="358" spans="1:26">
      <c r="A358" s="35"/>
      <c r="B358" s="20"/>
      <c r="C358" s="13">
        <f t="shared" si="89"/>
        <v>1</v>
      </c>
      <c r="D358" s="601"/>
      <c r="E358" s="13">
        <f t="shared" si="90"/>
        <v>1</v>
      </c>
      <c r="F358" s="601"/>
      <c r="G358" s="13">
        <f t="shared" si="91"/>
        <v>1</v>
      </c>
      <c r="H358" s="601"/>
      <c r="I358" s="13">
        <f t="shared" si="92"/>
        <v>1</v>
      </c>
      <c r="J358" s="601"/>
      <c r="K358" s="13">
        <f t="shared" si="93"/>
        <v>1</v>
      </c>
      <c r="L358" s="601"/>
      <c r="M358" s="13">
        <f t="shared" si="94"/>
        <v>1</v>
      </c>
      <c r="N358" s="601"/>
      <c r="O358" s="13">
        <f t="shared" si="95"/>
        <v>1</v>
      </c>
      <c r="P358" s="601"/>
      <c r="Q358" s="13">
        <f t="shared" si="96"/>
        <v>1</v>
      </c>
      <c r="R358" s="597">
        <f t="shared" si="101"/>
        <v>0</v>
      </c>
      <c r="S358" s="250">
        <f t="shared" si="102"/>
        <v>0</v>
      </c>
      <c r="T358" s="901">
        <f t="shared" si="103"/>
        <v>0</v>
      </c>
      <c r="U358" s="2988">
        <f t="shared" si="97"/>
        <v>0</v>
      </c>
      <c r="V358" s="2988">
        <f t="shared" si="98"/>
        <v>0</v>
      </c>
      <c r="W358" s="998"/>
      <c r="X358" s="2988">
        <f t="shared" si="99"/>
        <v>0</v>
      </c>
      <c r="Y358" s="2988">
        <f t="shared" si="100"/>
        <v>0</v>
      </c>
      <c r="Z358" s="998"/>
    </row>
    <row r="359" spans="1:26">
      <c r="A359" s="35"/>
      <c r="B359" s="20"/>
      <c r="C359" s="13">
        <f t="shared" si="89"/>
        <v>1</v>
      </c>
      <c r="D359" s="601"/>
      <c r="E359" s="13">
        <f t="shared" si="90"/>
        <v>1</v>
      </c>
      <c r="F359" s="601"/>
      <c r="G359" s="13">
        <f t="shared" si="91"/>
        <v>1</v>
      </c>
      <c r="H359" s="601"/>
      <c r="I359" s="13">
        <f t="shared" si="92"/>
        <v>1</v>
      </c>
      <c r="J359" s="601"/>
      <c r="K359" s="13">
        <f t="shared" si="93"/>
        <v>1</v>
      </c>
      <c r="L359" s="601"/>
      <c r="M359" s="13">
        <f t="shared" si="94"/>
        <v>1</v>
      </c>
      <c r="N359" s="601"/>
      <c r="O359" s="13">
        <f t="shared" si="95"/>
        <v>1</v>
      </c>
      <c r="P359" s="601"/>
      <c r="Q359" s="13">
        <f t="shared" si="96"/>
        <v>1</v>
      </c>
      <c r="R359" s="597">
        <f t="shared" si="101"/>
        <v>0</v>
      </c>
      <c r="S359" s="250">
        <f t="shared" si="102"/>
        <v>0</v>
      </c>
      <c r="T359" s="901">
        <f t="shared" si="103"/>
        <v>0</v>
      </c>
      <c r="U359" s="2988">
        <f t="shared" si="97"/>
        <v>0</v>
      </c>
      <c r="V359" s="2988">
        <f t="shared" si="98"/>
        <v>0</v>
      </c>
      <c r="W359" s="998"/>
      <c r="X359" s="2988">
        <f t="shared" si="99"/>
        <v>0</v>
      </c>
      <c r="Y359" s="2988">
        <f t="shared" si="100"/>
        <v>0</v>
      </c>
      <c r="Z359" s="998"/>
    </row>
    <row r="360" spans="1:26">
      <c r="A360" s="35"/>
      <c r="B360" s="20"/>
      <c r="C360" s="13">
        <f t="shared" si="89"/>
        <v>1</v>
      </c>
      <c r="D360" s="601"/>
      <c r="E360" s="13">
        <f t="shared" si="90"/>
        <v>1</v>
      </c>
      <c r="F360" s="601"/>
      <c r="G360" s="13">
        <f t="shared" si="91"/>
        <v>1</v>
      </c>
      <c r="H360" s="601"/>
      <c r="I360" s="13">
        <f t="shared" si="92"/>
        <v>1</v>
      </c>
      <c r="J360" s="601"/>
      <c r="K360" s="13">
        <f t="shared" si="93"/>
        <v>1</v>
      </c>
      <c r="L360" s="601"/>
      <c r="M360" s="13">
        <f t="shared" si="94"/>
        <v>1</v>
      </c>
      <c r="N360" s="601"/>
      <c r="O360" s="13">
        <f t="shared" si="95"/>
        <v>1</v>
      </c>
      <c r="P360" s="601"/>
      <c r="Q360" s="13">
        <f t="shared" si="96"/>
        <v>1</v>
      </c>
      <c r="R360" s="597">
        <f t="shared" si="101"/>
        <v>0</v>
      </c>
      <c r="S360" s="250">
        <f t="shared" si="102"/>
        <v>0</v>
      </c>
      <c r="T360" s="901">
        <f t="shared" si="103"/>
        <v>0</v>
      </c>
      <c r="U360" s="2988">
        <f t="shared" si="97"/>
        <v>0</v>
      </c>
      <c r="V360" s="2988">
        <f t="shared" si="98"/>
        <v>0</v>
      </c>
      <c r="W360" s="998"/>
      <c r="X360" s="2988">
        <f t="shared" si="99"/>
        <v>0</v>
      </c>
      <c r="Y360" s="2988">
        <f t="shared" si="100"/>
        <v>0</v>
      </c>
      <c r="Z360" s="998"/>
    </row>
    <row r="361" spans="1:26">
      <c r="A361" s="35"/>
      <c r="B361" s="20"/>
      <c r="C361" s="13">
        <f t="shared" si="89"/>
        <v>1</v>
      </c>
      <c r="D361" s="601"/>
      <c r="E361" s="13">
        <f t="shared" si="90"/>
        <v>1</v>
      </c>
      <c r="F361" s="601"/>
      <c r="G361" s="13">
        <f t="shared" si="91"/>
        <v>1</v>
      </c>
      <c r="H361" s="601"/>
      <c r="I361" s="13">
        <f t="shared" si="92"/>
        <v>1</v>
      </c>
      <c r="J361" s="601"/>
      <c r="K361" s="13">
        <f t="shared" si="93"/>
        <v>1</v>
      </c>
      <c r="L361" s="601"/>
      <c r="M361" s="13">
        <f t="shared" si="94"/>
        <v>1</v>
      </c>
      <c r="N361" s="601"/>
      <c r="O361" s="13">
        <f t="shared" si="95"/>
        <v>1</v>
      </c>
      <c r="P361" s="601"/>
      <c r="Q361" s="13">
        <f t="shared" si="96"/>
        <v>1</v>
      </c>
      <c r="R361" s="597">
        <f t="shared" si="101"/>
        <v>0</v>
      </c>
      <c r="S361" s="250">
        <f t="shared" si="102"/>
        <v>0</v>
      </c>
      <c r="T361" s="901">
        <f t="shared" si="103"/>
        <v>0</v>
      </c>
      <c r="U361" s="2988">
        <f t="shared" si="97"/>
        <v>0</v>
      </c>
      <c r="V361" s="2988">
        <f t="shared" si="98"/>
        <v>0</v>
      </c>
      <c r="W361" s="998"/>
      <c r="X361" s="2988">
        <f t="shared" si="99"/>
        <v>0</v>
      </c>
      <c r="Y361" s="2988">
        <f t="shared" si="100"/>
        <v>0</v>
      </c>
      <c r="Z361" s="998"/>
    </row>
    <row r="362" spans="1:26">
      <c r="A362" s="35"/>
      <c r="B362" s="20"/>
      <c r="C362" s="13">
        <f t="shared" si="89"/>
        <v>1</v>
      </c>
      <c r="D362" s="601"/>
      <c r="E362" s="13">
        <f t="shared" si="90"/>
        <v>1</v>
      </c>
      <c r="F362" s="601"/>
      <c r="G362" s="13">
        <f t="shared" si="91"/>
        <v>1</v>
      </c>
      <c r="H362" s="601"/>
      <c r="I362" s="13">
        <f t="shared" si="92"/>
        <v>1</v>
      </c>
      <c r="J362" s="601"/>
      <c r="K362" s="13">
        <f t="shared" si="93"/>
        <v>1</v>
      </c>
      <c r="L362" s="601"/>
      <c r="M362" s="13">
        <f t="shared" si="94"/>
        <v>1</v>
      </c>
      <c r="N362" s="601"/>
      <c r="O362" s="13">
        <f t="shared" si="95"/>
        <v>1</v>
      </c>
      <c r="P362" s="601"/>
      <c r="Q362" s="13">
        <f t="shared" si="96"/>
        <v>1</v>
      </c>
      <c r="R362" s="597">
        <f t="shared" si="101"/>
        <v>0</v>
      </c>
      <c r="S362" s="250">
        <f t="shared" si="102"/>
        <v>0</v>
      </c>
      <c r="T362" s="901">
        <f t="shared" si="103"/>
        <v>0</v>
      </c>
      <c r="U362" s="2988">
        <f t="shared" si="97"/>
        <v>0</v>
      </c>
      <c r="V362" s="2988">
        <f t="shared" si="98"/>
        <v>0</v>
      </c>
      <c r="W362" s="998"/>
      <c r="X362" s="2988">
        <f t="shared" si="99"/>
        <v>0</v>
      </c>
      <c r="Y362" s="2988">
        <f t="shared" si="100"/>
        <v>0</v>
      </c>
      <c r="Z362" s="998"/>
    </row>
    <row r="363" spans="1:26">
      <c r="A363" s="35"/>
      <c r="B363" s="20"/>
      <c r="C363" s="13">
        <f t="shared" si="89"/>
        <v>1</v>
      </c>
      <c r="D363" s="601"/>
      <c r="E363" s="13">
        <f t="shared" si="90"/>
        <v>1</v>
      </c>
      <c r="F363" s="601"/>
      <c r="G363" s="13">
        <f t="shared" si="91"/>
        <v>1</v>
      </c>
      <c r="H363" s="601"/>
      <c r="I363" s="13">
        <f t="shared" si="92"/>
        <v>1</v>
      </c>
      <c r="J363" s="601"/>
      <c r="K363" s="13">
        <f t="shared" si="93"/>
        <v>1</v>
      </c>
      <c r="L363" s="601"/>
      <c r="M363" s="13">
        <f t="shared" si="94"/>
        <v>1</v>
      </c>
      <c r="N363" s="601"/>
      <c r="O363" s="13">
        <f t="shared" si="95"/>
        <v>1</v>
      </c>
      <c r="P363" s="601"/>
      <c r="Q363" s="13">
        <f t="shared" si="96"/>
        <v>1</v>
      </c>
      <c r="R363" s="597">
        <f t="shared" si="101"/>
        <v>0</v>
      </c>
      <c r="S363" s="250">
        <f t="shared" si="102"/>
        <v>0</v>
      </c>
      <c r="T363" s="901">
        <f t="shared" si="103"/>
        <v>0</v>
      </c>
      <c r="U363" s="2988">
        <f t="shared" si="97"/>
        <v>0</v>
      </c>
      <c r="V363" s="2988">
        <f t="shared" si="98"/>
        <v>0</v>
      </c>
      <c r="W363" s="998"/>
      <c r="X363" s="2988">
        <f t="shared" si="99"/>
        <v>0</v>
      </c>
      <c r="Y363" s="2988">
        <f t="shared" si="100"/>
        <v>0</v>
      </c>
      <c r="Z363" s="998"/>
    </row>
    <row r="364" spans="1:26">
      <c r="A364" s="35"/>
      <c r="B364" s="20"/>
      <c r="C364" s="13">
        <f t="shared" si="89"/>
        <v>1</v>
      </c>
      <c r="D364" s="601"/>
      <c r="E364" s="13">
        <f t="shared" si="90"/>
        <v>1</v>
      </c>
      <c r="F364" s="601"/>
      <c r="G364" s="13">
        <f t="shared" si="91"/>
        <v>1</v>
      </c>
      <c r="H364" s="601"/>
      <c r="I364" s="13">
        <f t="shared" si="92"/>
        <v>1</v>
      </c>
      <c r="J364" s="601"/>
      <c r="K364" s="13">
        <f t="shared" si="93"/>
        <v>1</v>
      </c>
      <c r="L364" s="601"/>
      <c r="M364" s="13">
        <f t="shared" si="94"/>
        <v>1</v>
      </c>
      <c r="N364" s="601"/>
      <c r="O364" s="13">
        <f t="shared" si="95"/>
        <v>1</v>
      </c>
      <c r="P364" s="601"/>
      <c r="Q364" s="13">
        <f t="shared" si="96"/>
        <v>1</v>
      </c>
      <c r="R364" s="597">
        <f t="shared" si="101"/>
        <v>0</v>
      </c>
      <c r="S364" s="250">
        <f t="shared" si="102"/>
        <v>0</v>
      </c>
      <c r="T364" s="901">
        <f t="shared" si="103"/>
        <v>0</v>
      </c>
      <c r="U364" s="2988">
        <f t="shared" si="97"/>
        <v>0</v>
      </c>
      <c r="V364" s="2988">
        <f t="shared" si="98"/>
        <v>0</v>
      </c>
      <c r="W364" s="998"/>
      <c r="X364" s="2988">
        <f t="shared" si="99"/>
        <v>0</v>
      </c>
      <c r="Y364" s="2988">
        <f t="shared" si="100"/>
        <v>0</v>
      </c>
      <c r="Z364" s="998"/>
    </row>
    <row r="365" spans="1:26">
      <c r="A365" s="35"/>
      <c r="B365" s="20"/>
      <c r="C365" s="13">
        <f t="shared" si="89"/>
        <v>1</v>
      </c>
      <c r="D365" s="601"/>
      <c r="E365" s="13">
        <f t="shared" si="90"/>
        <v>1</v>
      </c>
      <c r="F365" s="601"/>
      <c r="G365" s="13">
        <f t="shared" si="91"/>
        <v>1</v>
      </c>
      <c r="H365" s="601"/>
      <c r="I365" s="13">
        <f t="shared" si="92"/>
        <v>1</v>
      </c>
      <c r="J365" s="601"/>
      <c r="K365" s="13">
        <f t="shared" si="93"/>
        <v>1</v>
      </c>
      <c r="L365" s="601"/>
      <c r="M365" s="13">
        <f t="shared" si="94"/>
        <v>1</v>
      </c>
      <c r="N365" s="601"/>
      <c r="O365" s="13">
        <f t="shared" si="95"/>
        <v>1</v>
      </c>
      <c r="P365" s="601"/>
      <c r="Q365" s="13">
        <f t="shared" si="96"/>
        <v>1</v>
      </c>
      <c r="R365" s="597">
        <f t="shared" si="101"/>
        <v>0</v>
      </c>
      <c r="S365" s="250">
        <f t="shared" si="102"/>
        <v>0</v>
      </c>
      <c r="T365" s="901">
        <f t="shared" si="103"/>
        <v>0</v>
      </c>
      <c r="U365" s="2988">
        <f t="shared" si="97"/>
        <v>0</v>
      </c>
      <c r="V365" s="2988">
        <f t="shared" si="98"/>
        <v>0</v>
      </c>
      <c r="W365" s="998"/>
      <c r="X365" s="2988">
        <f t="shared" si="99"/>
        <v>0</v>
      </c>
      <c r="Y365" s="2988">
        <f t="shared" si="100"/>
        <v>0</v>
      </c>
      <c r="Z365" s="998"/>
    </row>
    <row r="366" spans="1:26">
      <c r="A366" s="35"/>
      <c r="B366" s="20"/>
      <c r="C366" s="13">
        <f t="shared" si="89"/>
        <v>1</v>
      </c>
      <c r="D366" s="601"/>
      <c r="E366" s="13">
        <f t="shared" si="90"/>
        <v>1</v>
      </c>
      <c r="F366" s="601"/>
      <c r="G366" s="13">
        <f t="shared" si="91"/>
        <v>1</v>
      </c>
      <c r="H366" s="601"/>
      <c r="I366" s="13">
        <f t="shared" si="92"/>
        <v>1</v>
      </c>
      <c r="J366" s="601"/>
      <c r="K366" s="13">
        <f t="shared" si="93"/>
        <v>1</v>
      </c>
      <c r="L366" s="601"/>
      <c r="M366" s="13">
        <f t="shared" si="94"/>
        <v>1</v>
      </c>
      <c r="N366" s="601"/>
      <c r="O366" s="13">
        <f t="shared" si="95"/>
        <v>1</v>
      </c>
      <c r="P366" s="601"/>
      <c r="Q366" s="13">
        <f t="shared" si="96"/>
        <v>1</v>
      </c>
      <c r="R366" s="597">
        <f t="shared" si="101"/>
        <v>0</v>
      </c>
      <c r="S366" s="250">
        <f t="shared" si="102"/>
        <v>0</v>
      </c>
      <c r="T366" s="901">
        <f t="shared" si="103"/>
        <v>0</v>
      </c>
      <c r="U366" s="2988">
        <f t="shared" si="97"/>
        <v>0</v>
      </c>
      <c r="V366" s="2988">
        <f t="shared" si="98"/>
        <v>0</v>
      </c>
      <c r="W366" s="998"/>
      <c r="X366" s="2988">
        <f t="shared" si="99"/>
        <v>0</v>
      </c>
      <c r="Y366" s="2988">
        <f t="shared" si="100"/>
        <v>0</v>
      </c>
      <c r="Z366" s="998"/>
    </row>
    <row r="367" spans="1:26">
      <c r="A367" s="35"/>
      <c r="B367" s="20"/>
      <c r="C367" s="13">
        <f t="shared" si="89"/>
        <v>1</v>
      </c>
      <c r="D367" s="601"/>
      <c r="E367" s="13">
        <f t="shared" si="90"/>
        <v>1</v>
      </c>
      <c r="F367" s="601"/>
      <c r="G367" s="13">
        <f t="shared" si="91"/>
        <v>1</v>
      </c>
      <c r="H367" s="601"/>
      <c r="I367" s="13">
        <f t="shared" si="92"/>
        <v>1</v>
      </c>
      <c r="J367" s="601"/>
      <c r="K367" s="13">
        <f t="shared" si="93"/>
        <v>1</v>
      </c>
      <c r="L367" s="601"/>
      <c r="M367" s="13">
        <f t="shared" si="94"/>
        <v>1</v>
      </c>
      <c r="N367" s="601"/>
      <c r="O367" s="13">
        <f t="shared" si="95"/>
        <v>1</v>
      </c>
      <c r="P367" s="601"/>
      <c r="Q367" s="13">
        <f t="shared" si="96"/>
        <v>1</v>
      </c>
      <c r="R367" s="597">
        <f t="shared" si="101"/>
        <v>0</v>
      </c>
      <c r="S367" s="250">
        <f t="shared" si="102"/>
        <v>0</v>
      </c>
      <c r="T367" s="901">
        <f t="shared" si="103"/>
        <v>0</v>
      </c>
      <c r="U367" s="2988">
        <f t="shared" si="97"/>
        <v>0</v>
      </c>
      <c r="V367" s="2988">
        <f t="shared" si="98"/>
        <v>0</v>
      </c>
      <c r="W367" s="998"/>
      <c r="X367" s="2988">
        <f t="shared" si="99"/>
        <v>0</v>
      </c>
      <c r="Y367" s="2988">
        <f t="shared" si="100"/>
        <v>0</v>
      </c>
      <c r="Z367" s="998"/>
    </row>
    <row r="368" spans="1:26">
      <c r="A368" s="35"/>
      <c r="B368" s="20"/>
      <c r="C368" s="13">
        <f t="shared" si="89"/>
        <v>1</v>
      </c>
      <c r="D368" s="601"/>
      <c r="E368" s="13">
        <f t="shared" si="90"/>
        <v>1</v>
      </c>
      <c r="F368" s="601"/>
      <c r="G368" s="13">
        <f t="shared" si="91"/>
        <v>1</v>
      </c>
      <c r="H368" s="601"/>
      <c r="I368" s="13">
        <f t="shared" si="92"/>
        <v>1</v>
      </c>
      <c r="J368" s="601"/>
      <c r="K368" s="13">
        <f t="shared" si="93"/>
        <v>1</v>
      </c>
      <c r="L368" s="601"/>
      <c r="M368" s="13">
        <f t="shared" si="94"/>
        <v>1</v>
      </c>
      <c r="N368" s="601"/>
      <c r="O368" s="13">
        <f t="shared" si="95"/>
        <v>1</v>
      </c>
      <c r="P368" s="601"/>
      <c r="Q368" s="13">
        <f t="shared" si="96"/>
        <v>1</v>
      </c>
      <c r="R368" s="597">
        <f t="shared" si="101"/>
        <v>0</v>
      </c>
      <c r="S368" s="250">
        <f t="shared" si="102"/>
        <v>0</v>
      </c>
      <c r="T368" s="901">
        <f t="shared" si="103"/>
        <v>0</v>
      </c>
      <c r="U368" s="2988">
        <f t="shared" si="97"/>
        <v>0</v>
      </c>
      <c r="V368" s="2988">
        <f t="shared" si="98"/>
        <v>0</v>
      </c>
      <c r="W368" s="998"/>
      <c r="X368" s="2988">
        <f t="shared" si="99"/>
        <v>0</v>
      </c>
      <c r="Y368" s="2988">
        <f t="shared" si="100"/>
        <v>0</v>
      </c>
      <c r="Z368" s="998"/>
    </row>
    <row r="369" spans="1:26">
      <c r="A369" s="35"/>
      <c r="B369" s="20"/>
      <c r="C369" s="13">
        <f t="shared" si="89"/>
        <v>1</v>
      </c>
      <c r="D369" s="601"/>
      <c r="E369" s="13">
        <f t="shared" si="90"/>
        <v>1</v>
      </c>
      <c r="F369" s="601"/>
      <c r="G369" s="13">
        <f t="shared" si="91"/>
        <v>1</v>
      </c>
      <c r="H369" s="601"/>
      <c r="I369" s="13">
        <f t="shared" si="92"/>
        <v>1</v>
      </c>
      <c r="J369" s="601"/>
      <c r="K369" s="13">
        <f t="shared" si="93"/>
        <v>1</v>
      </c>
      <c r="L369" s="601"/>
      <c r="M369" s="13">
        <f t="shared" si="94"/>
        <v>1</v>
      </c>
      <c r="N369" s="601"/>
      <c r="O369" s="13">
        <f t="shared" si="95"/>
        <v>1</v>
      </c>
      <c r="P369" s="601"/>
      <c r="Q369" s="13">
        <f t="shared" si="96"/>
        <v>1</v>
      </c>
      <c r="R369" s="597">
        <f t="shared" si="101"/>
        <v>0</v>
      </c>
      <c r="S369" s="250">
        <f t="shared" si="102"/>
        <v>0</v>
      </c>
      <c r="T369" s="901">
        <f t="shared" si="103"/>
        <v>0</v>
      </c>
      <c r="U369" s="2988">
        <f t="shared" si="97"/>
        <v>0</v>
      </c>
      <c r="V369" s="2988">
        <f t="shared" si="98"/>
        <v>0</v>
      </c>
      <c r="W369" s="998"/>
      <c r="X369" s="2988">
        <f t="shared" si="99"/>
        <v>0</v>
      </c>
      <c r="Y369" s="2988">
        <f t="shared" si="100"/>
        <v>0</v>
      </c>
      <c r="Z369" s="998"/>
    </row>
    <row r="370" spans="1:26">
      <c r="A370" s="35"/>
      <c r="B370" s="20"/>
      <c r="C370" s="13">
        <f t="shared" si="89"/>
        <v>1</v>
      </c>
      <c r="D370" s="601"/>
      <c r="E370" s="13">
        <f t="shared" si="90"/>
        <v>1</v>
      </c>
      <c r="F370" s="601"/>
      <c r="G370" s="13">
        <f t="shared" si="91"/>
        <v>1</v>
      </c>
      <c r="H370" s="601"/>
      <c r="I370" s="13">
        <f t="shared" si="92"/>
        <v>1</v>
      </c>
      <c r="J370" s="601"/>
      <c r="K370" s="13">
        <f t="shared" si="93"/>
        <v>1</v>
      </c>
      <c r="L370" s="601"/>
      <c r="M370" s="13">
        <f t="shared" si="94"/>
        <v>1</v>
      </c>
      <c r="N370" s="601"/>
      <c r="O370" s="13">
        <f t="shared" si="95"/>
        <v>1</v>
      </c>
      <c r="P370" s="601"/>
      <c r="Q370" s="13">
        <f t="shared" si="96"/>
        <v>1</v>
      </c>
      <c r="R370" s="597">
        <f t="shared" si="101"/>
        <v>0</v>
      </c>
      <c r="S370" s="250">
        <f t="shared" si="102"/>
        <v>0</v>
      </c>
      <c r="T370" s="901">
        <f t="shared" si="103"/>
        <v>0</v>
      </c>
      <c r="U370" s="2988">
        <f t="shared" si="97"/>
        <v>0</v>
      </c>
      <c r="V370" s="2988">
        <f t="shared" si="98"/>
        <v>0</v>
      </c>
      <c r="W370" s="998"/>
      <c r="X370" s="2988">
        <f t="shared" si="99"/>
        <v>0</v>
      </c>
      <c r="Y370" s="2988">
        <f t="shared" si="100"/>
        <v>0</v>
      </c>
      <c r="Z370" s="998"/>
    </row>
    <row r="371" spans="1:26">
      <c r="A371" s="35"/>
      <c r="B371" s="20"/>
      <c r="C371" s="13">
        <f t="shared" si="89"/>
        <v>1</v>
      </c>
      <c r="D371" s="601"/>
      <c r="E371" s="13">
        <f t="shared" si="90"/>
        <v>1</v>
      </c>
      <c r="F371" s="601"/>
      <c r="G371" s="13">
        <f t="shared" si="91"/>
        <v>1</v>
      </c>
      <c r="H371" s="601"/>
      <c r="I371" s="13">
        <f t="shared" si="92"/>
        <v>1</v>
      </c>
      <c r="J371" s="601"/>
      <c r="K371" s="13">
        <f t="shared" si="93"/>
        <v>1</v>
      </c>
      <c r="L371" s="601"/>
      <c r="M371" s="13">
        <f t="shared" si="94"/>
        <v>1</v>
      </c>
      <c r="N371" s="601"/>
      <c r="O371" s="13">
        <f t="shared" si="95"/>
        <v>1</v>
      </c>
      <c r="P371" s="601"/>
      <c r="Q371" s="13">
        <f t="shared" si="96"/>
        <v>1</v>
      </c>
      <c r="R371" s="597">
        <f t="shared" si="101"/>
        <v>0</v>
      </c>
      <c r="S371" s="250">
        <f t="shared" si="102"/>
        <v>0</v>
      </c>
      <c r="T371" s="901">
        <f t="shared" si="103"/>
        <v>0</v>
      </c>
      <c r="U371" s="2988">
        <f t="shared" si="97"/>
        <v>0</v>
      </c>
      <c r="V371" s="2988">
        <f t="shared" si="98"/>
        <v>0</v>
      </c>
      <c r="W371" s="998"/>
      <c r="X371" s="2988">
        <f t="shared" si="99"/>
        <v>0</v>
      </c>
      <c r="Y371" s="2988">
        <f t="shared" si="100"/>
        <v>0</v>
      </c>
      <c r="Z371" s="998"/>
    </row>
    <row r="372" spans="1:26">
      <c r="A372" s="35"/>
      <c r="B372" s="20"/>
      <c r="C372" s="13">
        <f t="shared" si="89"/>
        <v>1</v>
      </c>
      <c r="D372" s="601"/>
      <c r="E372" s="13">
        <f t="shared" si="90"/>
        <v>1</v>
      </c>
      <c r="F372" s="601"/>
      <c r="G372" s="13">
        <f t="shared" si="91"/>
        <v>1</v>
      </c>
      <c r="H372" s="601"/>
      <c r="I372" s="13">
        <f t="shared" si="92"/>
        <v>1</v>
      </c>
      <c r="J372" s="601"/>
      <c r="K372" s="13">
        <f t="shared" si="93"/>
        <v>1</v>
      </c>
      <c r="L372" s="601"/>
      <c r="M372" s="13">
        <f t="shared" si="94"/>
        <v>1</v>
      </c>
      <c r="N372" s="601"/>
      <c r="O372" s="13">
        <f t="shared" si="95"/>
        <v>1</v>
      </c>
      <c r="P372" s="601"/>
      <c r="Q372" s="13">
        <f t="shared" si="96"/>
        <v>1</v>
      </c>
      <c r="R372" s="597">
        <f t="shared" si="101"/>
        <v>0</v>
      </c>
      <c r="S372" s="250">
        <f t="shared" si="102"/>
        <v>0</v>
      </c>
      <c r="T372" s="901">
        <f t="shared" si="103"/>
        <v>0</v>
      </c>
      <c r="U372" s="2988">
        <f t="shared" si="97"/>
        <v>0</v>
      </c>
      <c r="V372" s="2988">
        <f t="shared" si="98"/>
        <v>0</v>
      </c>
      <c r="W372" s="998"/>
      <c r="X372" s="2988">
        <f t="shared" si="99"/>
        <v>0</v>
      </c>
      <c r="Y372" s="2988">
        <f t="shared" si="100"/>
        <v>0</v>
      </c>
      <c r="Z372" s="998"/>
    </row>
    <row r="373" spans="1:26">
      <c r="A373" s="35"/>
      <c r="B373" s="20"/>
      <c r="C373" s="13">
        <f t="shared" si="89"/>
        <v>1</v>
      </c>
      <c r="D373" s="601"/>
      <c r="E373" s="13">
        <f t="shared" si="90"/>
        <v>1</v>
      </c>
      <c r="F373" s="601"/>
      <c r="G373" s="13">
        <f t="shared" si="91"/>
        <v>1</v>
      </c>
      <c r="H373" s="601"/>
      <c r="I373" s="13">
        <f t="shared" si="92"/>
        <v>1</v>
      </c>
      <c r="J373" s="601"/>
      <c r="K373" s="13">
        <f t="shared" si="93"/>
        <v>1</v>
      </c>
      <c r="L373" s="601"/>
      <c r="M373" s="13">
        <f t="shared" si="94"/>
        <v>1</v>
      </c>
      <c r="N373" s="601"/>
      <c r="O373" s="13">
        <f t="shared" si="95"/>
        <v>1</v>
      </c>
      <c r="P373" s="601"/>
      <c r="Q373" s="13">
        <f t="shared" si="96"/>
        <v>1</v>
      </c>
      <c r="R373" s="597">
        <f t="shared" si="101"/>
        <v>0</v>
      </c>
      <c r="S373" s="250">
        <f t="shared" si="102"/>
        <v>0</v>
      </c>
      <c r="T373" s="901">
        <f t="shared" si="103"/>
        <v>0</v>
      </c>
      <c r="U373" s="2988">
        <f t="shared" si="97"/>
        <v>0</v>
      </c>
      <c r="V373" s="2988">
        <f t="shared" si="98"/>
        <v>0</v>
      </c>
      <c r="W373" s="998"/>
      <c r="X373" s="2988">
        <f t="shared" si="99"/>
        <v>0</v>
      </c>
      <c r="Y373" s="2988">
        <f t="shared" si="100"/>
        <v>0</v>
      </c>
      <c r="Z373" s="998"/>
    </row>
    <row r="374" spans="1:26">
      <c r="A374" s="35"/>
      <c r="B374" s="20"/>
      <c r="C374" s="13">
        <f t="shared" si="89"/>
        <v>1</v>
      </c>
      <c r="D374" s="601"/>
      <c r="E374" s="13">
        <f t="shared" si="90"/>
        <v>1</v>
      </c>
      <c r="F374" s="601"/>
      <c r="G374" s="13">
        <f t="shared" si="91"/>
        <v>1</v>
      </c>
      <c r="H374" s="601"/>
      <c r="I374" s="13">
        <f t="shared" si="92"/>
        <v>1</v>
      </c>
      <c r="J374" s="601"/>
      <c r="K374" s="13">
        <f t="shared" si="93"/>
        <v>1</v>
      </c>
      <c r="L374" s="601"/>
      <c r="M374" s="13">
        <f t="shared" si="94"/>
        <v>1</v>
      </c>
      <c r="N374" s="601"/>
      <c r="O374" s="13">
        <f t="shared" si="95"/>
        <v>1</v>
      </c>
      <c r="P374" s="601"/>
      <c r="Q374" s="13">
        <f t="shared" si="96"/>
        <v>1</v>
      </c>
      <c r="R374" s="597">
        <f t="shared" si="101"/>
        <v>0</v>
      </c>
      <c r="S374" s="250">
        <f t="shared" si="102"/>
        <v>0</v>
      </c>
      <c r="T374" s="901">
        <f t="shared" si="103"/>
        <v>0</v>
      </c>
      <c r="U374" s="2988">
        <f t="shared" si="97"/>
        <v>0</v>
      </c>
      <c r="V374" s="2988">
        <f t="shared" si="98"/>
        <v>0</v>
      </c>
      <c r="W374" s="998"/>
      <c r="X374" s="2988">
        <f t="shared" si="99"/>
        <v>0</v>
      </c>
      <c r="Y374" s="2988">
        <f t="shared" si="100"/>
        <v>0</v>
      </c>
      <c r="Z374" s="998"/>
    </row>
    <row r="375" spans="1:26">
      <c r="A375" s="35"/>
      <c r="B375" s="20"/>
      <c r="C375" s="13">
        <f t="shared" si="89"/>
        <v>1</v>
      </c>
      <c r="D375" s="601"/>
      <c r="E375" s="13">
        <f t="shared" si="90"/>
        <v>1</v>
      </c>
      <c r="F375" s="601"/>
      <c r="G375" s="13">
        <f t="shared" si="91"/>
        <v>1</v>
      </c>
      <c r="H375" s="601"/>
      <c r="I375" s="13">
        <f t="shared" si="92"/>
        <v>1</v>
      </c>
      <c r="J375" s="601"/>
      <c r="K375" s="13">
        <f t="shared" si="93"/>
        <v>1</v>
      </c>
      <c r="L375" s="601"/>
      <c r="M375" s="13">
        <f t="shared" si="94"/>
        <v>1</v>
      </c>
      <c r="N375" s="601"/>
      <c r="O375" s="13">
        <f t="shared" si="95"/>
        <v>1</v>
      </c>
      <c r="P375" s="601"/>
      <c r="Q375" s="13">
        <f t="shared" si="96"/>
        <v>1</v>
      </c>
      <c r="R375" s="597">
        <f t="shared" si="101"/>
        <v>0</v>
      </c>
      <c r="S375" s="250">
        <f t="shared" si="102"/>
        <v>0</v>
      </c>
      <c r="T375" s="901">
        <f t="shared" si="103"/>
        <v>0</v>
      </c>
      <c r="U375" s="2988">
        <f t="shared" si="97"/>
        <v>0</v>
      </c>
      <c r="V375" s="2988">
        <f t="shared" si="98"/>
        <v>0</v>
      </c>
      <c r="W375" s="998"/>
      <c r="X375" s="2988">
        <f t="shared" si="99"/>
        <v>0</v>
      </c>
      <c r="Y375" s="2988">
        <f t="shared" si="100"/>
        <v>0</v>
      </c>
      <c r="Z375" s="998"/>
    </row>
    <row r="376" spans="1:26">
      <c r="A376" s="35"/>
      <c r="B376" s="20"/>
      <c r="C376" s="13">
        <f t="shared" si="89"/>
        <v>1</v>
      </c>
      <c r="D376" s="601"/>
      <c r="E376" s="13">
        <f t="shared" si="90"/>
        <v>1</v>
      </c>
      <c r="F376" s="601"/>
      <c r="G376" s="13">
        <f t="shared" si="91"/>
        <v>1</v>
      </c>
      <c r="H376" s="601"/>
      <c r="I376" s="13">
        <f t="shared" si="92"/>
        <v>1</v>
      </c>
      <c r="J376" s="601"/>
      <c r="K376" s="13">
        <f t="shared" si="93"/>
        <v>1</v>
      </c>
      <c r="L376" s="601"/>
      <c r="M376" s="13">
        <f t="shared" si="94"/>
        <v>1</v>
      </c>
      <c r="N376" s="601"/>
      <c r="O376" s="13">
        <f t="shared" si="95"/>
        <v>1</v>
      </c>
      <c r="P376" s="601"/>
      <c r="Q376" s="13">
        <f t="shared" si="96"/>
        <v>1</v>
      </c>
      <c r="R376" s="597">
        <f t="shared" si="101"/>
        <v>0</v>
      </c>
      <c r="S376" s="250">
        <f t="shared" si="102"/>
        <v>0</v>
      </c>
      <c r="T376" s="901">
        <f t="shared" si="103"/>
        <v>0</v>
      </c>
      <c r="U376" s="2988">
        <f t="shared" si="97"/>
        <v>0</v>
      </c>
      <c r="V376" s="2988">
        <f t="shared" si="98"/>
        <v>0</v>
      </c>
      <c r="W376" s="998"/>
      <c r="X376" s="2988">
        <f t="shared" si="99"/>
        <v>0</v>
      </c>
      <c r="Y376" s="2988">
        <f t="shared" si="100"/>
        <v>0</v>
      </c>
      <c r="Z376" s="998"/>
    </row>
    <row r="377" spans="1:26">
      <c r="A377" s="35"/>
      <c r="B377" s="20"/>
      <c r="C377" s="13">
        <f t="shared" si="89"/>
        <v>1</v>
      </c>
      <c r="D377" s="601"/>
      <c r="E377" s="13">
        <f t="shared" si="90"/>
        <v>1</v>
      </c>
      <c r="F377" s="601"/>
      <c r="G377" s="13">
        <f t="shared" si="91"/>
        <v>1</v>
      </c>
      <c r="H377" s="601"/>
      <c r="I377" s="13">
        <f t="shared" si="92"/>
        <v>1</v>
      </c>
      <c r="J377" s="601"/>
      <c r="K377" s="13">
        <f t="shared" si="93"/>
        <v>1</v>
      </c>
      <c r="L377" s="601"/>
      <c r="M377" s="13">
        <f t="shared" si="94"/>
        <v>1</v>
      </c>
      <c r="N377" s="601"/>
      <c r="O377" s="13">
        <f t="shared" si="95"/>
        <v>1</v>
      </c>
      <c r="P377" s="601"/>
      <c r="Q377" s="13">
        <f t="shared" si="96"/>
        <v>1</v>
      </c>
      <c r="R377" s="597">
        <f t="shared" si="101"/>
        <v>0</v>
      </c>
      <c r="S377" s="250">
        <f t="shared" si="102"/>
        <v>0</v>
      </c>
      <c r="T377" s="901">
        <f t="shared" si="103"/>
        <v>0</v>
      </c>
      <c r="U377" s="2988">
        <f t="shared" si="97"/>
        <v>0</v>
      </c>
      <c r="V377" s="2988">
        <f t="shared" si="98"/>
        <v>0</v>
      </c>
      <c r="W377" s="998"/>
      <c r="X377" s="2988">
        <f t="shared" si="99"/>
        <v>0</v>
      </c>
      <c r="Y377" s="2988">
        <f t="shared" si="100"/>
        <v>0</v>
      </c>
      <c r="Z377" s="998"/>
    </row>
    <row r="378" spans="1:26">
      <c r="A378" s="35"/>
      <c r="B378" s="20"/>
      <c r="C378" s="13">
        <f t="shared" si="89"/>
        <v>1</v>
      </c>
      <c r="D378" s="601"/>
      <c r="E378" s="13">
        <f t="shared" si="90"/>
        <v>1</v>
      </c>
      <c r="F378" s="601"/>
      <c r="G378" s="13">
        <f t="shared" si="91"/>
        <v>1</v>
      </c>
      <c r="H378" s="601"/>
      <c r="I378" s="13">
        <f t="shared" si="92"/>
        <v>1</v>
      </c>
      <c r="J378" s="601"/>
      <c r="K378" s="13">
        <f t="shared" si="93"/>
        <v>1</v>
      </c>
      <c r="L378" s="601"/>
      <c r="M378" s="13">
        <f t="shared" si="94"/>
        <v>1</v>
      </c>
      <c r="N378" s="601"/>
      <c r="O378" s="13">
        <f t="shared" si="95"/>
        <v>1</v>
      </c>
      <c r="P378" s="601"/>
      <c r="Q378" s="13">
        <f t="shared" si="96"/>
        <v>1</v>
      </c>
      <c r="R378" s="597">
        <f t="shared" si="101"/>
        <v>0</v>
      </c>
      <c r="S378" s="250">
        <f t="shared" si="102"/>
        <v>0</v>
      </c>
      <c r="T378" s="901">
        <f t="shared" si="103"/>
        <v>0</v>
      </c>
      <c r="U378" s="2988">
        <f t="shared" si="97"/>
        <v>0</v>
      </c>
      <c r="V378" s="2988">
        <f t="shared" si="98"/>
        <v>0</v>
      </c>
      <c r="W378" s="998"/>
      <c r="X378" s="2988">
        <f t="shared" si="99"/>
        <v>0</v>
      </c>
      <c r="Y378" s="2988">
        <f t="shared" si="100"/>
        <v>0</v>
      </c>
      <c r="Z378" s="998"/>
    </row>
    <row r="379" spans="1:26">
      <c r="A379" s="35"/>
      <c r="B379" s="20"/>
      <c r="C379" s="13">
        <f t="shared" si="89"/>
        <v>1</v>
      </c>
      <c r="D379" s="601"/>
      <c r="E379" s="13">
        <f t="shared" si="90"/>
        <v>1</v>
      </c>
      <c r="F379" s="601"/>
      <c r="G379" s="13">
        <f t="shared" si="91"/>
        <v>1</v>
      </c>
      <c r="H379" s="601"/>
      <c r="I379" s="13">
        <f t="shared" si="92"/>
        <v>1</v>
      </c>
      <c r="J379" s="601"/>
      <c r="K379" s="13">
        <f t="shared" si="93"/>
        <v>1</v>
      </c>
      <c r="L379" s="601"/>
      <c r="M379" s="13">
        <f t="shared" si="94"/>
        <v>1</v>
      </c>
      <c r="N379" s="601"/>
      <c r="O379" s="13">
        <f t="shared" si="95"/>
        <v>1</v>
      </c>
      <c r="P379" s="601"/>
      <c r="Q379" s="13">
        <f t="shared" si="96"/>
        <v>1</v>
      </c>
      <c r="R379" s="597">
        <f t="shared" si="101"/>
        <v>0</v>
      </c>
      <c r="S379" s="250">
        <f t="shared" si="102"/>
        <v>0</v>
      </c>
      <c r="T379" s="901">
        <f t="shared" si="103"/>
        <v>0</v>
      </c>
      <c r="U379" s="2988">
        <f t="shared" si="97"/>
        <v>0</v>
      </c>
      <c r="V379" s="2988">
        <f t="shared" si="98"/>
        <v>0</v>
      </c>
      <c r="W379" s="998"/>
      <c r="X379" s="2988">
        <f t="shared" si="99"/>
        <v>0</v>
      </c>
      <c r="Y379" s="2988">
        <f t="shared" si="100"/>
        <v>0</v>
      </c>
      <c r="Z379" s="998"/>
    </row>
    <row r="380" spans="1:26">
      <c r="A380" s="35"/>
      <c r="B380" s="20"/>
      <c r="C380" s="13">
        <f t="shared" si="89"/>
        <v>1</v>
      </c>
      <c r="D380" s="601"/>
      <c r="E380" s="13">
        <f t="shared" si="90"/>
        <v>1</v>
      </c>
      <c r="F380" s="601"/>
      <c r="G380" s="13">
        <f t="shared" si="91"/>
        <v>1</v>
      </c>
      <c r="H380" s="601"/>
      <c r="I380" s="13">
        <f t="shared" si="92"/>
        <v>1</v>
      </c>
      <c r="J380" s="601"/>
      <c r="K380" s="13">
        <f t="shared" si="93"/>
        <v>1</v>
      </c>
      <c r="L380" s="601"/>
      <c r="M380" s="13">
        <f t="shared" si="94"/>
        <v>1</v>
      </c>
      <c r="N380" s="601"/>
      <c r="O380" s="13">
        <f t="shared" si="95"/>
        <v>1</v>
      </c>
      <c r="P380" s="601"/>
      <c r="Q380" s="13">
        <f t="shared" si="96"/>
        <v>1</v>
      </c>
      <c r="R380" s="597">
        <f t="shared" si="101"/>
        <v>0</v>
      </c>
      <c r="S380" s="250">
        <f t="shared" si="102"/>
        <v>0</v>
      </c>
      <c r="T380" s="901">
        <f t="shared" si="103"/>
        <v>0</v>
      </c>
      <c r="U380" s="2988">
        <f t="shared" si="97"/>
        <v>0</v>
      </c>
      <c r="V380" s="2988">
        <f t="shared" si="98"/>
        <v>0</v>
      </c>
      <c r="W380" s="998"/>
      <c r="X380" s="2988">
        <f t="shared" si="99"/>
        <v>0</v>
      </c>
      <c r="Y380" s="2988">
        <f t="shared" si="100"/>
        <v>0</v>
      </c>
      <c r="Z380" s="998"/>
    </row>
    <row r="381" spans="1:26">
      <c r="A381" s="35"/>
      <c r="B381" s="20"/>
      <c r="C381" s="13">
        <f t="shared" si="89"/>
        <v>1</v>
      </c>
      <c r="D381" s="601"/>
      <c r="E381" s="13">
        <f t="shared" si="90"/>
        <v>1</v>
      </c>
      <c r="F381" s="601"/>
      <c r="G381" s="13">
        <f t="shared" si="91"/>
        <v>1</v>
      </c>
      <c r="H381" s="601"/>
      <c r="I381" s="13">
        <f t="shared" si="92"/>
        <v>1</v>
      </c>
      <c r="J381" s="601"/>
      <c r="K381" s="13">
        <f t="shared" si="93"/>
        <v>1</v>
      </c>
      <c r="L381" s="601"/>
      <c r="M381" s="13">
        <f t="shared" si="94"/>
        <v>1</v>
      </c>
      <c r="N381" s="601"/>
      <c r="O381" s="13">
        <f t="shared" si="95"/>
        <v>1</v>
      </c>
      <c r="P381" s="601"/>
      <c r="Q381" s="13">
        <f t="shared" si="96"/>
        <v>1</v>
      </c>
      <c r="R381" s="597">
        <f t="shared" si="101"/>
        <v>0</v>
      </c>
      <c r="S381" s="250">
        <f t="shared" si="102"/>
        <v>0</v>
      </c>
      <c r="T381" s="901">
        <f t="shared" si="103"/>
        <v>0</v>
      </c>
      <c r="U381" s="2988">
        <f t="shared" si="97"/>
        <v>0</v>
      </c>
      <c r="V381" s="2988">
        <f t="shared" si="98"/>
        <v>0</v>
      </c>
      <c r="W381" s="998"/>
      <c r="X381" s="2988">
        <f t="shared" si="99"/>
        <v>0</v>
      </c>
      <c r="Y381" s="2988">
        <f t="shared" si="100"/>
        <v>0</v>
      </c>
      <c r="Z381" s="998"/>
    </row>
    <row r="382" spans="1:26">
      <c r="A382" s="35"/>
      <c r="B382" s="20"/>
      <c r="C382" s="13">
        <f t="shared" si="89"/>
        <v>1</v>
      </c>
      <c r="D382" s="601"/>
      <c r="E382" s="13">
        <f t="shared" si="90"/>
        <v>1</v>
      </c>
      <c r="F382" s="601"/>
      <c r="G382" s="13">
        <f t="shared" si="91"/>
        <v>1</v>
      </c>
      <c r="H382" s="601"/>
      <c r="I382" s="13">
        <f t="shared" si="92"/>
        <v>1</v>
      </c>
      <c r="J382" s="601"/>
      <c r="K382" s="13">
        <f t="shared" si="93"/>
        <v>1</v>
      </c>
      <c r="L382" s="601"/>
      <c r="M382" s="13">
        <f t="shared" si="94"/>
        <v>1</v>
      </c>
      <c r="N382" s="601"/>
      <c r="O382" s="13">
        <f t="shared" si="95"/>
        <v>1</v>
      </c>
      <c r="P382" s="601"/>
      <c r="Q382" s="13">
        <f t="shared" si="96"/>
        <v>1</v>
      </c>
      <c r="R382" s="597">
        <f t="shared" si="101"/>
        <v>0</v>
      </c>
      <c r="S382" s="250">
        <f t="shared" si="102"/>
        <v>0</v>
      </c>
      <c r="T382" s="901">
        <f t="shared" si="103"/>
        <v>0</v>
      </c>
      <c r="U382" s="2988">
        <f t="shared" si="97"/>
        <v>0</v>
      </c>
      <c r="V382" s="2988">
        <f t="shared" si="98"/>
        <v>0</v>
      </c>
      <c r="W382" s="998"/>
      <c r="X382" s="2988">
        <f t="shared" si="99"/>
        <v>0</v>
      </c>
      <c r="Y382" s="2988">
        <f t="shared" si="100"/>
        <v>0</v>
      </c>
      <c r="Z382" s="998"/>
    </row>
    <row r="383" spans="1:26">
      <c r="A383" s="35"/>
      <c r="B383" s="20"/>
      <c r="C383" s="13">
        <f t="shared" si="89"/>
        <v>1</v>
      </c>
      <c r="D383" s="601"/>
      <c r="E383" s="13">
        <f t="shared" si="90"/>
        <v>1</v>
      </c>
      <c r="F383" s="601"/>
      <c r="G383" s="13">
        <f t="shared" si="91"/>
        <v>1</v>
      </c>
      <c r="H383" s="601"/>
      <c r="I383" s="13">
        <f t="shared" si="92"/>
        <v>1</v>
      </c>
      <c r="J383" s="601"/>
      <c r="K383" s="13">
        <f t="shared" si="93"/>
        <v>1</v>
      </c>
      <c r="L383" s="601"/>
      <c r="M383" s="13">
        <f t="shared" si="94"/>
        <v>1</v>
      </c>
      <c r="N383" s="601"/>
      <c r="O383" s="13">
        <f t="shared" si="95"/>
        <v>1</v>
      </c>
      <c r="P383" s="601"/>
      <c r="Q383" s="13">
        <f t="shared" si="96"/>
        <v>1</v>
      </c>
      <c r="R383" s="597">
        <f t="shared" si="101"/>
        <v>0</v>
      </c>
      <c r="S383" s="250">
        <f t="shared" si="102"/>
        <v>0</v>
      </c>
      <c r="T383" s="901">
        <f t="shared" si="103"/>
        <v>0</v>
      </c>
      <c r="U383" s="2988">
        <f t="shared" si="97"/>
        <v>0</v>
      </c>
      <c r="V383" s="2988">
        <f t="shared" si="98"/>
        <v>0</v>
      </c>
      <c r="W383" s="998"/>
      <c r="X383" s="2988">
        <f t="shared" si="99"/>
        <v>0</v>
      </c>
      <c r="Y383" s="2988">
        <f t="shared" si="100"/>
        <v>0</v>
      </c>
      <c r="Z383" s="998"/>
    </row>
    <row r="384" spans="1:26">
      <c r="A384" s="35"/>
      <c r="B384" s="20"/>
      <c r="C384" s="13">
        <f t="shared" si="89"/>
        <v>1</v>
      </c>
      <c r="D384" s="601"/>
      <c r="E384" s="13">
        <f t="shared" si="90"/>
        <v>1</v>
      </c>
      <c r="F384" s="601"/>
      <c r="G384" s="13">
        <f t="shared" si="91"/>
        <v>1</v>
      </c>
      <c r="H384" s="601"/>
      <c r="I384" s="13">
        <f t="shared" si="92"/>
        <v>1</v>
      </c>
      <c r="J384" s="601"/>
      <c r="K384" s="13">
        <f t="shared" si="93"/>
        <v>1</v>
      </c>
      <c r="L384" s="601"/>
      <c r="M384" s="13">
        <f t="shared" si="94"/>
        <v>1</v>
      </c>
      <c r="N384" s="601"/>
      <c r="O384" s="13">
        <f t="shared" si="95"/>
        <v>1</v>
      </c>
      <c r="P384" s="601"/>
      <c r="Q384" s="13">
        <f t="shared" si="96"/>
        <v>1</v>
      </c>
      <c r="R384" s="597">
        <f t="shared" si="101"/>
        <v>0</v>
      </c>
      <c r="S384" s="250">
        <f t="shared" si="102"/>
        <v>0</v>
      </c>
      <c r="T384" s="901">
        <f t="shared" si="103"/>
        <v>0</v>
      </c>
      <c r="U384" s="2988">
        <f t="shared" si="97"/>
        <v>0</v>
      </c>
      <c r="V384" s="2988">
        <f t="shared" si="98"/>
        <v>0</v>
      </c>
      <c r="W384" s="998"/>
      <c r="X384" s="2988">
        <f t="shared" si="99"/>
        <v>0</v>
      </c>
      <c r="Y384" s="2988">
        <f t="shared" si="100"/>
        <v>0</v>
      </c>
      <c r="Z384" s="998"/>
    </row>
    <row r="385" spans="1:26">
      <c r="A385" s="35"/>
      <c r="B385" s="20"/>
      <c r="C385" s="13">
        <f t="shared" si="89"/>
        <v>1</v>
      </c>
      <c r="D385" s="601"/>
      <c r="E385" s="13">
        <f t="shared" si="90"/>
        <v>1</v>
      </c>
      <c r="F385" s="601"/>
      <c r="G385" s="13">
        <f t="shared" si="91"/>
        <v>1</v>
      </c>
      <c r="H385" s="601"/>
      <c r="I385" s="13">
        <f t="shared" si="92"/>
        <v>1</v>
      </c>
      <c r="J385" s="601"/>
      <c r="K385" s="13">
        <f t="shared" si="93"/>
        <v>1</v>
      </c>
      <c r="L385" s="601"/>
      <c r="M385" s="13">
        <f t="shared" si="94"/>
        <v>1</v>
      </c>
      <c r="N385" s="601"/>
      <c r="O385" s="13">
        <f t="shared" si="95"/>
        <v>1</v>
      </c>
      <c r="P385" s="601"/>
      <c r="Q385" s="13">
        <f t="shared" si="96"/>
        <v>1</v>
      </c>
      <c r="R385" s="597">
        <f t="shared" si="101"/>
        <v>0</v>
      </c>
      <c r="S385" s="250">
        <f t="shared" si="102"/>
        <v>0</v>
      </c>
      <c r="T385" s="901">
        <f t="shared" si="103"/>
        <v>0</v>
      </c>
      <c r="U385" s="2988">
        <f t="shared" si="97"/>
        <v>0</v>
      </c>
      <c r="V385" s="2988">
        <f t="shared" si="98"/>
        <v>0</v>
      </c>
      <c r="W385" s="998"/>
      <c r="X385" s="2988">
        <f t="shared" si="99"/>
        <v>0</v>
      </c>
      <c r="Y385" s="2988">
        <f t="shared" si="100"/>
        <v>0</v>
      </c>
      <c r="Z385" s="998"/>
    </row>
    <row r="386" spans="1:26">
      <c r="A386" s="35"/>
      <c r="B386" s="20"/>
      <c r="C386" s="13">
        <f t="shared" si="89"/>
        <v>1</v>
      </c>
      <c r="D386" s="601"/>
      <c r="E386" s="13">
        <f t="shared" si="90"/>
        <v>1</v>
      </c>
      <c r="F386" s="601"/>
      <c r="G386" s="13">
        <f t="shared" si="91"/>
        <v>1</v>
      </c>
      <c r="H386" s="601"/>
      <c r="I386" s="13">
        <f t="shared" si="92"/>
        <v>1</v>
      </c>
      <c r="J386" s="601"/>
      <c r="K386" s="13">
        <f t="shared" si="93"/>
        <v>1</v>
      </c>
      <c r="L386" s="601"/>
      <c r="M386" s="13">
        <f t="shared" si="94"/>
        <v>1</v>
      </c>
      <c r="N386" s="601"/>
      <c r="O386" s="13">
        <f t="shared" si="95"/>
        <v>1</v>
      </c>
      <c r="P386" s="601"/>
      <c r="Q386" s="13">
        <f t="shared" si="96"/>
        <v>1</v>
      </c>
      <c r="R386" s="597">
        <f t="shared" si="101"/>
        <v>0</v>
      </c>
      <c r="S386" s="250">
        <f t="shared" si="102"/>
        <v>0</v>
      </c>
      <c r="T386" s="901">
        <f t="shared" si="103"/>
        <v>0</v>
      </c>
      <c r="U386" s="2988">
        <f t="shared" si="97"/>
        <v>0</v>
      </c>
      <c r="V386" s="2988">
        <f t="shared" si="98"/>
        <v>0</v>
      </c>
      <c r="W386" s="998"/>
      <c r="X386" s="2988">
        <f t="shared" si="99"/>
        <v>0</v>
      </c>
      <c r="Y386" s="2988">
        <f t="shared" si="100"/>
        <v>0</v>
      </c>
      <c r="Z386" s="998"/>
    </row>
    <row r="387" spans="1:26">
      <c r="A387" s="35"/>
      <c r="B387" s="20"/>
      <c r="C387" s="13">
        <f t="shared" si="89"/>
        <v>1</v>
      </c>
      <c r="D387" s="601"/>
      <c r="E387" s="13">
        <f t="shared" si="90"/>
        <v>1</v>
      </c>
      <c r="F387" s="601"/>
      <c r="G387" s="13">
        <f t="shared" si="91"/>
        <v>1</v>
      </c>
      <c r="H387" s="601"/>
      <c r="I387" s="13">
        <f t="shared" si="92"/>
        <v>1</v>
      </c>
      <c r="J387" s="601"/>
      <c r="K387" s="13">
        <f t="shared" si="93"/>
        <v>1</v>
      </c>
      <c r="L387" s="601"/>
      <c r="M387" s="13">
        <f t="shared" si="94"/>
        <v>1</v>
      </c>
      <c r="N387" s="601"/>
      <c r="O387" s="13">
        <f t="shared" si="95"/>
        <v>1</v>
      </c>
      <c r="P387" s="601"/>
      <c r="Q387" s="13">
        <f t="shared" si="96"/>
        <v>1</v>
      </c>
      <c r="R387" s="597">
        <f t="shared" si="101"/>
        <v>0</v>
      </c>
      <c r="S387" s="250">
        <f t="shared" si="102"/>
        <v>0</v>
      </c>
      <c r="T387" s="901">
        <f t="shared" si="103"/>
        <v>0</v>
      </c>
      <c r="U387" s="2988">
        <f t="shared" si="97"/>
        <v>0</v>
      </c>
      <c r="V387" s="2988">
        <f t="shared" si="98"/>
        <v>0</v>
      </c>
      <c r="W387" s="998"/>
      <c r="X387" s="2988">
        <f t="shared" si="99"/>
        <v>0</v>
      </c>
      <c r="Y387" s="2988">
        <f t="shared" si="100"/>
        <v>0</v>
      </c>
      <c r="Z387" s="998"/>
    </row>
    <row r="388" spans="1:26">
      <c r="A388" s="35"/>
      <c r="B388" s="20"/>
      <c r="C388" s="13">
        <f t="shared" si="89"/>
        <v>1</v>
      </c>
      <c r="D388" s="601"/>
      <c r="E388" s="13">
        <f t="shared" si="90"/>
        <v>1</v>
      </c>
      <c r="F388" s="601"/>
      <c r="G388" s="13">
        <f t="shared" si="91"/>
        <v>1</v>
      </c>
      <c r="H388" s="601"/>
      <c r="I388" s="13">
        <f t="shared" si="92"/>
        <v>1</v>
      </c>
      <c r="J388" s="601"/>
      <c r="K388" s="13">
        <f t="shared" si="93"/>
        <v>1</v>
      </c>
      <c r="L388" s="601"/>
      <c r="M388" s="13">
        <f t="shared" si="94"/>
        <v>1</v>
      </c>
      <c r="N388" s="601"/>
      <c r="O388" s="13">
        <f t="shared" si="95"/>
        <v>1</v>
      </c>
      <c r="P388" s="601"/>
      <c r="Q388" s="13">
        <f t="shared" si="96"/>
        <v>1</v>
      </c>
      <c r="R388" s="597">
        <f t="shared" si="101"/>
        <v>0</v>
      </c>
      <c r="S388" s="250">
        <f t="shared" si="102"/>
        <v>0</v>
      </c>
      <c r="T388" s="901">
        <f t="shared" si="103"/>
        <v>0</v>
      </c>
      <c r="U388" s="2988">
        <f t="shared" si="97"/>
        <v>0</v>
      </c>
      <c r="V388" s="2988">
        <f t="shared" si="98"/>
        <v>0</v>
      </c>
      <c r="W388" s="998"/>
      <c r="X388" s="2988">
        <f t="shared" si="99"/>
        <v>0</v>
      </c>
      <c r="Y388" s="2988">
        <f t="shared" si="100"/>
        <v>0</v>
      </c>
      <c r="Z388" s="998"/>
    </row>
    <row r="389" spans="1:26">
      <c r="A389" s="35"/>
      <c r="B389" s="20"/>
      <c r="C389" s="13">
        <f t="shared" si="89"/>
        <v>1</v>
      </c>
      <c r="D389" s="601"/>
      <c r="E389" s="13">
        <f t="shared" si="90"/>
        <v>1</v>
      </c>
      <c r="F389" s="601"/>
      <c r="G389" s="13">
        <f t="shared" si="91"/>
        <v>1</v>
      </c>
      <c r="H389" s="601"/>
      <c r="I389" s="13">
        <f t="shared" si="92"/>
        <v>1</v>
      </c>
      <c r="J389" s="601"/>
      <c r="K389" s="13">
        <f t="shared" si="93"/>
        <v>1</v>
      </c>
      <c r="L389" s="601"/>
      <c r="M389" s="13">
        <f t="shared" si="94"/>
        <v>1</v>
      </c>
      <c r="N389" s="601"/>
      <c r="O389" s="13">
        <f t="shared" si="95"/>
        <v>1</v>
      </c>
      <c r="P389" s="601"/>
      <c r="Q389" s="13">
        <f t="shared" si="96"/>
        <v>1</v>
      </c>
      <c r="R389" s="597">
        <f t="shared" si="101"/>
        <v>0</v>
      </c>
      <c r="S389" s="250">
        <f t="shared" si="102"/>
        <v>0</v>
      </c>
      <c r="T389" s="901">
        <f t="shared" si="103"/>
        <v>0</v>
      </c>
      <c r="U389" s="2988">
        <f t="shared" si="97"/>
        <v>0</v>
      </c>
      <c r="V389" s="2988">
        <f t="shared" si="98"/>
        <v>0</v>
      </c>
      <c r="W389" s="998"/>
      <c r="X389" s="2988">
        <f t="shared" si="99"/>
        <v>0</v>
      </c>
      <c r="Y389" s="2988">
        <f t="shared" si="100"/>
        <v>0</v>
      </c>
      <c r="Z389" s="998"/>
    </row>
    <row r="390" spans="1:26">
      <c r="A390" s="35"/>
      <c r="B390" s="20"/>
      <c r="C390" s="13">
        <f t="shared" si="89"/>
        <v>1</v>
      </c>
      <c r="D390" s="601"/>
      <c r="E390" s="13">
        <f t="shared" si="90"/>
        <v>1</v>
      </c>
      <c r="F390" s="601"/>
      <c r="G390" s="13">
        <f t="shared" si="91"/>
        <v>1</v>
      </c>
      <c r="H390" s="601"/>
      <c r="I390" s="13">
        <f t="shared" si="92"/>
        <v>1</v>
      </c>
      <c r="J390" s="601"/>
      <c r="K390" s="13">
        <f t="shared" si="93"/>
        <v>1</v>
      </c>
      <c r="L390" s="601"/>
      <c r="M390" s="13">
        <f t="shared" si="94"/>
        <v>1</v>
      </c>
      <c r="N390" s="601"/>
      <c r="O390" s="13">
        <f t="shared" si="95"/>
        <v>1</v>
      </c>
      <c r="P390" s="601"/>
      <c r="Q390" s="13">
        <f t="shared" si="96"/>
        <v>1</v>
      </c>
      <c r="R390" s="597">
        <f t="shared" si="101"/>
        <v>0</v>
      </c>
      <c r="S390" s="250">
        <f t="shared" si="102"/>
        <v>0</v>
      </c>
      <c r="T390" s="901">
        <f t="shared" si="103"/>
        <v>0</v>
      </c>
      <c r="U390" s="2988">
        <f t="shared" si="97"/>
        <v>0</v>
      </c>
      <c r="V390" s="2988">
        <f t="shared" si="98"/>
        <v>0</v>
      </c>
      <c r="W390" s="998"/>
      <c r="X390" s="2988">
        <f t="shared" si="99"/>
        <v>0</v>
      </c>
      <c r="Y390" s="2988">
        <f t="shared" si="100"/>
        <v>0</v>
      </c>
      <c r="Z390" s="998"/>
    </row>
    <row r="391" spans="1:26">
      <c r="A391" s="35"/>
      <c r="B391" s="20"/>
      <c r="C391" s="13">
        <f t="shared" si="89"/>
        <v>1</v>
      </c>
      <c r="D391" s="601"/>
      <c r="E391" s="13">
        <f t="shared" si="90"/>
        <v>1</v>
      </c>
      <c r="F391" s="601"/>
      <c r="G391" s="13">
        <f t="shared" si="91"/>
        <v>1</v>
      </c>
      <c r="H391" s="601"/>
      <c r="I391" s="13">
        <f t="shared" si="92"/>
        <v>1</v>
      </c>
      <c r="J391" s="601"/>
      <c r="K391" s="13">
        <f t="shared" si="93"/>
        <v>1</v>
      </c>
      <c r="L391" s="601"/>
      <c r="M391" s="13">
        <f t="shared" si="94"/>
        <v>1</v>
      </c>
      <c r="N391" s="601"/>
      <c r="O391" s="13">
        <f t="shared" si="95"/>
        <v>1</v>
      </c>
      <c r="P391" s="601"/>
      <c r="Q391" s="13">
        <f t="shared" si="96"/>
        <v>1</v>
      </c>
      <c r="R391" s="597">
        <f t="shared" si="101"/>
        <v>0</v>
      </c>
      <c r="S391" s="250">
        <f t="shared" si="102"/>
        <v>0</v>
      </c>
      <c r="T391" s="901">
        <f t="shared" si="103"/>
        <v>0</v>
      </c>
      <c r="U391" s="2988">
        <f t="shared" si="97"/>
        <v>0</v>
      </c>
      <c r="V391" s="2988">
        <f t="shared" si="98"/>
        <v>0</v>
      </c>
      <c r="W391" s="998"/>
      <c r="X391" s="2988">
        <f t="shared" si="99"/>
        <v>0</v>
      </c>
      <c r="Y391" s="2988">
        <f t="shared" si="100"/>
        <v>0</v>
      </c>
      <c r="Z391" s="998"/>
    </row>
    <row r="392" spans="1:26">
      <c r="A392" s="35"/>
      <c r="B392" s="20"/>
      <c r="C392" s="13">
        <f t="shared" si="89"/>
        <v>1</v>
      </c>
      <c r="D392" s="601"/>
      <c r="E392" s="13">
        <f t="shared" si="90"/>
        <v>1</v>
      </c>
      <c r="F392" s="601"/>
      <c r="G392" s="13">
        <f t="shared" si="91"/>
        <v>1</v>
      </c>
      <c r="H392" s="601"/>
      <c r="I392" s="13">
        <f t="shared" si="92"/>
        <v>1</v>
      </c>
      <c r="J392" s="601"/>
      <c r="K392" s="13">
        <f t="shared" si="93"/>
        <v>1</v>
      </c>
      <c r="L392" s="601"/>
      <c r="M392" s="13">
        <f t="shared" si="94"/>
        <v>1</v>
      </c>
      <c r="N392" s="601"/>
      <c r="O392" s="13">
        <f t="shared" si="95"/>
        <v>1</v>
      </c>
      <c r="P392" s="601"/>
      <c r="Q392" s="13">
        <f t="shared" si="96"/>
        <v>1</v>
      </c>
      <c r="R392" s="597">
        <f t="shared" si="101"/>
        <v>0</v>
      </c>
      <c r="S392" s="250">
        <f t="shared" si="102"/>
        <v>0</v>
      </c>
      <c r="T392" s="901">
        <f t="shared" si="103"/>
        <v>0</v>
      </c>
      <c r="U392" s="2988">
        <f t="shared" si="97"/>
        <v>0</v>
      </c>
      <c r="V392" s="2988">
        <f t="shared" si="98"/>
        <v>0</v>
      </c>
      <c r="W392" s="998"/>
      <c r="X392" s="2988">
        <f t="shared" si="99"/>
        <v>0</v>
      </c>
      <c r="Y392" s="2988">
        <f t="shared" si="100"/>
        <v>0</v>
      </c>
      <c r="Z392" s="998"/>
    </row>
    <row r="393" spans="1:26">
      <c r="A393" s="35"/>
      <c r="B393" s="20"/>
      <c r="C393" s="13">
        <f t="shared" si="89"/>
        <v>1</v>
      </c>
      <c r="D393" s="601"/>
      <c r="E393" s="13">
        <f t="shared" si="90"/>
        <v>1</v>
      </c>
      <c r="F393" s="601"/>
      <c r="G393" s="13">
        <f t="shared" si="91"/>
        <v>1</v>
      </c>
      <c r="H393" s="601"/>
      <c r="I393" s="13">
        <f t="shared" si="92"/>
        <v>1</v>
      </c>
      <c r="J393" s="601"/>
      <c r="K393" s="13">
        <f t="shared" si="93"/>
        <v>1</v>
      </c>
      <c r="L393" s="601"/>
      <c r="M393" s="13">
        <f t="shared" si="94"/>
        <v>1</v>
      </c>
      <c r="N393" s="601"/>
      <c r="O393" s="13">
        <f t="shared" si="95"/>
        <v>1</v>
      </c>
      <c r="P393" s="601"/>
      <c r="Q393" s="13">
        <f t="shared" si="96"/>
        <v>1</v>
      </c>
      <c r="R393" s="597">
        <f t="shared" si="101"/>
        <v>0</v>
      </c>
      <c r="S393" s="250">
        <f t="shared" si="102"/>
        <v>0</v>
      </c>
      <c r="T393" s="901">
        <f t="shared" si="103"/>
        <v>0</v>
      </c>
      <c r="U393" s="2988">
        <f t="shared" si="97"/>
        <v>0</v>
      </c>
      <c r="V393" s="2988">
        <f t="shared" si="98"/>
        <v>0</v>
      </c>
      <c r="W393" s="998"/>
      <c r="X393" s="2988">
        <f t="shared" si="99"/>
        <v>0</v>
      </c>
      <c r="Y393" s="2988">
        <f t="shared" si="100"/>
        <v>0</v>
      </c>
      <c r="Z393" s="998"/>
    </row>
    <row r="394" spans="1:26">
      <c r="A394" s="35"/>
      <c r="B394" s="20"/>
      <c r="C394" s="13">
        <f t="shared" si="89"/>
        <v>1</v>
      </c>
      <c r="D394" s="601"/>
      <c r="E394" s="13">
        <f t="shared" si="90"/>
        <v>1</v>
      </c>
      <c r="F394" s="601"/>
      <c r="G394" s="13">
        <f t="shared" si="91"/>
        <v>1</v>
      </c>
      <c r="H394" s="601"/>
      <c r="I394" s="13">
        <f t="shared" si="92"/>
        <v>1</v>
      </c>
      <c r="J394" s="601"/>
      <c r="K394" s="13">
        <f t="shared" si="93"/>
        <v>1</v>
      </c>
      <c r="L394" s="601"/>
      <c r="M394" s="13">
        <f t="shared" si="94"/>
        <v>1</v>
      </c>
      <c r="N394" s="601"/>
      <c r="O394" s="13">
        <f t="shared" si="95"/>
        <v>1</v>
      </c>
      <c r="P394" s="601"/>
      <c r="Q394" s="13">
        <f t="shared" si="96"/>
        <v>1</v>
      </c>
      <c r="R394" s="597">
        <f t="shared" si="101"/>
        <v>0</v>
      </c>
      <c r="S394" s="250">
        <f t="shared" si="102"/>
        <v>0</v>
      </c>
      <c r="T394" s="901">
        <f t="shared" si="103"/>
        <v>0</v>
      </c>
      <c r="U394" s="2988">
        <f t="shared" si="97"/>
        <v>0</v>
      </c>
      <c r="V394" s="2988">
        <f t="shared" si="98"/>
        <v>0</v>
      </c>
      <c r="W394" s="998"/>
      <c r="X394" s="2988">
        <f t="shared" si="99"/>
        <v>0</v>
      </c>
      <c r="Y394" s="2988">
        <f t="shared" si="100"/>
        <v>0</v>
      </c>
      <c r="Z394" s="998"/>
    </row>
    <row r="395" spans="1:26">
      <c r="A395" s="35"/>
      <c r="B395" s="20"/>
      <c r="C395" s="13">
        <f t="shared" si="89"/>
        <v>1</v>
      </c>
      <c r="D395" s="601"/>
      <c r="E395" s="13">
        <f t="shared" si="90"/>
        <v>1</v>
      </c>
      <c r="F395" s="601"/>
      <c r="G395" s="13">
        <f t="shared" si="91"/>
        <v>1</v>
      </c>
      <c r="H395" s="601"/>
      <c r="I395" s="13">
        <f t="shared" si="92"/>
        <v>1</v>
      </c>
      <c r="J395" s="601"/>
      <c r="K395" s="13">
        <f t="shared" si="93"/>
        <v>1</v>
      </c>
      <c r="L395" s="601"/>
      <c r="M395" s="13">
        <f t="shared" si="94"/>
        <v>1</v>
      </c>
      <c r="N395" s="601"/>
      <c r="O395" s="13">
        <f t="shared" si="95"/>
        <v>1</v>
      </c>
      <c r="P395" s="601"/>
      <c r="Q395" s="13">
        <f t="shared" si="96"/>
        <v>1</v>
      </c>
      <c r="R395" s="597">
        <f t="shared" si="101"/>
        <v>0</v>
      </c>
      <c r="S395" s="250">
        <f t="shared" si="102"/>
        <v>0</v>
      </c>
      <c r="T395" s="901">
        <f t="shared" si="103"/>
        <v>0</v>
      </c>
      <c r="U395" s="2988">
        <f t="shared" si="97"/>
        <v>0</v>
      </c>
      <c r="V395" s="2988">
        <f t="shared" si="98"/>
        <v>0</v>
      </c>
      <c r="W395" s="998"/>
      <c r="X395" s="2988">
        <f t="shared" si="99"/>
        <v>0</v>
      </c>
      <c r="Y395" s="2988">
        <f t="shared" si="100"/>
        <v>0</v>
      </c>
      <c r="Z395" s="998"/>
    </row>
    <row r="396" spans="1:26">
      <c r="A396" s="35"/>
      <c r="B396" s="20"/>
      <c r="C396" s="13">
        <f t="shared" si="89"/>
        <v>1</v>
      </c>
      <c r="D396" s="601"/>
      <c r="E396" s="13">
        <f t="shared" si="90"/>
        <v>1</v>
      </c>
      <c r="F396" s="601"/>
      <c r="G396" s="13">
        <f t="shared" si="91"/>
        <v>1</v>
      </c>
      <c r="H396" s="601"/>
      <c r="I396" s="13">
        <f t="shared" si="92"/>
        <v>1</v>
      </c>
      <c r="J396" s="601"/>
      <c r="K396" s="13">
        <f t="shared" si="93"/>
        <v>1</v>
      </c>
      <c r="L396" s="601"/>
      <c r="M396" s="13">
        <f t="shared" si="94"/>
        <v>1</v>
      </c>
      <c r="N396" s="601"/>
      <c r="O396" s="13">
        <f t="shared" si="95"/>
        <v>1</v>
      </c>
      <c r="P396" s="601"/>
      <c r="Q396" s="13">
        <f t="shared" si="96"/>
        <v>1</v>
      </c>
      <c r="R396" s="597">
        <f t="shared" si="101"/>
        <v>0</v>
      </c>
      <c r="S396" s="250">
        <f t="shared" si="102"/>
        <v>0</v>
      </c>
      <c r="T396" s="901">
        <f t="shared" si="103"/>
        <v>0</v>
      </c>
      <c r="U396" s="2988">
        <f t="shared" si="97"/>
        <v>0</v>
      </c>
      <c r="V396" s="2988">
        <f t="shared" si="98"/>
        <v>0</v>
      </c>
      <c r="W396" s="998"/>
      <c r="X396" s="2988">
        <f t="shared" si="99"/>
        <v>0</v>
      </c>
      <c r="Y396" s="2988">
        <f t="shared" si="100"/>
        <v>0</v>
      </c>
      <c r="Z396" s="998"/>
    </row>
    <row r="397" spans="1:26">
      <c r="A397" s="35"/>
      <c r="B397" s="20"/>
      <c r="C397" s="13">
        <f t="shared" si="89"/>
        <v>1</v>
      </c>
      <c r="D397" s="601"/>
      <c r="E397" s="13">
        <f t="shared" si="90"/>
        <v>1</v>
      </c>
      <c r="F397" s="601"/>
      <c r="G397" s="13">
        <f t="shared" si="91"/>
        <v>1</v>
      </c>
      <c r="H397" s="601"/>
      <c r="I397" s="13">
        <f t="shared" si="92"/>
        <v>1</v>
      </c>
      <c r="J397" s="601"/>
      <c r="K397" s="13">
        <f t="shared" si="93"/>
        <v>1</v>
      </c>
      <c r="L397" s="601"/>
      <c r="M397" s="13">
        <f t="shared" si="94"/>
        <v>1</v>
      </c>
      <c r="N397" s="601"/>
      <c r="O397" s="13">
        <f t="shared" si="95"/>
        <v>1</v>
      </c>
      <c r="P397" s="601"/>
      <c r="Q397" s="13">
        <f t="shared" si="96"/>
        <v>1</v>
      </c>
      <c r="R397" s="597">
        <f t="shared" si="101"/>
        <v>0</v>
      </c>
      <c r="S397" s="250">
        <f t="shared" si="102"/>
        <v>0</v>
      </c>
      <c r="T397" s="901">
        <f t="shared" si="103"/>
        <v>0</v>
      </c>
      <c r="U397" s="2988">
        <f t="shared" si="97"/>
        <v>0</v>
      </c>
      <c r="V397" s="2988">
        <f t="shared" si="98"/>
        <v>0</v>
      </c>
      <c r="W397" s="998"/>
      <c r="X397" s="2988">
        <f t="shared" si="99"/>
        <v>0</v>
      </c>
      <c r="Y397" s="2988">
        <f t="shared" si="100"/>
        <v>0</v>
      </c>
      <c r="Z397" s="998"/>
    </row>
    <row r="398" spans="1:26">
      <c r="A398" s="35"/>
      <c r="B398" s="20"/>
      <c r="C398" s="13">
        <f t="shared" si="89"/>
        <v>1</v>
      </c>
      <c r="D398" s="601"/>
      <c r="E398" s="13">
        <f t="shared" si="90"/>
        <v>1</v>
      </c>
      <c r="F398" s="601"/>
      <c r="G398" s="13">
        <f t="shared" si="91"/>
        <v>1</v>
      </c>
      <c r="H398" s="601"/>
      <c r="I398" s="13">
        <f t="shared" si="92"/>
        <v>1</v>
      </c>
      <c r="J398" s="601"/>
      <c r="K398" s="13">
        <f t="shared" si="93"/>
        <v>1</v>
      </c>
      <c r="L398" s="601"/>
      <c r="M398" s="13">
        <f t="shared" si="94"/>
        <v>1</v>
      </c>
      <c r="N398" s="601"/>
      <c r="O398" s="13">
        <f t="shared" si="95"/>
        <v>1</v>
      </c>
      <c r="P398" s="601"/>
      <c r="Q398" s="13">
        <f t="shared" si="96"/>
        <v>1</v>
      </c>
      <c r="R398" s="597">
        <f t="shared" si="101"/>
        <v>0</v>
      </c>
      <c r="S398" s="250">
        <f t="shared" si="102"/>
        <v>0</v>
      </c>
      <c r="T398" s="901">
        <f t="shared" si="103"/>
        <v>0</v>
      </c>
      <c r="U398" s="2988">
        <f t="shared" si="97"/>
        <v>0</v>
      </c>
      <c r="V398" s="2988">
        <f t="shared" si="98"/>
        <v>0</v>
      </c>
      <c r="W398" s="998"/>
      <c r="X398" s="2988">
        <f t="shared" si="99"/>
        <v>0</v>
      </c>
      <c r="Y398" s="2988">
        <f t="shared" si="100"/>
        <v>0</v>
      </c>
      <c r="Z398" s="998"/>
    </row>
    <row r="399" spans="1:26">
      <c r="A399" s="35"/>
      <c r="B399" s="20"/>
      <c r="C399" s="13">
        <f t="shared" si="89"/>
        <v>1</v>
      </c>
      <c r="D399" s="601"/>
      <c r="E399" s="13">
        <f t="shared" si="90"/>
        <v>1</v>
      </c>
      <c r="F399" s="601"/>
      <c r="G399" s="13">
        <f t="shared" si="91"/>
        <v>1</v>
      </c>
      <c r="H399" s="601"/>
      <c r="I399" s="13">
        <f t="shared" si="92"/>
        <v>1</v>
      </c>
      <c r="J399" s="601"/>
      <c r="K399" s="13">
        <f t="shared" si="93"/>
        <v>1</v>
      </c>
      <c r="L399" s="601"/>
      <c r="M399" s="13">
        <f t="shared" si="94"/>
        <v>1</v>
      </c>
      <c r="N399" s="601"/>
      <c r="O399" s="13">
        <f t="shared" si="95"/>
        <v>1</v>
      </c>
      <c r="P399" s="601"/>
      <c r="Q399" s="13">
        <f t="shared" si="96"/>
        <v>1</v>
      </c>
      <c r="R399" s="597">
        <f t="shared" si="101"/>
        <v>0</v>
      </c>
      <c r="S399" s="250">
        <f t="shared" si="102"/>
        <v>0</v>
      </c>
      <c r="T399" s="901">
        <f t="shared" si="103"/>
        <v>0</v>
      </c>
      <c r="U399" s="2988">
        <f t="shared" si="97"/>
        <v>0</v>
      </c>
      <c r="V399" s="2988">
        <f t="shared" si="98"/>
        <v>0</v>
      </c>
      <c r="W399" s="998"/>
      <c r="X399" s="2988">
        <f t="shared" si="99"/>
        <v>0</v>
      </c>
      <c r="Y399" s="2988">
        <f t="shared" si="100"/>
        <v>0</v>
      </c>
      <c r="Z399" s="998"/>
    </row>
    <row r="400" spans="1:26">
      <c r="A400" s="35"/>
      <c r="B400" s="20"/>
      <c r="C400" s="13">
        <f t="shared" si="89"/>
        <v>1</v>
      </c>
      <c r="D400" s="601"/>
      <c r="E400" s="13">
        <f t="shared" si="90"/>
        <v>1</v>
      </c>
      <c r="F400" s="601"/>
      <c r="G400" s="13">
        <f t="shared" si="91"/>
        <v>1</v>
      </c>
      <c r="H400" s="601"/>
      <c r="I400" s="13">
        <f t="shared" si="92"/>
        <v>1</v>
      </c>
      <c r="J400" s="601"/>
      <c r="K400" s="13">
        <f t="shared" si="93"/>
        <v>1</v>
      </c>
      <c r="L400" s="601"/>
      <c r="M400" s="13">
        <f t="shared" si="94"/>
        <v>1</v>
      </c>
      <c r="N400" s="601"/>
      <c r="O400" s="13">
        <f t="shared" si="95"/>
        <v>1</v>
      </c>
      <c r="P400" s="601"/>
      <c r="Q400" s="13">
        <f t="shared" si="96"/>
        <v>1</v>
      </c>
      <c r="R400" s="597">
        <f t="shared" si="101"/>
        <v>0</v>
      </c>
      <c r="S400" s="250">
        <f t="shared" si="102"/>
        <v>0</v>
      </c>
      <c r="T400" s="901">
        <f t="shared" si="103"/>
        <v>0</v>
      </c>
      <c r="U400" s="2988">
        <f t="shared" si="97"/>
        <v>0</v>
      </c>
      <c r="V400" s="2988">
        <f t="shared" si="98"/>
        <v>0</v>
      </c>
      <c r="W400" s="998"/>
      <c r="X400" s="2988">
        <f t="shared" si="99"/>
        <v>0</v>
      </c>
      <c r="Y400" s="2988">
        <f t="shared" si="100"/>
        <v>0</v>
      </c>
      <c r="Z400" s="998"/>
    </row>
    <row r="401" spans="1:26">
      <c r="A401" s="35"/>
      <c r="B401" s="20"/>
      <c r="C401" s="13">
        <f t="shared" si="89"/>
        <v>1</v>
      </c>
      <c r="D401" s="601"/>
      <c r="E401" s="13">
        <f t="shared" si="90"/>
        <v>1</v>
      </c>
      <c r="F401" s="601"/>
      <c r="G401" s="13">
        <f t="shared" si="91"/>
        <v>1</v>
      </c>
      <c r="H401" s="601"/>
      <c r="I401" s="13">
        <f t="shared" si="92"/>
        <v>1</v>
      </c>
      <c r="J401" s="601"/>
      <c r="K401" s="13">
        <f t="shared" si="93"/>
        <v>1</v>
      </c>
      <c r="L401" s="601"/>
      <c r="M401" s="13">
        <f t="shared" si="94"/>
        <v>1</v>
      </c>
      <c r="N401" s="601"/>
      <c r="O401" s="13">
        <f t="shared" si="95"/>
        <v>1</v>
      </c>
      <c r="P401" s="601"/>
      <c r="Q401" s="13">
        <f t="shared" si="96"/>
        <v>1</v>
      </c>
      <c r="R401" s="597">
        <f t="shared" si="101"/>
        <v>0</v>
      </c>
      <c r="S401" s="250">
        <f t="shared" si="102"/>
        <v>0</v>
      </c>
      <c r="T401" s="901">
        <f t="shared" si="103"/>
        <v>0</v>
      </c>
      <c r="U401" s="2988">
        <f t="shared" si="97"/>
        <v>0</v>
      </c>
      <c r="V401" s="2988">
        <f t="shared" si="98"/>
        <v>0</v>
      </c>
      <c r="W401" s="998"/>
      <c r="X401" s="2988">
        <f t="shared" si="99"/>
        <v>0</v>
      </c>
      <c r="Y401" s="2988">
        <f t="shared" si="100"/>
        <v>0</v>
      </c>
      <c r="Z401" s="998"/>
    </row>
    <row r="402" spans="1:26">
      <c r="A402" s="35"/>
      <c r="B402" s="20"/>
      <c r="C402" s="13">
        <f t="shared" si="89"/>
        <v>1</v>
      </c>
      <c r="D402" s="601"/>
      <c r="E402" s="13">
        <f t="shared" si="90"/>
        <v>1</v>
      </c>
      <c r="F402" s="601"/>
      <c r="G402" s="13">
        <f t="shared" si="91"/>
        <v>1</v>
      </c>
      <c r="H402" s="601"/>
      <c r="I402" s="13">
        <f t="shared" si="92"/>
        <v>1</v>
      </c>
      <c r="J402" s="601"/>
      <c r="K402" s="13">
        <f t="shared" si="93"/>
        <v>1</v>
      </c>
      <c r="L402" s="601"/>
      <c r="M402" s="13">
        <f t="shared" si="94"/>
        <v>1</v>
      </c>
      <c r="N402" s="601"/>
      <c r="O402" s="13">
        <f t="shared" si="95"/>
        <v>1</v>
      </c>
      <c r="P402" s="601"/>
      <c r="Q402" s="13">
        <f t="shared" si="96"/>
        <v>1</v>
      </c>
      <c r="R402" s="597">
        <f t="shared" si="101"/>
        <v>0</v>
      </c>
      <c r="S402" s="250">
        <f t="shared" si="102"/>
        <v>0</v>
      </c>
      <c r="T402" s="901">
        <f t="shared" si="103"/>
        <v>0</v>
      </c>
      <c r="U402" s="2988">
        <f t="shared" si="97"/>
        <v>0</v>
      </c>
      <c r="V402" s="2988">
        <f t="shared" si="98"/>
        <v>0</v>
      </c>
      <c r="W402" s="998"/>
      <c r="X402" s="2988">
        <f t="shared" si="99"/>
        <v>0</v>
      </c>
      <c r="Y402" s="2988">
        <f t="shared" si="100"/>
        <v>0</v>
      </c>
      <c r="Z402" s="998"/>
    </row>
    <row r="403" spans="1:26">
      <c r="A403" s="35"/>
      <c r="B403" s="20"/>
      <c r="C403" s="13">
        <f t="shared" si="89"/>
        <v>1</v>
      </c>
      <c r="D403" s="601"/>
      <c r="E403" s="13">
        <f t="shared" si="90"/>
        <v>1</v>
      </c>
      <c r="F403" s="601"/>
      <c r="G403" s="13">
        <f t="shared" si="91"/>
        <v>1</v>
      </c>
      <c r="H403" s="601"/>
      <c r="I403" s="13">
        <f t="shared" si="92"/>
        <v>1</v>
      </c>
      <c r="J403" s="601"/>
      <c r="K403" s="13">
        <f t="shared" si="93"/>
        <v>1</v>
      </c>
      <c r="L403" s="601"/>
      <c r="M403" s="13">
        <f t="shared" si="94"/>
        <v>1</v>
      </c>
      <c r="N403" s="601"/>
      <c r="O403" s="13">
        <f t="shared" si="95"/>
        <v>1</v>
      </c>
      <c r="P403" s="601"/>
      <c r="Q403" s="13">
        <f t="shared" si="96"/>
        <v>1</v>
      </c>
      <c r="R403" s="597">
        <f t="shared" si="101"/>
        <v>0</v>
      </c>
      <c r="S403" s="250">
        <f t="shared" si="102"/>
        <v>0</v>
      </c>
      <c r="T403" s="901">
        <f t="shared" si="103"/>
        <v>0</v>
      </c>
      <c r="U403" s="2988">
        <f t="shared" si="97"/>
        <v>0</v>
      </c>
      <c r="V403" s="2988">
        <f t="shared" si="98"/>
        <v>0</v>
      </c>
      <c r="W403" s="998"/>
      <c r="X403" s="2988">
        <f t="shared" si="99"/>
        <v>0</v>
      </c>
      <c r="Y403" s="2988">
        <f t="shared" si="100"/>
        <v>0</v>
      </c>
      <c r="Z403" s="998"/>
    </row>
    <row r="404" spans="1:26">
      <c r="A404" s="35"/>
      <c r="B404" s="20"/>
      <c r="C404" s="13">
        <f t="shared" si="89"/>
        <v>1</v>
      </c>
      <c r="D404" s="601"/>
      <c r="E404" s="13">
        <f t="shared" si="90"/>
        <v>1</v>
      </c>
      <c r="F404" s="601"/>
      <c r="G404" s="13">
        <f t="shared" si="91"/>
        <v>1</v>
      </c>
      <c r="H404" s="601"/>
      <c r="I404" s="13">
        <f t="shared" si="92"/>
        <v>1</v>
      </c>
      <c r="J404" s="601"/>
      <c r="K404" s="13">
        <f t="shared" si="93"/>
        <v>1</v>
      </c>
      <c r="L404" s="601"/>
      <c r="M404" s="13">
        <f t="shared" si="94"/>
        <v>1</v>
      </c>
      <c r="N404" s="601"/>
      <c r="O404" s="13">
        <f t="shared" si="95"/>
        <v>1</v>
      </c>
      <c r="P404" s="601"/>
      <c r="Q404" s="13">
        <f t="shared" si="96"/>
        <v>1</v>
      </c>
      <c r="R404" s="597">
        <f t="shared" si="101"/>
        <v>0</v>
      </c>
      <c r="S404" s="250">
        <f t="shared" si="102"/>
        <v>0</v>
      </c>
      <c r="T404" s="901">
        <f t="shared" si="103"/>
        <v>0</v>
      </c>
      <c r="U404" s="2988">
        <f t="shared" si="97"/>
        <v>0</v>
      </c>
      <c r="V404" s="2988">
        <f t="shared" si="98"/>
        <v>0</v>
      </c>
      <c r="W404" s="998"/>
      <c r="X404" s="2988">
        <f t="shared" si="99"/>
        <v>0</v>
      </c>
      <c r="Y404" s="2988">
        <f t="shared" si="100"/>
        <v>0</v>
      </c>
      <c r="Z404" s="998"/>
    </row>
    <row r="405" spans="1:26">
      <c r="A405" s="35"/>
      <c r="B405" s="20"/>
      <c r="C405" s="13">
        <f t="shared" si="89"/>
        <v>1</v>
      </c>
      <c r="D405" s="601"/>
      <c r="E405" s="13">
        <f t="shared" si="90"/>
        <v>1</v>
      </c>
      <c r="F405" s="601"/>
      <c r="G405" s="13">
        <f t="shared" si="91"/>
        <v>1</v>
      </c>
      <c r="H405" s="601"/>
      <c r="I405" s="13">
        <f t="shared" si="92"/>
        <v>1</v>
      </c>
      <c r="J405" s="601"/>
      <c r="K405" s="13">
        <f t="shared" si="93"/>
        <v>1</v>
      </c>
      <c r="L405" s="601"/>
      <c r="M405" s="13">
        <f t="shared" si="94"/>
        <v>1</v>
      </c>
      <c r="N405" s="601"/>
      <c r="O405" s="13">
        <f t="shared" si="95"/>
        <v>1</v>
      </c>
      <c r="P405" s="601"/>
      <c r="Q405" s="13">
        <f t="shared" si="96"/>
        <v>1</v>
      </c>
      <c r="R405" s="597">
        <f t="shared" si="101"/>
        <v>0</v>
      </c>
      <c r="S405" s="250">
        <f t="shared" si="102"/>
        <v>0</v>
      </c>
      <c r="T405" s="901">
        <f t="shared" si="103"/>
        <v>0</v>
      </c>
      <c r="U405" s="2988">
        <f t="shared" si="97"/>
        <v>0</v>
      </c>
      <c r="V405" s="2988">
        <f t="shared" si="98"/>
        <v>0</v>
      </c>
      <c r="W405" s="998"/>
      <c r="X405" s="2988">
        <f t="shared" si="99"/>
        <v>0</v>
      </c>
      <c r="Y405" s="2988">
        <f t="shared" si="100"/>
        <v>0</v>
      </c>
      <c r="Z405" s="998"/>
    </row>
    <row r="406" spans="1:26">
      <c r="A406" s="35"/>
      <c r="B406" s="20"/>
      <c r="C406" s="13">
        <f t="shared" si="89"/>
        <v>1</v>
      </c>
      <c r="D406" s="601"/>
      <c r="E406" s="13">
        <f t="shared" si="90"/>
        <v>1</v>
      </c>
      <c r="F406" s="601"/>
      <c r="G406" s="13">
        <f t="shared" si="91"/>
        <v>1</v>
      </c>
      <c r="H406" s="601"/>
      <c r="I406" s="13">
        <f t="shared" si="92"/>
        <v>1</v>
      </c>
      <c r="J406" s="601"/>
      <c r="K406" s="13">
        <f t="shared" si="93"/>
        <v>1</v>
      </c>
      <c r="L406" s="601"/>
      <c r="M406" s="13">
        <f t="shared" si="94"/>
        <v>1</v>
      </c>
      <c r="N406" s="601"/>
      <c r="O406" s="13">
        <f t="shared" si="95"/>
        <v>1</v>
      </c>
      <c r="P406" s="601"/>
      <c r="Q406" s="13">
        <f t="shared" si="96"/>
        <v>1</v>
      </c>
      <c r="R406" s="597">
        <f t="shared" si="101"/>
        <v>0</v>
      </c>
      <c r="S406" s="250">
        <f t="shared" si="102"/>
        <v>0</v>
      </c>
      <c r="T406" s="901">
        <f t="shared" si="103"/>
        <v>0</v>
      </c>
      <c r="U406" s="2988">
        <f t="shared" si="97"/>
        <v>0</v>
      </c>
      <c r="V406" s="2988">
        <f t="shared" si="98"/>
        <v>0</v>
      </c>
      <c r="W406" s="998"/>
      <c r="X406" s="2988">
        <f t="shared" si="99"/>
        <v>0</v>
      </c>
      <c r="Y406" s="2988">
        <f t="shared" si="100"/>
        <v>0</v>
      </c>
      <c r="Z406" s="998"/>
    </row>
    <row r="407" spans="1:26">
      <c r="A407" s="35"/>
      <c r="B407" s="20"/>
      <c r="C407" s="13">
        <f t="shared" si="89"/>
        <v>1</v>
      </c>
      <c r="D407" s="601"/>
      <c r="E407" s="13">
        <f t="shared" si="90"/>
        <v>1</v>
      </c>
      <c r="F407" s="601"/>
      <c r="G407" s="13">
        <f t="shared" si="91"/>
        <v>1</v>
      </c>
      <c r="H407" s="601"/>
      <c r="I407" s="13">
        <f t="shared" si="92"/>
        <v>1</v>
      </c>
      <c r="J407" s="601"/>
      <c r="K407" s="13">
        <f t="shared" si="93"/>
        <v>1</v>
      </c>
      <c r="L407" s="601"/>
      <c r="M407" s="13">
        <f t="shared" si="94"/>
        <v>1</v>
      </c>
      <c r="N407" s="601"/>
      <c r="O407" s="13">
        <f t="shared" si="95"/>
        <v>1</v>
      </c>
      <c r="P407" s="601"/>
      <c r="Q407" s="13">
        <f t="shared" si="96"/>
        <v>1</v>
      </c>
      <c r="R407" s="597">
        <f t="shared" si="101"/>
        <v>0</v>
      </c>
      <c r="S407" s="250">
        <f t="shared" si="102"/>
        <v>0</v>
      </c>
      <c r="T407" s="901">
        <f t="shared" si="103"/>
        <v>0</v>
      </c>
      <c r="U407" s="2988">
        <f t="shared" si="97"/>
        <v>0</v>
      </c>
      <c r="V407" s="2988">
        <f t="shared" si="98"/>
        <v>0</v>
      </c>
      <c r="W407" s="998"/>
      <c r="X407" s="2988">
        <f t="shared" si="99"/>
        <v>0</v>
      </c>
      <c r="Y407" s="2988">
        <f t="shared" si="100"/>
        <v>0</v>
      </c>
      <c r="Z407" s="998"/>
    </row>
    <row r="408" spans="1:26">
      <c r="A408" s="35"/>
      <c r="B408" s="20"/>
      <c r="C408" s="13">
        <f t="shared" si="89"/>
        <v>1</v>
      </c>
      <c r="D408" s="601"/>
      <c r="E408" s="13">
        <f t="shared" si="90"/>
        <v>1</v>
      </c>
      <c r="F408" s="601"/>
      <c r="G408" s="13">
        <f t="shared" si="91"/>
        <v>1</v>
      </c>
      <c r="H408" s="601"/>
      <c r="I408" s="13">
        <f t="shared" si="92"/>
        <v>1</v>
      </c>
      <c r="J408" s="601"/>
      <c r="K408" s="13">
        <f t="shared" si="93"/>
        <v>1</v>
      </c>
      <c r="L408" s="601"/>
      <c r="M408" s="13">
        <f t="shared" si="94"/>
        <v>1</v>
      </c>
      <c r="N408" s="601"/>
      <c r="O408" s="13">
        <f t="shared" si="95"/>
        <v>1</v>
      </c>
      <c r="P408" s="601"/>
      <c r="Q408" s="13">
        <f t="shared" si="96"/>
        <v>1</v>
      </c>
      <c r="R408" s="597">
        <f t="shared" si="101"/>
        <v>0</v>
      </c>
      <c r="S408" s="250">
        <f t="shared" si="102"/>
        <v>0</v>
      </c>
      <c r="T408" s="901">
        <f t="shared" si="103"/>
        <v>0</v>
      </c>
      <c r="U408" s="2988">
        <f t="shared" si="97"/>
        <v>0</v>
      </c>
      <c r="V408" s="2988">
        <f t="shared" si="98"/>
        <v>0</v>
      </c>
      <c r="W408" s="998"/>
      <c r="X408" s="2988">
        <f t="shared" si="99"/>
        <v>0</v>
      </c>
      <c r="Y408" s="2988">
        <f t="shared" si="100"/>
        <v>0</v>
      </c>
      <c r="Z408" s="998"/>
    </row>
    <row r="409" spans="1:26">
      <c r="A409" s="35"/>
      <c r="B409" s="20"/>
      <c r="C409" s="13">
        <f t="shared" si="89"/>
        <v>1</v>
      </c>
      <c r="D409" s="601"/>
      <c r="E409" s="13">
        <f t="shared" si="90"/>
        <v>1</v>
      </c>
      <c r="F409" s="601"/>
      <c r="G409" s="13">
        <f t="shared" si="91"/>
        <v>1</v>
      </c>
      <c r="H409" s="601"/>
      <c r="I409" s="13">
        <f t="shared" si="92"/>
        <v>1</v>
      </c>
      <c r="J409" s="601"/>
      <c r="K409" s="13">
        <f t="shared" si="93"/>
        <v>1</v>
      </c>
      <c r="L409" s="601"/>
      <c r="M409" s="13">
        <f t="shared" si="94"/>
        <v>1</v>
      </c>
      <c r="N409" s="601"/>
      <c r="O409" s="13">
        <f t="shared" si="95"/>
        <v>1</v>
      </c>
      <c r="P409" s="601"/>
      <c r="Q409" s="13">
        <f t="shared" si="96"/>
        <v>1</v>
      </c>
      <c r="R409" s="597">
        <f t="shared" si="101"/>
        <v>0</v>
      </c>
      <c r="S409" s="250">
        <f t="shared" si="102"/>
        <v>0</v>
      </c>
      <c r="T409" s="901">
        <f t="shared" si="103"/>
        <v>0</v>
      </c>
      <c r="U409" s="2988">
        <f t="shared" si="97"/>
        <v>0</v>
      </c>
      <c r="V409" s="2988">
        <f t="shared" si="98"/>
        <v>0</v>
      </c>
      <c r="W409" s="998"/>
      <c r="X409" s="2988">
        <f t="shared" si="99"/>
        <v>0</v>
      </c>
      <c r="Y409" s="2988">
        <f t="shared" si="100"/>
        <v>0</v>
      </c>
      <c r="Z409" s="998"/>
    </row>
    <row r="410" spans="1:26">
      <c r="A410" s="35"/>
      <c r="B410" s="20"/>
      <c r="C410" s="13">
        <f t="shared" si="89"/>
        <v>1</v>
      </c>
      <c r="D410" s="601"/>
      <c r="E410" s="13">
        <f t="shared" si="90"/>
        <v>1</v>
      </c>
      <c r="F410" s="601"/>
      <c r="G410" s="13">
        <f t="shared" si="91"/>
        <v>1</v>
      </c>
      <c r="H410" s="601"/>
      <c r="I410" s="13">
        <f t="shared" si="92"/>
        <v>1</v>
      </c>
      <c r="J410" s="601"/>
      <c r="K410" s="13">
        <f t="shared" si="93"/>
        <v>1</v>
      </c>
      <c r="L410" s="601"/>
      <c r="M410" s="13">
        <f t="shared" si="94"/>
        <v>1</v>
      </c>
      <c r="N410" s="601"/>
      <c r="O410" s="13">
        <f t="shared" si="95"/>
        <v>1</v>
      </c>
      <c r="P410" s="601"/>
      <c r="Q410" s="13">
        <f t="shared" si="96"/>
        <v>1</v>
      </c>
      <c r="R410" s="597">
        <f t="shared" si="101"/>
        <v>0</v>
      </c>
      <c r="S410" s="250">
        <f t="shared" si="102"/>
        <v>0</v>
      </c>
      <c r="T410" s="901">
        <f t="shared" si="103"/>
        <v>0</v>
      </c>
      <c r="U410" s="2988">
        <f t="shared" si="97"/>
        <v>0</v>
      </c>
      <c r="V410" s="2988">
        <f t="shared" si="98"/>
        <v>0</v>
      </c>
      <c r="W410" s="998"/>
      <c r="X410" s="2988">
        <f t="shared" si="99"/>
        <v>0</v>
      </c>
      <c r="Y410" s="2988">
        <f t="shared" si="100"/>
        <v>0</v>
      </c>
      <c r="Z410" s="998"/>
    </row>
    <row r="411" spans="1:26">
      <c r="A411" s="35"/>
      <c r="B411" s="20"/>
      <c r="C411" s="13">
        <f t="shared" si="89"/>
        <v>1</v>
      </c>
      <c r="D411" s="601"/>
      <c r="E411" s="13">
        <f t="shared" si="90"/>
        <v>1</v>
      </c>
      <c r="F411" s="601"/>
      <c r="G411" s="13">
        <f t="shared" si="91"/>
        <v>1</v>
      </c>
      <c r="H411" s="601"/>
      <c r="I411" s="13">
        <f t="shared" si="92"/>
        <v>1</v>
      </c>
      <c r="J411" s="601"/>
      <c r="K411" s="13">
        <f t="shared" si="93"/>
        <v>1</v>
      </c>
      <c r="L411" s="601"/>
      <c r="M411" s="13">
        <f t="shared" si="94"/>
        <v>1</v>
      </c>
      <c r="N411" s="601"/>
      <c r="O411" s="13">
        <f t="shared" si="95"/>
        <v>1</v>
      </c>
      <c r="P411" s="601"/>
      <c r="Q411" s="13">
        <f t="shared" si="96"/>
        <v>1</v>
      </c>
      <c r="R411" s="597">
        <f t="shared" si="101"/>
        <v>0</v>
      </c>
      <c r="S411" s="250">
        <f t="shared" si="102"/>
        <v>0</v>
      </c>
      <c r="T411" s="901">
        <f t="shared" si="103"/>
        <v>0</v>
      </c>
      <c r="U411" s="2988">
        <f t="shared" si="97"/>
        <v>0</v>
      </c>
      <c r="V411" s="2988">
        <f t="shared" si="98"/>
        <v>0</v>
      </c>
      <c r="W411" s="998"/>
      <c r="X411" s="2988">
        <f t="shared" si="99"/>
        <v>0</v>
      </c>
      <c r="Y411" s="2988">
        <f t="shared" si="100"/>
        <v>0</v>
      </c>
      <c r="Z411" s="998"/>
    </row>
    <row r="412" spans="1:26">
      <c r="A412" s="35"/>
      <c r="B412" s="20"/>
      <c r="C412" s="13">
        <f t="shared" ref="C412:C475" si="104">IF(B412="",1,(LOOKUP(B412,$6:$6,$7:$7)-LOOKUP($B$27,$6:$6,$7:$7)+100)/100)</f>
        <v>1</v>
      </c>
      <c r="D412" s="601"/>
      <c r="E412" s="13">
        <f t="shared" ref="E412:E475" si="105">(SUMIF($8:$8,D412,$9:$9)-SUMIF($8:$8,$D$27,$9:$9)+100)/100</f>
        <v>1</v>
      </c>
      <c r="F412" s="601"/>
      <c r="G412" s="13">
        <f t="shared" ref="G412:G475" si="106">(SUMIF($10:$10,F412,$11:$11)-SUMIF($10:$10,$F$27,$11:$11)+100)/100</f>
        <v>1</v>
      </c>
      <c r="H412" s="601"/>
      <c r="I412" s="13">
        <f t="shared" ref="I412:I475" si="107">(SUMIF($12:$12,H412,$13:$13)-SUMIF($12:$12,$H$27,$13:$13)+100)/100</f>
        <v>1</v>
      </c>
      <c r="J412" s="601"/>
      <c r="K412" s="13">
        <f t="shared" ref="K412:K475" si="108">(SUMIF($14:$14,J412,$15:$15)-SUMIF($14:$14,$J$27,$15:$15)+100)/100</f>
        <v>1</v>
      </c>
      <c r="L412" s="601"/>
      <c r="M412" s="13">
        <f t="shared" ref="M412:M475" si="109">(SUMIF($16:$16,L412,$17:$17)-SUMIF($16:$16,$L$27,$17:$17)+100)/100</f>
        <v>1</v>
      </c>
      <c r="N412" s="601"/>
      <c r="O412" s="13">
        <f t="shared" ref="O412:O475" si="110">(SUMIF($18:$18,N412,$19:$19)-SUMIF($18:$18,$N$27,$19:$19)+100)/100</f>
        <v>1</v>
      </c>
      <c r="P412" s="601"/>
      <c r="Q412" s="13">
        <f t="shared" ref="Q412:Q475" si="111">(SUMIF($20:$20,P412,$21:$21)-SUMIF($20:$20,$P$27,$21:$21)+100)/100</f>
        <v>1</v>
      </c>
      <c r="R412" s="597">
        <f t="shared" si="101"/>
        <v>0</v>
      </c>
      <c r="S412" s="250">
        <f t="shared" si="102"/>
        <v>0</v>
      </c>
      <c r="T412" s="901">
        <f t="shared" si="103"/>
        <v>0</v>
      </c>
      <c r="U412" s="2988">
        <f t="shared" ref="U412:U475" si="112">ROUND(W412*B412,0)</f>
        <v>0</v>
      </c>
      <c r="V412" s="2988">
        <f t="shared" ref="V412:V475" si="113">ROUND(W412*B412/10000,0)</f>
        <v>0</v>
      </c>
      <c r="W412" s="998"/>
      <c r="X412" s="2988">
        <f t="shared" ref="X412:X475" si="114">ROUND(Z412*B412,0)</f>
        <v>0</v>
      </c>
      <c r="Y412" s="2988">
        <f t="shared" ref="Y412:Y475" si="115">ROUND(Z412*B412/10000,0)</f>
        <v>0</v>
      </c>
      <c r="Z412" s="998"/>
    </row>
    <row r="413" spans="1:26">
      <c r="A413" s="35"/>
      <c r="B413" s="20"/>
      <c r="C413" s="13">
        <f t="shared" si="104"/>
        <v>1</v>
      </c>
      <c r="D413" s="601"/>
      <c r="E413" s="13">
        <f t="shared" si="105"/>
        <v>1</v>
      </c>
      <c r="F413" s="601"/>
      <c r="G413" s="13">
        <f t="shared" si="106"/>
        <v>1</v>
      </c>
      <c r="H413" s="601"/>
      <c r="I413" s="13">
        <f t="shared" si="107"/>
        <v>1</v>
      </c>
      <c r="J413" s="601"/>
      <c r="K413" s="13">
        <f t="shared" si="108"/>
        <v>1</v>
      </c>
      <c r="L413" s="601"/>
      <c r="M413" s="13">
        <f t="shared" si="109"/>
        <v>1</v>
      </c>
      <c r="N413" s="601"/>
      <c r="O413" s="13">
        <f t="shared" si="110"/>
        <v>1</v>
      </c>
      <c r="P413" s="601"/>
      <c r="Q413" s="13">
        <f t="shared" si="111"/>
        <v>1</v>
      </c>
      <c r="R413" s="597">
        <f t="shared" ref="R413:R476" si="116">IF(B413="",0,ROUND($R$27*C413*E413*G413*I413*K413*M413*O413*Q413,0))</f>
        <v>0</v>
      </c>
      <c r="S413" s="250">
        <f t="shared" ref="S413:S476" si="117">ROUND(R413*B413,0)</f>
        <v>0</v>
      </c>
      <c r="T413" s="901">
        <f t="shared" ref="T413:T476" si="118">ROUND(R413*B413/10000,0)</f>
        <v>0</v>
      </c>
      <c r="U413" s="2988">
        <f t="shared" si="112"/>
        <v>0</v>
      </c>
      <c r="V413" s="2988">
        <f t="shared" si="113"/>
        <v>0</v>
      </c>
      <c r="W413" s="998"/>
      <c r="X413" s="2988">
        <f t="shared" si="114"/>
        <v>0</v>
      </c>
      <c r="Y413" s="2988">
        <f t="shared" si="115"/>
        <v>0</v>
      </c>
      <c r="Z413" s="998"/>
    </row>
    <row r="414" spans="1:26">
      <c r="A414" s="35"/>
      <c r="B414" s="20"/>
      <c r="C414" s="13">
        <f t="shared" si="104"/>
        <v>1</v>
      </c>
      <c r="D414" s="601"/>
      <c r="E414" s="13">
        <f t="shared" si="105"/>
        <v>1</v>
      </c>
      <c r="F414" s="601"/>
      <c r="G414" s="13">
        <f t="shared" si="106"/>
        <v>1</v>
      </c>
      <c r="H414" s="601"/>
      <c r="I414" s="13">
        <f t="shared" si="107"/>
        <v>1</v>
      </c>
      <c r="J414" s="601"/>
      <c r="K414" s="13">
        <f t="shared" si="108"/>
        <v>1</v>
      </c>
      <c r="L414" s="601"/>
      <c r="M414" s="13">
        <f t="shared" si="109"/>
        <v>1</v>
      </c>
      <c r="N414" s="601"/>
      <c r="O414" s="13">
        <f t="shared" si="110"/>
        <v>1</v>
      </c>
      <c r="P414" s="601"/>
      <c r="Q414" s="13">
        <f t="shared" si="111"/>
        <v>1</v>
      </c>
      <c r="R414" s="597">
        <f t="shared" si="116"/>
        <v>0</v>
      </c>
      <c r="S414" s="250">
        <f t="shared" si="117"/>
        <v>0</v>
      </c>
      <c r="T414" s="901">
        <f t="shared" si="118"/>
        <v>0</v>
      </c>
      <c r="U414" s="2988">
        <f t="shared" si="112"/>
        <v>0</v>
      </c>
      <c r="V414" s="2988">
        <f t="shared" si="113"/>
        <v>0</v>
      </c>
      <c r="W414" s="998"/>
      <c r="X414" s="2988">
        <f t="shared" si="114"/>
        <v>0</v>
      </c>
      <c r="Y414" s="2988">
        <f t="shared" si="115"/>
        <v>0</v>
      </c>
      <c r="Z414" s="998"/>
    </row>
    <row r="415" spans="1:26">
      <c r="A415" s="35"/>
      <c r="B415" s="20"/>
      <c r="C415" s="13">
        <f t="shared" si="104"/>
        <v>1</v>
      </c>
      <c r="D415" s="601"/>
      <c r="E415" s="13">
        <f t="shared" si="105"/>
        <v>1</v>
      </c>
      <c r="F415" s="601"/>
      <c r="G415" s="13">
        <f t="shared" si="106"/>
        <v>1</v>
      </c>
      <c r="H415" s="601"/>
      <c r="I415" s="13">
        <f t="shared" si="107"/>
        <v>1</v>
      </c>
      <c r="J415" s="601"/>
      <c r="K415" s="13">
        <f t="shared" si="108"/>
        <v>1</v>
      </c>
      <c r="L415" s="601"/>
      <c r="M415" s="13">
        <f t="shared" si="109"/>
        <v>1</v>
      </c>
      <c r="N415" s="601"/>
      <c r="O415" s="13">
        <f t="shared" si="110"/>
        <v>1</v>
      </c>
      <c r="P415" s="601"/>
      <c r="Q415" s="13">
        <f t="shared" si="111"/>
        <v>1</v>
      </c>
      <c r="R415" s="597">
        <f t="shared" si="116"/>
        <v>0</v>
      </c>
      <c r="S415" s="250">
        <f t="shared" si="117"/>
        <v>0</v>
      </c>
      <c r="T415" s="901">
        <f t="shared" si="118"/>
        <v>0</v>
      </c>
      <c r="U415" s="2988">
        <f t="shared" si="112"/>
        <v>0</v>
      </c>
      <c r="V415" s="2988">
        <f t="shared" si="113"/>
        <v>0</v>
      </c>
      <c r="W415" s="998"/>
      <c r="X415" s="2988">
        <f t="shared" si="114"/>
        <v>0</v>
      </c>
      <c r="Y415" s="2988">
        <f t="shared" si="115"/>
        <v>0</v>
      </c>
      <c r="Z415" s="998"/>
    </row>
    <row r="416" spans="1:26">
      <c r="A416" s="35"/>
      <c r="B416" s="20"/>
      <c r="C416" s="13">
        <f t="shared" si="104"/>
        <v>1</v>
      </c>
      <c r="D416" s="601"/>
      <c r="E416" s="13">
        <f t="shared" si="105"/>
        <v>1</v>
      </c>
      <c r="F416" s="601"/>
      <c r="G416" s="13">
        <f t="shared" si="106"/>
        <v>1</v>
      </c>
      <c r="H416" s="601"/>
      <c r="I416" s="13">
        <f t="shared" si="107"/>
        <v>1</v>
      </c>
      <c r="J416" s="601"/>
      <c r="K416" s="13">
        <f t="shared" si="108"/>
        <v>1</v>
      </c>
      <c r="L416" s="601"/>
      <c r="M416" s="13">
        <f t="shared" si="109"/>
        <v>1</v>
      </c>
      <c r="N416" s="601"/>
      <c r="O416" s="13">
        <f t="shared" si="110"/>
        <v>1</v>
      </c>
      <c r="P416" s="601"/>
      <c r="Q416" s="13">
        <f t="shared" si="111"/>
        <v>1</v>
      </c>
      <c r="R416" s="597">
        <f t="shared" si="116"/>
        <v>0</v>
      </c>
      <c r="S416" s="250">
        <f t="shared" si="117"/>
        <v>0</v>
      </c>
      <c r="T416" s="901">
        <f t="shared" si="118"/>
        <v>0</v>
      </c>
      <c r="U416" s="2988">
        <f t="shared" si="112"/>
        <v>0</v>
      </c>
      <c r="V416" s="2988">
        <f t="shared" si="113"/>
        <v>0</v>
      </c>
      <c r="W416" s="998"/>
      <c r="X416" s="2988">
        <f t="shared" si="114"/>
        <v>0</v>
      </c>
      <c r="Y416" s="2988">
        <f t="shared" si="115"/>
        <v>0</v>
      </c>
      <c r="Z416" s="998"/>
    </row>
    <row r="417" spans="1:26">
      <c r="A417" s="35"/>
      <c r="B417" s="20"/>
      <c r="C417" s="13">
        <f t="shared" si="104"/>
        <v>1</v>
      </c>
      <c r="D417" s="601"/>
      <c r="E417" s="13">
        <f t="shared" si="105"/>
        <v>1</v>
      </c>
      <c r="F417" s="601"/>
      <c r="G417" s="13">
        <f t="shared" si="106"/>
        <v>1</v>
      </c>
      <c r="H417" s="601"/>
      <c r="I417" s="13">
        <f t="shared" si="107"/>
        <v>1</v>
      </c>
      <c r="J417" s="601"/>
      <c r="K417" s="13">
        <f t="shared" si="108"/>
        <v>1</v>
      </c>
      <c r="L417" s="601"/>
      <c r="M417" s="13">
        <f t="shared" si="109"/>
        <v>1</v>
      </c>
      <c r="N417" s="601"/>
      <c r="O417" s="13">
        <f t="shared" si="110"/>
        <v>1</v>
      </c>
      <c r="P417" s="601"/>
      <c r="Q417" s="13">
        <f t="shared" si="111"/>
        <v>1</v>
      </c>
      <c r="R417" s="597">
        <f t="shared" si="116"/>
        <v>0</v>
      </c>
      <c r="S417" s="250">
        <f t="shared" si="117"/>
        <v>0</v>
      </c>
      <c r="T417" s="901">
        <f t="shared" si="118"/>
        <v>0</v>
      </c>
      <c r="U417" s="2988">
        <f t="shared" si="112"/>
        <v>0</v>
      </c>
      <c r="V417" s="2988">
        <f t="shared" si="113"/>
        <v>0</v>
      </c>
      <c r="W417" s="998"/>
      <c r="X417" s="2988">
        <f t="shared" si="114"/>
        <v>0</v>
      </c>
      <c r="Y417" s="2988">
        <f t="shared" si="115"/>
        <v>0</v>
      </c>
      <c r="Z417" s="998"/>
    </row>
    <row r="418" spans="1:26">
      <c r="A418" s="35"/>
      <c r="B418" s="20"/>
      <c r="C418" s="13">
        <f t="shared" si="104"/>
        <v>1</v>
      </c>
      <c r="D418" s="601"/>
      <c r="E418" s="13">
        <f t="shared" si="105"/>
        <v>1</v>
      </c>
      <c r="F418" s="601"/>
      <c r="G418" s="13">
        <f t="shared" si="106"/>
        <v>1</v>
      </c>
      <c r="H418" s="601"/>
      <c r="I418" s="13">
        <f t="shared" si="107"/>
        <v>1</v>
      </c>
      <c r="J418" s="601"/>
      <c r="K418" s="13">
        <f t="shared" si="108"/>
        <v>1</v>
      </c>
      <c r="L418" s="601"/>
      <c r="M418" s="13">
        <f t="shared" si="109"/>
        <v>1</v>
      </c>
      <c r="N418" s="601"/>
      <c r="O418" s="13">
        <f t="shared" si="110"/>
        <v>1</v>
      </c>
      <c r="P418" s="601"/>
      <c r="Q418" s="13">
        <f t="shared" si="111"/>
        <v>1</v>
      </c>
      <c r="R418" s="597">
        <f t="shared" si="116"/>
        <v>0</v>
      </c>
      <c r="S418" s="250">
        <f t="shared" si="117"/>
        <v>0</v>
      </c>
      <c r="T418" s="901">
        <f t="shared" si="118"/>
        <v>0</v>
      </c>
      <c r="U418" s="2988">
        <f t="shared" si="112"/>
        <v>0</v>
      </c>
      <c r="V418" s="2988">
        <f t="shared" si="113"/>
        <v>0</v>
      </c>
      <c r="W418" s="998"/>
      <c r="X418" s="2988">
        <f t="shared" si="114"/>
        <v>0</v>
      </c>
      <c r="Y418" s="2988">
        <f t="shared" si="115"/>
        <v>0</v>
      </c>
      <c r="Z418" s="998"/>
    </row>
    <row r="419" spans="1:26">
      <c r="A419" s="35"/>
      <c r="B419" s="20"/>
      <c r="C419" s="13">
        <f t="shared" si="104"/>
        <v>1</v>
      </c>
      <c r="D419" s="601"/>
      <c r="E419" s="13">
        <f t="shared" si="105"/>
        <v>1</v>
      </c>
      <c r="F419" s="601"/>
      <c r="G419" s="13">
        <f t="shared" si="106"/>
        <v>1</v>
      </c>
      <c r="H419" s="601"/>
      <c r="I419" s="13">
        <f t="shared" si="107"/>
        <v>1</v>
      </c>
      <c r="J419" s="601"/>
      <c r="K419" s="13">
        <f t="shared" si="108"/>
        <v>1</v>
      </c>
      <c r="L419" s="601"/>
      <c r="M419" s="13">
        <f t="shared" si="109"/>
        <v>1</v>
      </c>
      <c r="N419" s="601"/>
      <c r="O419" s="13">
        <f t="shared" si="110"/>
        <v>1</v>
      </c>
      <c r="P419" s="601"/>
      <c r="Q419" s="13">
        <f t="shared" si="111"/>
        <v>1</v>
      </c>
      <c r="R419" s="597">
        <f t="shared" si="116"/>
        <v>0</v>
      </c>
      <c r="S419" s="250">
        <f t="shared" si="117"/>
        <v>0</v>
      </c>
      <c r="T419" s="901">
        <f t="shared" si="118"/>
        <v>0</v>
      </c>
      <c r="U419" s="2988">
        <f t="shared" si="112"/>
        <v>0</v>
      </c>
      <c r="V419" s="2988">
        <f t="shared" si="113"/>
        <v>0</v>
      </c>
      <c r="W419" s="998"/>
      <c r="X419" s="2988">
        <f t="shared" si="114"/>
        <v>0</v>
      </c>
      <c r="Y419" s="2988">
        <f t="shared" si="115"/>
        <v>0</v>
      </c>
      <c r="Z419" s="998"/>
    </row>
    <row r="420" spans="1:26">
      <c r="A420" s="35"/>
      <c r="B420" s="20"/>
      <c r="C420" s="13">
        <f t="shared" si="104"/>
        <v>1</v>
      </c>
      <c r="D420" s="601"/>
      <c r="E420" s="13">
        <f t="shared" si="105"/>
        <v>1</v>
      </c>
      <c r="F420" s="601"/>
      <c r="G420" s="13">
        <f t="shared" si="106"/>
        <v>1</v>
      </c>
      <c r="H420" s="601"/>
      <c r="I420" s="13">
        <f t="shared" si="107"/>
        <v>1</v>
      </c>
      <c r="J420" s="601"/>
      <c r="K420" s="13">
        <f t="shared" si="108"/>
        <v>1</v>
      </c>
      <c r="L420" s="601"/>
      <c r="M420" s="13">
        <f t="shared" si="109"/>
        <v>1</v>
      </c>
      <c r="N420" s="601"/>
      <c r="O420" s="13">
        <f t="shared" si="110"/>
        <v>1</v>
      </c>
      <c r="P420" s="601"/>
      <c r="Q420" s="13">
        <f t="shared" si="111"/>
        <v>1</v>
      </c>
      <c r="R420" s="597">
        <f t="shared" si="116"/>
        <v>0</v>
      </c>
      <c r="S420" s="250">
        <f t="shared" si="117"/>
        <v>0</v>
      </c>
      <c r="T420" s="901">
        <f t="shared" si="118"/>
        <v>0</v>
      </c>
      <c r="U420" s="2988">
        <f t="shared" si="112"/>
        <v>0</v>
      </c>
      <c r="V420" s="2988">
        <f t="shared" si="113"/>
        <v>0</v>
      </c>
      <c r="W420" s="998"/>
      <c r="X420" s="2988">
        <f t="shared" si="114"/>
        <v>0</v>
      </c>
      <c r="Y420" s="2988">
        <f t="shared" si="115"/>
        <v>0</v>
      </c>
      <c r="Z420" s="998"/>
    </row>
    <row r="421" spans="1:26">
      <c r="A421" s="35"/>
      <c r="B421" s="20"/>
      <c r="C421" s="13">
        <f t="shared" si="104"/>
        <v>1</v>
      </c>
      <c r="D421" s="601"/>
      <c r="E421" s="13">
        <f t="shared" si="105"/>
        <v>1</v>
      </c>
      <c r="F421" s="601"/>
      <c r="G421" s="13">
        <f t="shared" si="106"/>
        <v>1</v>
      </c>
      <c r="H421" s="601"/>
      <c r="I421" s="13">
        <f t="shared" si="107"/>
        <v>1</v>
      </c>
      <c r="J421" s="601"/>
      <c r="K421" s="13">
        <f t="shared" si="108"/>
        <v>1</v>
      </c>
      <c r="L421" s="601"/>
      <c r="M421" s="13">
        <f t="shared" si="109"/>
        <v>1</v>
      </c>
      <c r="N421" s="601"/>
      <c r="O421" s="13">
        <f t="shared" si="110"/>
        <v>1</v>
      </c>
      <c r="P421" s="601"/>
      <c r="Q421" s="13">
        <f t="shared" si="111"/>
        <v>1</v>
      </c>
      <c r="R421" s="597">
        <f t="shared" si="116"/>
        <v>0</v>
      </c>
      <c r="S421" s="250">
        <f t="shared" si="117"/>
        <v>0</v>
      </c>
      <c r="T421" s="901">
        <f t="shared" si="118"/>
        <v>0</v>
      </c>
      <c r="U421" s="2988">
        <f t="shared" si="112"/>
        <v>0</v>
      </c>
      <c r="V421" s="2988">
        <f t="shared" si="113"/>
        <v>0</v>
      </c>
      <c r="W421" s="998"/>
      <c r="X421" s="2988">
        <f t="shared" si="114"/>
        <v>0</v>
      </c>
      <c r="Y421" s="2988">
        <f t="shared" si="115"/>
        <v>0</v>
      </c>
      <c r="Z421" s="998"/>
    </row>
    <row r="422" spans="1:26">
      <c r="A422" s="35"/>
      <c r="B422" s="20"/>
      <c r="C422" s="13">
        <f t="shared" si="104"/>
        <v>1</v>
      </c>
      <c r="D422" s="601"/>
      <c r="E422" s="13">
        <f t="shared" si="105"/>
        <v>1</v>
      </c>
      <c r="F422" s="601"/>
      <c r="G422" s="13">
        <f t="shared" si="106"/>
        <v>1</v>
      </c>
      <c r="H422" s="601"/>
      <c r="I422" s="13">
        <f t="shared" si="107"/>
        <v>1</v>
      </c>
      <c r="J422" s="601"/>
      <c r="K422" s="13">
        <f t="shared" si="108"/>
        <v>1</v>
      </c>
      <c r="L422" s="601"/>
      <c r="M422" s="13">
        <f t="shared" si="109"/>
        <v>1</v>
      </c>
      <c r="N422" s="601"/>
      <c r="O422" s="13">
        <f t="shared" si="110"/>
        <v>1</v>
      </c>
      <c r="P422" s="601"/>
      <c r="Q422" s="13">
        <f t="shared" si="111"/>
        <v>1</v>
      </c>
      <c r="R422" s="597">
        <f t="shared" si="116"/>
        <v>0</v>
      </c>
      <c r="S422" s="250">
        <f t="shared" si="117"/>
        <v>0</v>
      </c>
      <c r="T422" s="901">
        <f t="shared" si="118"/>
        <v>0</v>
      </c>
      <c r="U422" s="2988">
        <f t="shared" si="112"/>
        <v>0</v>
      </c>
      <c r="V422" s="2988">
        <f t="shared" si="113"/>
        <v>0</v>
      </c>
      <c r="W422" s="998"/>
      <c r="X422" s="2988">
        <f t="shared" si="114"/>
        <v>0</v>
      </c>
      <c r="Y422" s="2988">
        <f t="shared" si="115"/>
        <v>0</v>
      </c>
      <c r="Z422" s="998"/>
    </row>
    <row r="423" spans="1:26">
      <c r="A423" s="35"/>
      <c r="B423" s="20"/>
      <c r="C423" s="13">
        <f t="shared" si="104"/>
        <v>1</v>
      </c>
      <c r="D423" s="601"/>
      <c r="E423" s="13">
        <f t="shared" si="105"/>
        <v>1</v>
      </c>
      <c r="F423" s="601"/>
      <c r="G423" s="13">
        <f t="shared" si="106"/>
        <v>1</v>
      </c>
      <c r="H423" s="601"/>
      <c r="I423" s="13">
        <f t="shared" si="107"/>
        <v>1</v>
      </c>
      <c r="J423" s="601"/>
      <c r="K423" s="13">
        <f t="shared" si="108"/>
        <v>1</v>
      </c>
      <c r="L423" s="601"/>
      <c r="M423" s="13">
        <f t="shared" si="109"/>
        <v>1</v>
      </c>
      <c r="N423" s="601"/>
      <c r="O423" s="13">
        <f t="shared" si="110"/>
        <v>1</v>
      </c>
      <c r="P423" s="601"/>
      <c r="Q423" s="13">
        <f t="shared" si="111"/>
        <v>1</v>
      </c>
      <c r="R423" s="597">
        <f t="shared" si="116"/>
        <v>0</v>
      </c>
      <c r="S423" s="250">
        <f t="shared" si="117"/>
        <v>0</v>
      </c>
      <c r="T423" s="901">
        <f t="shared" si="118"/>
        <v>0</v>
      </c>
      <c r="U423" s="2988">
        <f t="shared" si="112"/>
        <v>0</v>
      </c>
      <c r="V423" s="2988">
        <f t="shared" si="113"/>
        <v>0</v>
      </c>
      <c r="W423" s="998"/>
      <c r="X423" s="2988">
        <f t="shared" si="114"/>
        <v>0</v>
      </c>
      <c r="Y423" s="2988">
        <f t="shared" si="115"/>
        <v>0</v>
      </c>
      <c r="Z423" s="998"/>
    </row>
    <row r="424" spans="1:26">
      <c r="A424" s="35"/>
      <c r="B424" s="20"/>
      <c r="C424" s="13">
        <f t="shared" si="104"/>
        <v>1</v>
      </c>
      <c r="D424" s="601"/>
      <c r="E424" s="13">
        <f t="shared" si="105"/>
        <v>1</v>
      </c>
      <c r="F424" s="601"/>
      <c r="G424" s="13">
        <f t="shared" si="106"/>
        <v>1</v>
      </c>
      <c r="H424" s="601"/>
      <c r="I424" s="13">
        <f t="shared" si="107"/>
        <v>1</v>
      </c>
      <c r="J424" s="601"/>
      <c r="K424" s="13">
        <f t="shared" si="108"/>
        <v>1</v>
      </c>
      <c r="L424" s="601"/>
      <c r="M424" s="13">
        <f t="shared" si="109"/>
        <v>1</v>
      </c>
      <c r="N424" s="601"/>
      <c r="O424" s="13">
        <f t="shared" si="110"/>
        <v>1</v>
      </c>
      <c r="P424" s="601"/>
      <c r="Q424" s="13">
        <f t="shared" si="111"/>
        <v>1</v>
      </c>
      <c r="R424" s="597">
        <f t="shared" si="116"/>
        <v>0</v>
      </c>
      <c r="S424" s="250">
        <f t="shared" si="117"/>
        <v>0</v>
      </c>
      <c r="T424" s="901">
        <f t="shared" si="118"/>
        <v>0</v>
      </c>
      <c r="U424" s="2988">
        <f t="shared" si="112"/>
        <v>0</v>
      </c>
      <c r="V424" s="2988">
        <f t="shared" si="113"/>
        <v>0</v>
      </c>
      <c r="W424" s="998"/>
      <c r="X424" s="2988">
        <f t="shared" si="114"/>
        <v>0</v>
      </c>
      <c r="Y424" s="2988">
        <f t="shared" si="115"/>
        <v>0</v>
      </c>
      <c r="Z424" s="998"/>
    </row>
    <row r="425" spans="1:26">
      <c r="A425" s="35"/>
      <c r="B425" s="20"/>
      <c r="C425" s="13">
        <f t="shared" si="104"/>
        <v>1</v>
      </c>
      <c r="D425" s="601"/>
      <c r="E425" s="13">
        <f t="shared" si="105"/>
        <v>1</v>
      </c>
      <c r="F425" s="601"/>
      <c r="G425" s="13">
        <f t="shared" si="106"/>
        <v>1</v>
      </c>
      <c r="H425" s="601"/>
      <c r="I425" s="13">
        <f t="shared" si="107"/>
        <v>1</v>
      </c>
      <c r="J425" s="601"/>
      <c r="K425" s="13">
        <f t="shared" si="108"/>
        <v>1</v>
      </c>
      <c r="L425" s="601"/>
      <c r="M425" s="13">
        <f t="shared" si="109"/>
        <v>1</v>
      </c>
      <c r="N425" s="601"/>
      <c r="O425" s="13">
        <f t="shared" si="110"/>
        <v>1</v>
      </c>
      <c r="P425" s="601"/>
      <c r="Q425" s="13">
        <f t="shared" si="111"/>
        <v>1</v>
      </c>
      <c r="R425" s="597">
        <f t="shared" si="116"/>
        <v>0</v>
      </c>
      <c r="S425" s="250">
        <f t="shared" si="117"/>
        <v>0</v>
      </c>
      <c r="T425" s="901">
        <f t="shared" si="118"/>
        <v>0</v>
      </c>
      <c r="U425" s="2988">
        <f t="shared" si="112"/>
        <v>0</v>
      </c>
      <c r="V425" s="2988">
        <f t="shared" si="113"/>
        <v>0</v>
      </c>
      <c r="W425" s="998"/>
      <c r="X425" s="2988">
        <f t="shared" si="114"/>
        <v>0</v>
      </c>
      <c r="Y425" s="2988">
        <f t="shared" si="115"/>
        <v>0</v>
      </c>
      <c r="Z425" s="998"/>
    </row>
    <row r="426" spans="1:26">
      <c r="A426" s="35"/>
      <c r="B426" s="20"/>
      <c r="C426" s="13">
        <f t="shared" si="104"/>
        <v>1</v>
      </c>
      <c r="D426" s="601"/>
      <c r="E426" s="13">
        <f t="shared" si="105"/>
        <v>1</v>
      </c>
      <c r="F426" s="601"/>
      <c r="G426" s="13">
        <f t="shared" si="106"/>
        <v>1</v>
      </c>
      <c r="H426" s="601"/>
      <c r="I426" s="13">
        <f t="shared" si="107"/>
        <v>1</v>
      </c>
      <c r="J426" s="601"/>
      <c r="K426" s="13">
        <f t="shared" si="108"/>
        <v>1</v>
      </c>
      <c r="L426" s="601"/>
      <c r="M426" s="13">
        <f t="shared" si="109"/>
        <v>1</v>
      </c>
      <c r="N426" s="601"/>
      <c r="O426" s="13">
        <f t="shared" si="110"/>
        <v>1</v>
      </c>
      <c r="P426" s="601"/>
      <c r="Q426" s="13">
        <f t="shared" si="111"/>
        <v>1</v>
      </c>
      <c r="R426" s="597">
        <f t="shared" si="116"/>
        <v>0</v>
      </c>
      <c r="S426" s="250">
        <f t="shared" si="117"/>
        <v>0</v>
      </c>
      <c r="T426" s="901">
        <f t="shared" si="118"/>
        <v>0</v>
      </c>
      <c r="U426" s="2988">
        <f t="shared" si="112"/>
        <v>0</v>
      </c>
      <c r="V426" s="2988">
        <f t="shared" si="113"/>
        <v>0</v>
      </c>
      <c r="W426" s="998"/>
      <c r="X426" s="2988">
        <f t="shared" si="114"/>
        <v>0</v>
      </c>
      <c r="Y426" s="2988">
        <f t="shared" si="115"/>
        <v>0</v>
      </c>
      <c r="Z426" s="998"/>
    </row>
    <row r="427" spans="1:26">
      <c r="A427" s="35"/>
      <c r="B427" s="20"/>
      <c r="C427" s="13">
        <f t="shared" si="104"/>
        <v>1</v>
      </c>
      <c r="D427" s="601"/>
      <c r="E427" s="13">
        <f t="shared" si="105"/>
        <v>1</v>
      </c>
      <c r="F427" s="601"/>
      <c r="G427" s="13">
        <f t="shared" si="106"/>
        <v>1</v>
      </c>
      <c r="H427" s="601"/>
      <c r="I427" s="13">
        <f t="shared" si="107"/>
        <v>1</v>
      </c>
      <c r="J427" s="601"/>
      <c r="K427" s="13">
        <f t="shared" si="108"/>
        <v>1</v>
      </c>
      <c r="L427" s="601"/>
      <c r="M427" s="13">
        <f t="shared" si="109"/>
        <v>1</v>
      </c>
      <c r="N427" s="601"/>
      <c r="O427" s="13">
        <f t="shared" si="110"/>
        <v>1</v>
      </c>
      <c r="P427" s="601"/>
      <c r="Q427" s="13">
        <f t="shared" si="111"/>
        <v>1</v>
      </c>
      <c r="R427" s="597">
        <f t="shared" si="116"/>
        <v>0</v>
      </c>
      <c r="S427" s="250">
        <f t="shared" si="117"/>
        <v>0</v>
      </c>
      <c r="T427" s="901">
        <f t="shared" si="118"/>
        <v>0</v>
      </c>
      <c r="U427" s="2988">
        <f t="shared" si="112"/>
        <v>0</v>
      </c>
      <c r="V427" s="2988">
        <f t="shared" si="113"/>
        <v>0</v>
      </c>
      <c r="W427" s="998"/>
      <c r="X427" s="2988">
        <f t="shared" si="114"/>
        <v>0</v>
      </c>
      <c r="Y427" s="2988">
        <f t="shared" si="115"/>
        <v>0</v>
      </c>
      <c r="Z427" s="998"/>
    </row>
    <row r="428" spans="1:26">
      <c r="A428" s="35"/>
      <c r="B428" s="20"/>
      <c r="C428" s="13">
        <f t="shared" si="104"/>
        <v>1</v>
      </c>
      <c r="D428" s="601"/>
      <c r="E428" s="13">
        <f t="shared" si="105"/>
        <v>1</v>
      </c>
      <c r="F428" s="601"/>
      <c r="G428" s="13">
        <f t="shared" si="106"/>
        <v>1</v>
      </c>
      <c r="H428" s="601"/>
      <c r="I428" s="13">
        <f t="shared" si="107"/>
        <v>1</v>
      </c>
      <c r="J428" s="601"/>
      <c r="K428" s="13">
        <f t="shared" si="108"/>
        <v>1</v>
      </c>
      <c r="L428" s="601"/>
      <c r="M428" s="13">
        <f t="shared" si="109"/>
        <v>1</v>
      </c>
      <c r="N428" s="601"/>
      <c r="O428" s="13">
        <f t="shared" si="110"/>
        <v>1</v>
      </c>
      <c r="P428" s="601"/>
      <c r="Q428" s="13">
        <f t="shared" si="111"/>
        <v>1</v>
      </c>
      <c r="R428" s="597">
        <f t="shared" si="116"/>
        <v>0</v>
      </c>
      <c r="S428" s="250">
        <f t="shared" si="117"/>
        <v>0</v>
      </c>
      <c r="T428" s="901">
        <f t="shared" si="118"/>
        <v>0</v>
      </c>
      <c r="U428" s="2988">
        <f t="shared" si="112"/>
        <v>0</v>
      </c>
      <c r="V428" s="2988">
        <f t="shared" si="113"/>
        <v>0</v>
      </c>
      <c r="W428" s="998"/>
      <c r="X428" s="2988">
        <f t="shared" si="114"/>
        <v>0</v>
      </c>
      <c r="Y428" s="2988">
        <f t="shared" si="115"/>
        <v>0</v>
      </c>
      <c r="Z428" s="998"/>
    </row>
    <row r="429" spans="1:26">
      <c r="A429" s="35"/>
      <c r="B429" s="20"/>
      <c r="C429" s="13">
        <f t="shared" si="104"/>
        <v>1</v>
      </c>
      <c r="D429" s="601"/>
      <c r="E429" s="13">
        <f t="shared" si="105"/>
        <v>1</v>
      </c>
      <c r="F429" s="601"/>
      <c r="G429" s="13">
        <f t="shared" si="106"/>
        <v>1</v>
      </c>
      <c r="H429" s="601"/>
      <c r="I429" s="13">
        <f t="shared" si="107"/>
        <v>1</v>
      </c>
      <c r="J429" s="601"/>
      <c r="K429" s="13">
        <f t="shared" si="108"/>
        <v>1</v>
      </c>
      <c r="L429" s="601"/>
      <c r="M429" s="13">
        <f t="shared" si="109"/>
        <v>1</v>
      </c>
      <c r="N429" s="601"/>
      <c r="O429" s="13">
        <f t="shared" si="110"/>
        <v>1</v>
      </c>
      <c r="P429" s="601"/>
      <c r="Q429" s="13">
        <f t="shared" si="111"/>
        <v>1</v>
      </c>
      <c r="R429" s="597">
        <f t="shared" si="116"/>
        <v>0</v>
      </c>
      <c r="S429" s="250">
        <f t="shared" si="117"/>
        <v>0</v>
      </c>
      <c r="T429" s="901">
        <f t="shared" si="118"/>
        <v>0</v>
      </c>
      <c r="U429" s="2988">
        <f t="shared" si="112"/>
        <v>0</v>
      </c>
      <c r="V429" s="2988">
        <f t="shared" si="113"/>
        <v>0</v>
      </c>
      <c r="W429" s="998"/>
      <c r="X429" s="2988">
        <f t="shared" si="114"/>
        <v>0</v>
      </c>
      <c r="Y429" s="2988">
        <f t="shared" si="115"/>
        <v>0</v>
      </c>
      <c r="Z429" s="998"/>
    </row>
    <row r="430" spans="1:26">
      <c r="A430" s="35"/>
      <c r="B430" s="20"/>
      <c r="C430" s="13">
        <f t="shared" si="104"/>
        <v>1</v>
      </c>
      <c r="D430" s="601"/>
      <c r="E430" s="13">
        <f t="shared" si="105"/>
        <v>1</v>
      </c>
      <c r="F430" s="601"/>
      <c r="G430" s="13">
        <f t="shared" si="106"/>
        <v>1</v>
      </c>
      <c r="H430" s="601"/>
      <c r="I430" s="13">
        <f t="shared" si="107"/>
        <v>1</v>
      </c>
      <c r="J430" s="601"/>
      <c r="K430" s="13">
        <f t="shared" si="108"/>
        <v>1</v>
      </c>
      <c r="L430" s="601"/>
      <c r="M430" s="13">
        <f t="shared" si="109"/>
        <v>1</v>
      </c>
      <c r="N430" s="601"/>
      <c r="O430" s="13">
        <f t="shared" si="110"/>
        <v>1</v>
      </c>
      <c r="P430" s="601"/>
      <c r="Q430" s="13">
        <f t="shared" si="111"/>
        <v>1</v>
      </c>
      <c r="R430" s="597">
        <f t="shared" si="116"/>
        <v>0</v>
      </c>
      <c r="S430" s="250">
        <f t="shared" si="117"/>
        <v>0</v>
      </c>
      <c r="T430" s="901">
        <f t="shared" si="118"/>
        <v>0</v>
      </c>
      <c r="U430" s="2988">
        <f t="shared" si="112"/>
        <v>0</v>
      </c>
      <c r="V430" s="2988">
        <f t="shared" si="113"/>
        <v>0</v>
      </c>
      <c r="W430" s="998"/>
      <c r="X430" s="2988">
        <f t="shared" si="114"/>
        <v>0</v>
      </c>
      <c r="Y430" s="2988">
        <f t="shared" si="115"/>
        <v>0</v>
      </c>
      <c r="Z430" s="998"/>
    </row>
    <row r="431" spans="1:26">
      <c r="A431" s="35"/>
      <c r="B431" s="20"/>
      <c r="C431" s="13">
        <f t="shared" si="104"/>
        <v>1</v>
      </c>
      <c r="D431" s="601"/>
      <c r="E431" s="13">
        <f t="shared" si="105"/>
        <v>1</v>
      </c>
      <c r="F431" s="601"/>
      <c r="G431" s="13">
        <f t="shared" si="106"/>
        <v>1</v>
      </c>
      <c r="H431" s="601"/>
      <c r="I431" s="13">
        <f t="shared" si="107"/>
        <v>1</v>
      </c>
      <c r="J431" s="601"/>
      <c r="K431" s="13">
        <f t="shared" si="108"/>
        <v>1</v>
      </c>
      <c r="L431" s="601"/>
      <c r="M431" s="13">
        <f t="shared" si="109"/>
        <v>1</v>
      </c>
      <c r="N431" s="601"/>
      <c r="O431" s="13">
        <f t="shared" si="110"/>
        <v>1</v>
      </c>
      <c r="P431" s="601"/>
      <c r="Q431" s="13">
        <f t="shared" si="111"/>
        <v>1</v>
      </c>
      <c r="R431" s="597">
        <f t="shared" si="116"/>
        <v>0</v>
      </c>
      <c r="S431" s="250">
        <f t="shared" si="117"/>
        <v>0</v>
      </c>
      <c r="T431" s="901">
        <f t="shared" si="118"/>
        <v>0</v>
      </c>
      <c r="U431" s="2988">
        <f t="shared" si="112"/>
        <v>0</v>
      </c>
      <c r="V431" s="2988">
        <f t="shared" si="113"/>
        <v>0</v>
      </c>
      <c r="W431" s="998"/>
      <c r="X431" s="2988">
        <f t="shared" si="114"/>
        <v>0</v>
      </c>
      <c r="Y431" s="2988">
        <f t="shared" si="115"/>
        <v>0</v>
      </c>
      <c r="Z431" s="998"/>
    </row>
    <row r="432" spans="1:26">
      <c r="A432" s="35"/>
      <c r="B432" s="20"/>
      <c r="C432" s="13">
        <f t="shared" si="104"/>
        <v>1</v>
      </c>
      <c r="D432" s="601"/>
      <c r="E432" s="13">
        <f t="shared" si="105"/>
        <v>1</v>
      </c>
      <c r="F432" s="601"/>
      <c r="G432" s="13">
        <f t="shared" si="106"/>
        <v>1</v>
      </c>
      <c r="H432" s="601"/>
      <c r="I432" s="13">
        <f t="shared" si="107"/>
        <v>1</v>
      </c>
      <c r="J432" s="601"/>
      <c r="K432" s="13">
        <f t="shared" si="108"/>
        <v>1</v>
      </c>
      <c r="L432" s="601"/>
      <c r="M432" s="13">
        <f t="shared" si="109"/>
        <v>1</v>
      </c>
      <c r="N432" s="601"/>
      <c r="O432" s="13">
        <f t="shared" si="110"/>
        <v>1</v>
      </c>
      <c r="P432" s="601"/>
      <c r="Q432" s="13">
        <f t="shared" si="111"/>
        <v>1</v>
      </c>
      <c r="R432" s="597">
        <f t="shared" si="116"/>
        <v>0</v>
      </c>
      <c r="S432" s="250">
        <f t="shared" si="117"/>
        <v>0</v>
      </c>
      <c r="T432" s="901">
        <f t="shared" si="118"/>
        <v>0</v>
      </c>
      <c r="U432" s="2988">
        <f t="shared" si="112"/>
        <v>0</v>
      </c>
      <c r="V432" s="2988">
        <f t="shared" si="113"/>
        <v>0</v>
      </c>
      <c r="W432" s="998"/>
      <c r="X432" s="2988">
        <f t="shared" si="114"/>
        <v>0</v>
      </c>
      <c r="Y432" s="2988">
        <f t="shared" si="115"/>
        <v>0</v>
      </c>
      <c r="Z432" s="998"/>
    </row>
    <row r="433" spans="1:26">
      <c r="A433" s="35"/>
      <c r="B433" s="20"/>
      <c r="C433" s="13">
        <f t="shared" si="104"/>
        <v>1</v>
      </c>
      <c r="D433" s="601"/>
      <c r="E433" s="13">
        <f t="shared" si="105"/>
        <v>1</v>
      </c>
      <c r="F433" s="601"/>
      <c r="G433" s="13">
        <f t="shared" si="106"/>
        <v>1</v>
      </c>
      <c r="H433" s="601"/>
      <c r="I433" s="13">
        <f t="shared" si="107"/>
        <v>1</v>
      </c>
      <c r="J433" s="601"/>
      <c r="K433" s="13">
        <f t="shared" si="108"/>
        <v>1</v>
      </c>
      <c r="L433" s="601"/>
      <c r="M433" s="13">
        <f t="shared" si="109"/>
        <v>1</v>
      </c>
      <c r="N433" s="601"/>
      <c r="O433" s="13">
        <f t="shared" si="110"/>
        <v>1</v>
      </c>
      <c r="P433" s="601"/>
      <c r="Q433" s="13">
        <f t="shared" si="111"/>
        <v>1</v>
      </c>
      <c r="R433" s="597">
        <f t="shared" si="116"/>
        <v>0</v>
      </c>
      <c r="S433" s="250">
        <f t="shared" si="117"/>
        <v>0</v>
      </c>
      <c r="T433" s="901">
        <f t="shared" si="118"/>
        <v>0</v>
      </c>
      <c r="U433" s="2988">
        <f t="shared" si="112"/>
        <v>0</v>
      </c>
      <c r="V433" s="2988">
        <f t="shared" si="113"/>
        <v>0</v>
      </c>
      <c r="W433" s="998"/>
      <c r="X433" s="2988">
        <f t="shared" si="114"/>
        <v>0</v>
      </c>
      <c r="Y433" s="2988">
        <f t="shared" si="115"/>
        <v>0</v>
      </c>
      <c r="Z433" s="998"/>
    </row>
    <row r="434" spans="1:26">
      <c r="A434" s="35"/>
      <c r="B434" s="20"/>
      <c r="C434" s="13">
        <f t="shared" si="104"/>
        <v>1</v>
      </c>
      <c r="D434" s="601"/>
      <c r="E434" s="13">
        <f t="shared" si="105"/>
        <v>1</v>
      </c>
      <c r="F434" s="601"/>
      <c r="G434" s="13">
        <f t="shared" si="106"/>
        <v>1</v>
      </c>
      <c r="H434" s="601"/>
      <c r="I434" s="13">
        <f t="shared" si="107"/>
        <v>1</v>
      </c>
      <c r="J434" s="601"/>
      <c r="K434" s="13">
        <f t="shared" si="108"/>
        <v>1</v>
      </c>
      <c r="L434" s="601"/>
      <c r="M434" s="13">
        <f t="shared" si="109"/>
        <v>1</v>
      </c>
      <c r="N434" s="601"/>
      <c r="O434" s="13">
        <f t="shared" si="110"/>
        <v>1</v>
      </c>
      <c r="P434" s="601"/>
      <c r="Q434" s="13">
        <f t="shared" si="111"/>
        <v>1</v>
      </c>
      <c r="R434" s="597">
        <f t="shared" si="116"/>
        <v>0</v>
      </c>
      <c r="S434" s="250">
        <f t="shared" si="117"/>
        <v>0</v>
      </c>
      <c r="T434" s="901">
        <f t="shared" si="118"/>
        <v>0</v>
      </c>
      <c r="U434" s="2988">
        <f t="shared" si="112"/>
        <v>0</v>
      </c>
      <c r="V434" s="2988">
        <f t="shared" si="113"/>
        <v>0</v>
      </c>
      <c r="W434" s="998"/>
      <c r="X434" s="2988">
        <f t="shared" si="114"/>
        <v>0</v>
      </c>
      <c r="Y434" s="2988">
        <f t="shared" si="115"/>
        <v>0</v>
      </c>
      <c r="Z434" s="998"/>
    </row>
    <row r="435" spans="1:26">
      <c r="A435" s="35"/>
      <c r="B435" s="20"/>
      <c r="C435" s="13">
        <f t="shared" si="104"/>
        <v>1</v>
      </c>
      <c r="D435" s="601"/>
      <c r="E435" s="13">
        <f t="shared" si="105"/>
        <v>1</v>
      </c>
      <c r="F435" s="601"/>
      <c r="G435" s="13">
        <f t="shared" si="106"/>
        <v>1</v>
      </c>
      <c r="H435" s="601"/>
      <c r="I435" s="13">
        <f t="shared" si="107"/>
        <v>1</v>
      </c>
      <c r="J435" s="601"/>
      <c r="K435" s="13">
        <f t="shared" si="108"/>
        <v>1</v>
      </c>
      <c r="L435" s="601"/>
      <c r="M435" s="13">
        <f t="shared" si="109"/>
        <v>1</v>
      </c>
      <c r="N435" s="601"/>
      <c r="O435" s="13">
        <f t="shared" si="110"/>
        <v>1</v>
      </c>
      <c r="P435" s="601"/>
      <c r="Q435" s="13">
        <f t="shared" si="111"/>
        <v>1</v>
      </c>
      <c r="R435" s="597">
        <f t="shared" si="116"/>
        <v>0</v>
      </c>
      <c r="S435" s="250">
        <f t="shared" si="117"/>
        <v>0</v>
      </c>
      <c r="T435" s="901">
        <f t="shared" si="118"/>
        <v>0</v>
      </c>
      <c r="U435" s="2988">
        <f t="shared" si="112"/>
        <v>0</v>
      </c>
      <c r="V435" s="2988">
        <f t="shared" si="113"/>
        <v>0</v>
      </c>
      <c r="W435" s="998"/>
      <c r="X435" s="2988">
        <f t="shared" si="114"/>
        <v>0</v>
      </c>
      <c r="Y435" s="2988">
        <f t="shared" si="115"/>
        <v>0</v>
      </c>
      <c r="Z435" s="998"/>
    </row>
    <row r="436" spans="1:26">
      <c r="A436" s="35"/>
      <c r="B436" s="20"/>
      <c r="C436" s="13">
        <f t="shared" si="104"/>
        <v>1</v>
      </c>
      <c r="D436" s="601"/>
      <c r="E436" s="13">
        <f t="shared" si="105"/>
        <v>1</v>
      </c>
      <c r="F436" s="601"/>
      <c r="G436" s="13">
        <f t="shared" si="106"/>
        <v>1</v>
      </c>
      <c r="H436" s="601"/>
      <c r="I436" s="13">
        <f t="shared" si="107"/>
        <v>1</v>
      </c>
      <c r="J436" s="601"/>
      <c r="K436" s="13">
        <f t="shared" si="108"/>
        <v>1</v>
      </c>
      <c r="L436" s="601"/>
      <c r="M436" s="13">
        <f t="shared" si="109"/>
        <v>1</v>
      </c>
      <c r="N436" s="601"/>
      <c r="O436" s="13">
        <f t="shared" si="110"/>
        <v>1</v>
      </c>
      <c r="P436" s="601"/>
      <c r="Q436" s="13">
        <f t="shared" si="111"/>
        <v>1</v>
      </c>
      <c r="R436" s="597">
        <f t="shared" si="116"/>
        <v>0</v>
      </c>
      <c r="S436" s="250">
        <f t="shared" si="117"/>
        <v>0</v>
      </c>
      <c r="T436" s="901">
        <f t="shared" si="118"/>
        <v>0</v>
      </c>
      <c r="U436" s="2988">
        <f t="shared" si="112"/>
        <v>0</v>
      </c>
      <c r="V436" s="2988">
        <f t="shared" si="113"/>
        <v>0</v>
      </c>
      <c r="W436" s="998"/>
      <c r="X436" s="2988">
        <f t="shared" si="114"/>
        <v>0</v>
      </c>
      <c r="Y436" s="2988">
        <f t="shared" si="115"/>
        <v>0</v>
      </c>
      <c r="Z436" s="998"/>
    </row>
    <row r="437" spans="1:26">
      <c r="A437" s="35"/>
      <c r="B437" s="20"/>
      <c r="C437" s="13">
        <f t="shared" si="104"/>
        <v>1</v>
      </c>
      <c r="D437" s="601"/>
      <c r="E437" s="13">
        <f t="shared" si="105"/>
        <v>1</v>
      </c>
      <c r="F437" s="601"/>
      <c r="G437" s="13">
        <f t="shared" si="106"/>
        <v>1</v>
      </c>
      <c r="H437" s="601"/>
      <c r="I437" s="13">
        <f t="shared" si="107"/>
        <v>1</v>
      </c>
      <c r="J437" s="601"/>
      <c r="K437" s="13">
        <f t="shared" si="108"/>
        <v>1</v>
      </c>
      <c r="L437" s="601"/>
      <c r="M437" s="13">
        <f t="shared" si="109"/>
        <v>1</v>
      </c>
      <c r="N437" s="601"/>
      <c r="O437" s="13">
        <f t="shared" si="110"/>
        <v>1</v>
      </c>
      <c r="P437" s="601"/>
      <c r="Q437" s="13">
        <f t="shared" si="111"/>
        <v>1</v>
      </c>
      <c r="R437" s="597">
        <f t="shared" si="116"/>
        <v>0</v>
      </c>
      <c r="S437" s="250">
        <f t="shared" si="117"/>
        <v>0</v>
      </c>
      <c r="T437" s="901">
        <f t="shared" si="118"/>
        <v>0</v>
      </c>
      <c r="U437" s="2988">
        <f t="shared" si="112"/>
        <v>0</v>
      </c>
      <c r="V437" s="2988">
        <f t="shared" si="113"/>
        <v>0</v>
      </c>
      <c r="W437" s="998"/>
      <c r="X437" s="2988">
        <f t="shared" si="114"/>
        <v>0</v>
      </c>
      <c r="Y437" s="2988">
        <f t="shared" si="115"/>
        <v>0</v>
      </c>
      <c r="Z437" s="998"/>
    </row>
    <row r="438" spans="1:26">
      <c r="A438" s="35"/>
      <c r="B438" s="20"/>
      <c r="C438" s="13">
        <f t="shared" si="104"/>
        <v>1</v>
      </c>
      <c r="D438" s="601"/>
      <c r="E438" s="13">
        <f t="shared" si="105"/>
        <v>1</v>
      </c>
      <c r="F438" s="601"/>
      <c r="G438" s="13">
        <f t="shared" si="106"/>
        <v>1</v>
      </c>
      <c r="H438" s="601"/>
      <c r="I438" s="13">
        <f t="shared" si="107"/>
        <v>1</v>
      </c>
      <c r="J438" s="601"/>
      <c r="K438" s="13">
        <f t="shared" si="108"/>
        <v>1</v>
      </c>
      <c r="L438" s="601"/>
      <c r="M438" s="13">
        <f t="shared" si="109"/>
        <v>1</v>
      </c>
      <c r="N438" s="601"/>
      <c r="O438" s="13">
        <f t="shared" si="110"/>
        <v>1</v>
      </c>
      <c r="P438" s="601"/>
      <c r="Q438" s="13">
        <f t="shared" si="111"/>
        <v>1</v>
      </c>
      <c r="R438" s="597">
        <f t="shared" si="116"/>
        <v>0</v>
      </c>
      <c r="S438" s="250">
        <f t="shared" si="117"/>
        <v>0</v>
      </c>
      <c r="T438" s="901">
        <f t="shared" si="118"/>
        <v>0</v>
      </c>
      <c r="U438" s="2988">
        <f t="shared" si="112"/>
        <v>0</v>
      </c>
      <c r="V438" s="2988">
        <f t="shared" si="113"/>
        <v>0</v>
      </c>
      <c r="W438" s="998"/>
      <c r="X438" s="2988">
        <f t="shared" si="114"/>
        <v>0</v>
      </c>
      <c r="Y438" s="2988">
        <f t="shared" si="115"/>
        <v>0</v>
      </c>
      <c r="Z438" s="998"/>
    </row>
    <row r="439" spans="1:26">
      <c r="A439" s="35"/>
      <c r="B439" s="20"/>
      <c r="C439" s="13">
        <f t="shared" si="104"/>
        <v>1</v>
      </c>
      <c r="D439" s="601"/>
      <c r="E439" s="13">
        <f t="shared" si="105"/>
        <v>1</v>
      </c>
      <c r="F439" s="601"/>
      <c r="G439" s="13">
        <f t="shared" si="106"/>
        <v>1</v>
      </c>
      <c r="H439" s="601"/>
      <c r="I439" s="13">
        <f t="shared" si="107"/>
        <v>1</v>
      </c>
      <c r="J439" s="601"/>
      <c r="K439" s="13">
        <f t="shared" si="108"/>
        <v>1</v>
      </c>
      <c r="L439" s="601"/>
      <c r="M439" s="13">
        <f t="shared" si="109"/>
        <v>1</v>
      </c>
      <c r="N439" s="601"/>
      <c r="O439" s="13">
        <f t="shared" si="110"/>
        <v>1</v>
      </c>
      <c r="P439" s="601"/>
      <c r="Q439" s="13">
        <f t="shared" si="111"/>
        <v>1</v>
      </c>
      <c r="R439" s="597">
        <f t="shared" si="116"/>
        <v>0</v>
      </c>
      <c r="S439" s="250">
        <f t="shared" si="117"/>
        <v>0</v>
      </c>
      <c r="T439" s="901">
        <f t="shared" si="118"/>
        <v>0</v>
      </c>
      <c r="U439" s="2988">
        <f t="shared" si="112"/>
        <v>0</v>
      </c>
      <c r="V439" s="2988">
        <f t="shared" si="113"/>
        <v>0</v>
      </c>
      <c r="W439" s="998"/>
      <c r="X439" s="2988">
        <f t="shared" si="114"/>
        <v>0</v>
      </c>
      <c r="Y439" s="2988">
        <f t="shared" si="115"/>
        <v>0</v>
      </c>
      <c r="Z439" s="998"/>
    </row>
    <row r="440" spans="1:26">
      <c r="A440" s="35"/>
      <c r="B440" s="20"/>
      <c r="C440" s="13">
        <f t="shared" si="104"/>
        <v>1</v>
      </c>
      <c r="D440" s="601"/>
      <c r="E440" s="13">
        <f t="shared" si="105"/>
        <v>1</v>
      </c>
      <c r="F440" s="601"/>
      <c r="G440" s="13">
        <f t="shared" si="106"/>
        <v>1</v>
      </c>
      <c r="H440" s="601"/>
      <c r="I440" s="13">
        <f t="shared" si="107"/>
        <v>1</v>
      </c>
      <c r="J440" s="601"/>
      <c r="K440" s="13">
        <f t="shared" si="108"/>
        <v>1</v>
      </c>
      <c r="L440" s="601"/>
      <c r="M440" s="13">
        <f t="shared" si="109"/>
        <v>1</v>
      </c>
      <c r="N440" s="601"/>
      <c r="O440" s="13">
        <f t="shared" si="110"/>
        <v>1</v>
      </c>
      <c r="P440" s="601"/>
      <c r="Q440" s="13">
        <f t="shared" si="111"/>
        <v>1</v>
      </c>
      <c r="R440" s="597">
        <f t="shared" si="116"/>
        <v>0</v>
      </c>
      <c r="S440" s="250">
        <f t="shared" si="117"/>
        <v>0</v>
      </c>
      <c r="T440" s="901">
        <f t="shared" si="118"/>
        <v>0</v>
      </c>
      <c r="U440" s="2988">
        <f t="shared" si="112"/>
        <v>0</v>
      </c>
      <c r="V440" s="2988">
        <f t="shared" si="113"/>
        <v>0</v>
      </c>
      <c r="W440" s="998"/>
      <c r="X440" s="2988">
        <f t="shared" si="114"/>
        <v>0</v>
      </c>
      <c r="Y440" s="2988">
        <f t="shared" si="115"/>
        <v>0</v>
      </c>
      <c r="Z440" s="998"/>
    </row>
    <row r="441" spans="1:26">
      <c r="A441" s="35"/>
      <c r="B441" s="20"/>
      <c r="C441" s="13">
        <f t="shared" si="104"/>
        <v>1</v>
      </c>
      <c r="D441" s="601"/>
      <c r="E441" s="13">
        <f t="shared" si="105"/>
        <v>1</v>
      </c>
      <c r="F441" s="601"/>
      <c r="G441" s="13">
        <f t="shared" si="106"/>
        <v>1</v>
      </c>
      <c r="H441" s="601"/>
      <c r="I441" s="13">
        <f t="shared" si="107"/>
        <v>1</v>
      </c>
      <c r="J441" s="601"/>
      <c r="K441" s="13">
        <f t="shared" si="108"/>
        <v>1</v>
      </c>
      <c r="L441" s="601"/>
      <c r="M441" s="13">
        <f t="shared" si="109"/>
        <v>1</v>
      </c>
      <c r="N441" s="601"/>
      <c r="O441" s="13">
        <f t="shared" si="110"/>
        <v>1</v>
      </c>
      <c r="P441" s="601"/>
      <c r="Q441" s="13">
        <f t="shared" si="111"/>
        <v>1</v>
      </c>
      <c r="R441" s="597">
        <f t="shared" si="116"/>
        <v>0</v>
      </c>
      <c r="S441" s="250">
        <f t="shared" si="117"/>
        <v>0</v>
      </c>
      <c r="T441" s="901">
        <f t="shared" si="118"/>
        <v>0</v>
      </c>
      <c r="U441" s="2988">
        <f t="shared" si="112"/>
        <v>0</v>
      </c>
      <c r="V441" s="2988">
        <f t="shared" si="113"/>
        <v>0</v>
      </c>
      <c r="W441" s="998"/>
      <c r="X441" s="2988">
        <f t="shared" si="114"/>
        <v>0</v>
      </c>
      <c r="Y441" s="2988">
        <f t="shared" si="115"/>
        <v>0</v>
      </c>
      <c r="Z441" s="998"/>
    </row>
    <row r="442" spans="1:26">
      <c r="A442" s="35"/>
      <c r="B442" s="20"/>
      <c r="C442" s="13">
        <f t="shared" si="104"/>
        <v>1</v>
      </c>
      <c r="D442" s="601"/>
      <c r="E442" s="13">
        <f t="shared" si="105"/>
        <v>1</v>
      </c>
      <c r="F442" s="601"/>
      <c r="G442" s="13">
        <f t="shared" si="106"/>
        <v>1</v>
      </c>
      <c r="H442" s="601"/>
      <c r="I442" s="13">
        <f t="shared" si="107"/>
        <v>1</v>
      </c>
      <c r="J442" s="601"/>
      <c r="K442" s="13">
        <f t="shared" si="108"/>
        <v>1</v>
      </c>
      <c r="L442" s="601"/>
      <c r="M442" s="13">
        <f t="shared" si="109"/>
        <v>1</v>
      </c>
      <c r="N442" s="601"/>
      <c r="O442" s="13">
        <f t="shared" si="110"/>
        <v>1</v>
      </c>
      <c r="P442" s="601"/>
      <c r="Q442" s="13">
        <f t="shared" si="111"/>
        <v>1</v>
      </c>
      <c r="R442" s="597">
        <f t="shared" si="116"/>
        <v>0</v>
      </c>
      <c r="S442" s="250">
        <f t="shared" si="117"/>
        <v>0</v>
      </c>
      <c r="T442" s="901">
        <f t="shared" si="118"/>
        <v>0</v>
      </c>
      <c r="U442" s="2988">
        <f t="shared" si="112"/>
        <v>0</v>
      </c>
      <c r="V442" s="2988">
        <f t="shared" si="113"/>
        <v>0</v>
      </c>
      <c r="W442" s="998"/>
      <c r="X442" s="2988">
        <f t="shared" si="114"/>
        <v>0</v>
      </c>
      <c r="Y442" s="2988">
        <f t="shared" si="115"/>
        <v>0</v>
      </c>
      <c r="Z442" s="998"/>
    </row>
    <row r="443" spans="1:26">
      <c r="A443" s="35"/>
      <c r="B443" s="20"/>
      <c r="C443" s="13">
        <f t="shared" si="104"/>
        <v>1</v>
      </c>
      <c r="D443" s="601"/>
      <c r="E443" s="13">
        <f t="shared" si="105"/>
        <v>1</v>
      </c>
      <c r="F443" s="601"/>
      <c r="G443" s="13">
        <f t="shared" si="106"/>
        <v>1</v>
      </c>
      <c r="H443" s="601"/>
      <c r="I443" s="13">
        <f t="shared" si="107"/>
        <v>1</v>
      </c>
      <c r="J443" s="601"/>
      <c r="K443" s="13">
        <f t="shared" si="108"/>
        <v>1</v>
      </c>
      <c r="L443" s="601"/>
      <c r="M443" s="13">
        <f t="shared" si="109"/>
        <v>1</v>
      </c>
      <c r="N443" s="601"/>
      <c r="O443" s="13">
        <f t="shared" si="110"/>
        <v>1</v>
      </c>
      <c r="P443" s="601"/>
      <c r="Q443" s="13">
        <f t="shared" si="111"/>
        <v>1</v>
      </c>
      <c r="R443" s="597">
        <f t="shared" si="116"/>
        <v>0</v>
      </c>
      <c r="S443" s="250">
        <f t="shared" si="117"/>
        <v>0</v>
      </c>
      <c r="T443" s="901">
        <f t="shared" si="118"/>
        <v>0</v>
      </c>
      <c r="U443" s="2988">
        <f t="shared" si="112"/>
        <v>0</v>
      </c>
      <c r="V443" s="2988">
        <f t="shared" si="113"/>
        <v>0</v>
      </c>
      <c r="W443" s="998"/>
      <c r="X443" s="2988">
        <f t="shared" si="114"/>
        <v>0</v>
      </c>
      <c r="Y443" s="2988">
        <f t="shared" si="115"/>
        <v>0</v>
      </c>
      <c r="Z443" s="998"/>
    </row>
    <row r="444" spans="1:26">
      <c r="A444" s="35"/>
      <c r="B444" s="20"/>
      <c r="C444" s="13">
        <f t="shared" si="104"/>
        <v>1</v>
      </c>
      <c r="D444" s="601"/>
      <c r="E444" s="13">
        <f t="shared" si="105"/>
        <v>1</v>
      </c>
      <c r="F444" s="601"/>
      <c r="G444" s="13">
        <f t="shared" si="106"/>
        <v>1</v>
      </c>
      <c r="H444" s="601"/>
      <c r="I444" s="13">
        <f t="shared" si="107"/>
        <v>1</v>
      </c>
      <c r="J444" s="601"/>
      <c r="K444" s="13">
        <f t="shared" si="108"/>
        <v>1</v>
      </c>
      <c r="L444" s="601"/>
      <c r="M444" s="13">
        <f t="shared" si="109"/>
        <v>1</v>
      </c>
      <c r="N444" s="601"/>
      <c r="O444" s="13">
        <f t="shared" si="110"/>
        <v>1</v>
      </c>
      <c r="P444" s="601"/>
      <c r="Q444" s="13">
        <f t="shared" si="111"/>
        <v>1</v>
      </c>
      <c r="R444" s="597">
        <f t="shared" si="116"/>
        <v>0</v>
      </c>
      <c r="S444" s="250">
        <f t="shared" si="117"/>
        <v>0</v>
      </c>
      <c r="T444" s="901">
        <f t="shared" si="118"/>
        <v>0</v>
      </c>
      <c r="U444" s="2988">
        <f t="shared" si="112"/>
        <v>0</v>
      </c>
      <c r="V444" s="2988">
        <f t="shared" si="113"/>
        <v>0</v>
      </c>
      <c r="W444" s="998"/>
      <c r="X444" s="2988">
        <f t="shared" si="114"/>
        <v>0</v>
      </c>
      <c r="Y444" s="2988">
        <f t="shared" si="115"/>
        <v>0</v>
      </c>
      <c r="Z444" s="998"/>
    </row>
    <row r="445" spans="1:26">
      <c r="A445" s="35"/>
      <c r="B445" s="20"/>
      <c r="C445" s="13">
        <f t="shared" si="104"/>
        <v>1</v>
      </c>
      <c r="D445" s="601"/>
      <c r="E445" s="13">
        <f t="shared" si="105"/>
        <v>1</v>
      </c>
      <c r="F445" s="601"/>
      <c r="G445" s="13">
        <f t="shared" si="106"/>
        <v>1</v>
      </c>
      <c r="H445" s="601"/>
      <c r="I445" s="13">
        <f t="shared" si="107"/>
        <v>1</v>
      </c>
      <c r="J445" s="601"/>
      <c r="K445" s="13">
        <f t="shared" si="108"/>
        <v>1</v>
      </c>
      <c r="L445" s="601"/>
      <c r="M445" s="13">
        <f t="shared" si="109"/>
        <v>1</v>
      </c>
      <c r="N445" s="601"/>
      <c r="O445" s="13">
        <f t="shared" si="110"/>
        <v>1</v>
      </c>
      <c r="P445" s="601"/>
      <c r="Q445" s="13">
        <f t="shared" si="111"/>
        <v>1</v>
      </c>
      <c r="R445" s="597">
        <f t="shared" si="116"/>
        <v>0</v>
      </c>
      <c r="S445" s="250">
        <f t="shared" si="117"/>
        <v>0</v>
      </c>
      <c r="T445" s="901">
        <f t="shared" si="118"/>
        <v>0</v>
      </c>
      <c r="U445" s="2988">
        <f t="shared" si="112"/>
        <v>0</v>
      </c>
      <c r="V445" s="2988">
        <f t="shared" si="113"/>
        <v>0</v>
      </c>
      <c r="W445" s="998"/>
      <c r="X445" s="2988">
        <f t="shared" si="114"/>
        <v>0</v>
      </c>
      <c r="Y445" s="2988">
        <f t="shared" si="115"/>
        <v>0</v>
      </c>
      <c r="Z445" s="998"/>
    </row>
    <row r="446" spans="1:26">
      <c r="A446" s="35"/>
      <c r="B446" s="20"/>
      <c r="C446" s="13">
        <f t="shared" si="104"/>
        <v>1</v>
      </c>
      <c r="D446" s="601"/>
      <c r="E446" s="13">
        <f t="shared" si="105"/>
        <v>1</v>
      </c>
      <c r="F446" s="601"/>
      <c r="G446" s="13">
        <f t="shared" si="106"/>
        <v>1</v>
      </c>
      <c r="H446" s="601"/>
      <c r="I446" s="13">
        <f t="shared" si="107"/>
        <v>1</v>
      </c>
      <c r="J446" s="601"/>
      <c r="K446" s="13">
        <f t="shared" si="108"/>
        <v>1</v>
      </c>
      <c r="L446" s="601"/>
      <c r="M446" s="13">
        <f t="shared" si="109"/>
        <v>1</v>
      </c>
      <c r="N446" s="601"/>
      <c r="O446" s="13">
        <f t="shared" si="110"/>
        <v>1</v>
      </c>
      <c r="P446" s="601"/>
      <c r="Q446" s="13">
        <f t="shared" si="111"/>
        <v>1</v>
      </c>
      <c r="R446" s="597">
        <f t="shared" si="116"/>
        <v>0</v>
      </c>
      <c r="S446" s="250">
        <f t="shared" si="117"/>
        <v>0</v>
      </c>
      <c r="T446" s="901">
        <f t="shared" si="118"/>
        <v>0</v>
      </c>
      <c r="U446" s="2988">
        <f t="shared" si="112"/>
        <v>0</v>
      </c>
      <c r="V446" s="2988">
        <f t="shared" si="113"/>
        <v>0</v>
      </c>
      <c r="W446" s="998"/>
      <c r="X446" s="2988">
        <f t="shared" si="114"/>
        <v>0</v>
      </c>
      <c r="Y446" s="2988">
        <f t="shared" si="115"/>
        <v>0</v>
      </c>
      <c r="Z446" s="998"/>
    </row>
    <row r="447" spans="1:26">
      <c r="A447" s="35"/>
      <c r="B447" s="20"/>
      <c r="C447" s="13">
        <f t="shared" si="104"/>
        <v>1</v>
      </c>
      <c r="D447" s="601"/>
      <c r="E447" s="13">
        <f t="shared" si="105"/>
        <v>1</v>
      </c>
      <c r="F447" s="601"/>
      <c r="G447" s="13">
        <f t="shared" si="106"/>
        <v>1</v>
      </c>
      <c r="H447" s="601"/>
      <c r="I447" s="13">
        <f t="shared" si="107"/>
        <v>1</v>
      </c>
      <c r="J447" s="601"/>
      <c r="K447" s="13">
        <f t="shared" si="108"/>
        <v>1</v>
      </c>
      <c r="L447" s="601"/>
      <c r="M447" s="13">
        <f t="shared" si="109"/>
        <v>1</v>
      </c>
      <c r="N447" s="601"/>
      <c r="O447" s="13">
        <f t="shared" si="110"/>
        <v>1</v>
      </c>
      <c r="P447" s="601"/>
      <c r="Q447" s="13">
        <f t="shared" si="111"/>
        <v>1</v>
      </c>
      <c r="R447" s="597">
        <f t="shared" si="116"/>
        <v>0</v>
      </c>
      <c r="S447" s="250">
        <f t="shared" si="117"/>
        <v>0</v>
      </c>
      <c r="T447" s="901">
        <f t="shared" si="118"/>
        <v>0</v>
      </c>
      <c r="U447" s="2988">
        <f t="shared" si="112"/>
        <v>0</v>
      </c>
      <c r="V447" s="2988">
        <f t="shared" si="113"/>
        <v>0</v>
      </c>
      <c r="W447" s="998"/>
      <c r="X447" s="2988">
        <f t="shared" si="114"/>
        <v>0</v>
      </c>
      <c r="Y447" s="2988">
        <f t="shared" si="115"/>
        <v>0</v>
      </c>
      <c r="Z447" s="998"/>
    </row>
    <row r="448" spans="1:26">
      <c r="A448" s="35"/>
      <c r="B448" s="20"/>
      <c r="C448" s="13">
        <f t="shared" si="104"/>
        <v>1</v>
      </c>
      <c r="D448" s="601"/>
      <c r="E448" s="13">
        <f t="shared" si="105"/>
        <v>1</v>
      </c>
      <c r="F448" s="601"/>
      <c r="G448" s="13">
        <f t="shared" si="106"/>
        <v>1</v>
      </c>
      <c r="H448" s="601"/>
      <c r="I448" s="13">
        <f t="shared" si="107"/>
        <v>1</v>
      </c>
      <c r="J448" s="601"/>
      <c r="K448" s="13">
        <f t="shared" si="108"/>
        <v>1</v>
      </c>
      <c r="L448" s="601"/>
      <c r="M448" s="13">
        <f t="shared" si="109"/>
        <v>1</v>
      </c>
      <c r="N448" s="601"/>
      <c r="O448" s="13">
        <f t="shared" si="110"/>
        <v>1</v>
      </c>
      <c r="P448" s="601"/>
      <c r="Q448" s="13">
        <f t="shared" si="111"/>
        <v>1</v>
      </c>
      <c r="R448" s="597">
        <f t="shared" si="116"/>
        <v>0</v>
      </c>
      <c r="S448" s="250">
        <f t="shared" si="117"/>
        <v>0</v>
      </c>
      <c r="T448" s="901">
        <f t="shared" si="118"/>
        <v>0</v>
      </c>
      <c r="U448" s="2988">
        <f t="shared" si="112"/>
        <v>0</v>
      </c>
      <c r="V448" s="2988">
        <f t="shared" si="113"/>
        <v>0</v>
      </c>
      <c r="W448" s="998"/>
      <c r="X448" s="2988">
        <f t="shared" si="114"/>
        <v>0</v>
      </c>
      <c r="Y448" s="2988">
        <f t="shared" si="115"/>
        <v>0</v>
      </c>
      <c r="Z448" s="998"/>
    </row>
    <row r="449" spans="1:26">
      <c r="A449" s="35"/>
      <c r="B449" s="20"/>
      <c r="C449" s="13">
        <f t="shared" si="104"/>
        <v>1</v>
      </c>
      <c r="D449" s="601"/>
      <c r="E449" s="13">
        <f t="shared" si="105"/>
        <v>1</v>
      </c>
      <c r="F449" s="601"/>
      <c r="G449" s="13">
        <f t="shared" si="106"/>
        <v>1</v>
      </c>
      <c r="H449" s="601"/>
      <c r="I449" s="13">
        <f t="shared" si="107"/>
        <v>1</v>
      </c>
      <c r="J449" s="601"/>
      <c r="K449" s="13">
        <f t="shared" si="108"/>
        <v>1</v>
      </c>
      <c r="L449" s="601"/>
      <c r="M449" s="13">
        <f t="shared" si="109"/>
        <v>1</v>
      </c>
      <c r="N449" s="601"/>
      <c r="O449" s="13">
        <f t="shared" si="110"/>
        <v>1</v>
      </c>
      <c r="P449" s="601"/>
      <c r="Q449" s="13">
        <f t="shared" si="111"/>
        <v>1</v>
      </c>
      <c r="R449" s="597">
        <f t="shared" si="116"/>
        <v>0</v>
      </c>
      <c r="S449" s="250">
        <f t="shared" si="117"/>
        <v>0</v>
      </c>
      <c r="T449" s="901">
        <f t="shared" si="118"/>
        <v>0</v>
      </c>
      <c r="U449" s="2988">
        <f t="shared" si="112"/>
        <v>0</v>
      </c>
      <c r="V449" s="2988">
        <f t="shared" si="113"/>
        <v>0</v>
      </c>
      <c r="W449" s="998"/>
      <c r="X449" s="2988">
        <f t="shared" si="114"/>
        <v>0</v>
      </c>
      <c r="Y449" s="2988">
        <f t="shared" si="115"/>
        <v>0</v>
      </c>
      <c r="Z449" s="998"/>
    </row>
    <row r="450" spans="1:26">
      <c r="A450" s="35"/>
      <c r="B450" s="20"/>
      <c r="C450" s="13">
        <f t="shared" si="104"/>
        <v>1</v>
      </c>
      <c r="D450" s="601"/>
      <c r="E450" s="13">
        <f t="shared" si="105"/>
        <v>1</v>
      </c>
      <c r="F450" s="601"/>
      <c r="G450" s="13">
        <f t="shared" si="106"/>
        <v>1</v>
      </c>
      <c r="H450" s="601"/>
      <c r="I450" s="13">
        <f t="shared" si="107"/>
        <v>1</v>
      </c>
      <c r="J450" s="601"/>
      <c r="K450" s="13">
        <f t="shared" si="108"/>
        <v>1</v>
      </c>
      <c r="L450" s="601"/>
      <c r="M450" s="13">
        <f t="shared" si="109"/>
        <v>1</v>
      </c>
      <c r="N450" s="601"/>
      <c r="O450" s="13">
        <f t="shared" si="110"/>
        <v>1</v>
      </c>
      <c r="P450" s="601"/>
      <c r="Q450" s="13">
        <f t="shared" si="111"/>
        <v>1</v>
      </c>
      <c r="R450" s="597">
        <f t="shared" si="116"/>
        <v>0</v>
      </c>
      <c r="S450" s="250">
        <f t="shared" si="117"/>
        <v>0</v>
      </c>
      <c r="T450" s="901">
        <f t="shared" si="118"/>
        <v>0</v>
      </c>
      <c r="U450" s="2988">
        <f t="shared" si="112"/>
        <v>0</v>
      </c>
      <c r="V450" s="2988">
        <f t="shared" si="113"/>
        <v>0</v>
      </c>
      <c r="W450" s="998"/>
      <c r="X450" s="2988">
        <f t="shared" si="114"/>
        <v>0</v>
      </c>
      <c r="Y450" s="2988">
        <f t="shared" si="115"/>
        <v>0</v>
      </c>
      <c r="Z450" s="998"/>
    </row>
    <row r="451" spans="1:26">
      <c r="A451" s="35"/>
      <c r="B451" s="20"/>
      <c r="C451" s="13">
        <f t="shared" si="104"/>
        <v>1</v>
      </c>
      <c r="D451" s="601"/>
      <c r="E451" s="13">
        <f t="shared" si="105"/>
        <v>1</v>
      </c>
      <c r="F451" s="601"/>
      <c r="G451" s="13">
        <f t="shared" si="106"/>
        <v>1</v>
      </c>
      <c r="H451" s="601"/>
      <c r="I451" s="13">
        <f t="shared" si="107"/>
        <v>1</v>
      </c>
      <c r="J451" s="601"/>
      <c r="K451" s="13">
        <f t="shared" si="108"/>
        <v>1</v>
      </c>
      <c r="L451" s="601"/>
      <c r="M451" s="13">
        <f t="shared" si="109"/>
        <v>1</v>
      </c>
      <c r="N451" s="601"/>
      <c r="O451" s="13">
        <f t="shared" si="110"/>
        <v>1</v>
      </c>
      <c r="P451" s="601"/>
      <c r="Q451" s="13">
        <f t="shared" si="111"/>
        <v>1</v>
      </c>
      <c r="R451" s="597">
        <f t="shared" si="116"/>
        <v>0</v>
      </c>
      <c r="S451" s="250">
        <f t="shared" si="117"/>
        <v>0</v>
      </c>
      <c r="T451" s="901">
        <f t="shared" si="118"/>
        <v>0</v>
      </c>
      <c r="U451" s="2988">
        <f t="shared" si="112"/>
        <v>0</v>
      </c>
      <c r="V451" s="2988">
        <f t="shared" si="113"/>
        <v>0</v>
      </c>
      <c r="W451" s="998"/>
      <c r="X451" s="2988">
        <f t="shared" si="114"/>
        <v>0</v>
      </c>
      <c r="Y451" s="2988">
        <f t="shared" si="115"/>
        <v>0</v>
      </c>
      <c r="Z451" s="998"/>
    </row>
    <row r="452" spans="1:26">
      <c r="A452" s="35"/>
      <c r="B452" s="20"/>
      <c r="C452" s="13">
        <f t="shared" si="104"/>
        <v>1</v>
      </c>
      <c r="D452" s="601"/>
      <c r="E452" s="13">
        <f t="shared" si="105"/>
        <v>1</v>
      </c>
      <c r="F452" s="601"/>
      <c r="G452" s="13">
        <f t="shared" si="106"/>
        <v>1</v>
      </c>
      <c r="H452" s="601"/>
      <c r="I452" s="13">
        <f t="shared" si="107"/>
        <v>1</v>
      </c>
      <c r="J452" s="601"/>
      <c r="K452" s="13">
        <f t="shared" si="108"/>
        <v>1</v>
      </c>
      <c r="L452" s="601"/>
      <c r="M452" s="13">
        <f t="shared" si="109"/>
        <v>1</v>
      </c>
      <c r="N452" s="601"/>
      <c r="O452" s="13">
        <f t="shared" si="110"/>
        <v>1</v>
      </c>
      <c r="P452" s="601"/>
      <c r="Q452" s="13">
        <f t="shared" si="111"/>
        <v>1</v>
      </c>
      <c r="R452" s="597">
        <f t="shared" si="116"/>
        <v>0</v>
      </c>
      <c r="S452" s="250">
        <f t="shared" si="117"/>
        <v>0</v>
      </c>
      <c r="T452" s="901">
        <f t="shared" si="118"/>
        <v>0</v>
      </c>
      <c r="U452" s="2988">
        <f t="shared" si="112"/>
        <v>0</v>
      </c>
      <c r="V452" s="2988">
        <f t="shared" si="113"/>
        <v>0</v>
      </c>
      <c r="W452" s="998"/>
      <c r="X452" s="2988">
        <f t="shared" si="114"/>
        <v>0</v>
      </c>
      <c r="Y452" s="2988">
        <f t="shared" si="115"/>
        <v>0</v>
      </c>
      <c r="Z452" s="998"/>
    </row>
    <row r="453" spans="1:26">
      <c r="A453" s="35"/>
      <c r="B453" s="20"/>
      <c r="C453" s="13">
        <f t="shared" si="104"/>
        <v>1</v>
      </c>
      <c r="D453" s="601"/>
      <c r="E453" s="13">
        <f t="shared" si="105"/>
        <v>1</v>
      </c>
      <c r="F453" s="601"/>
      <c r="G453" s="13">
        <f t="shared" si="106"/>
        <v>1</v>
      </c>
      <c r="H453" s="601"/>
      <c r="I453" s="13">
        <f t="shared" si="107"/>
        <v>1</v>
      </c>
      <c r="J453" s="601"/>
      <c r="K453" s="13">
        <f t="shared" si="108"/>
        <v>1</v>
      </c>
      <c r="L453" s="601"/>
      <c r="M453" s="13">
        <f t="shared" si="109"/>
        <v>1</v>
      </c>
      <c r="N453" s="601"/>
      <c r="O453" s="13">
        <f t="shared" si="110"/>
        <v>1</v>
      </c>
      <c r="P453" s="601"/>
      <c r="Q453" s="13">
        <f t="shared" si="111"/>
        <v>1</v>
      </c>
      <c r="R453" s="597">
        <f t="shared" si="116"/>
        <v>0</v>
      </c>
      <c r="S453" s="250">
        <f t="shared" si="117"/>
        <v>0</v>
      </c>
      <c r="T453" s="901">
        <f t="shared" si="118"/>
        <v>0</v>
      </c>
      <c r="U453" s="2988">
        <f t="shared" si="112"/>
        <v>0</v>
      </c>
      <c r="V453" s="2988">
        <f t="shared" si="113"/>
        <v>0</v>
      </c>
      <c r="W453" s="998"/>
      <c r="X453" s="2988">
        <f t="shared" si="114"/>
        <v>0</v>
      </c>
      <c r="Y453" s="2988">
        <f t="shared" si="115"/>
        <v>0</v>
      </c>
      <c r="Z453" s="998"/>
    </row>
    <row r="454" spans="1:26">
      <c r="A454" s="35"/>
      <c r="B454" s="20"/>
      <c r="C454" s="13">
        <f t="shared" si="104"/>
        <v>1</v>
      </c>
      <c r="D454" s="601"/>
      <c r="E454" s="13">
        <f t="shared" si="105"/>
        <v>1</v>
      </c>
      <c r="F454" s="601"/>
      <c r="G454" s="13">
        <f t="shared" si="106"/>
        <v>1</v>
      </c>
      <c r="H454" s="601"/>
      <c r="I454" s="13">
        <f t="shared" si="107"/>
        <v>1</v>
      </c>
      <c r="J454" s="601"/>
      <c r="K454" s="13">
        <f t="shared" si="108"/>
        <v>1</v>
      </c>
      <c r="L454" s="601"/>
      <c r="M454" s="13">
        <f t="shared" si="109"/>
        <v>1</v>
      </c>
      <c r="N454" s="601"/>
      <c r="O454" s="13">
        <f t="shared" si="110"/>
        <v>1</v>
      </c>
      <c r="P454" s="601"/>
      <c r="Q454" s="13">
        <f t="shared" si="111"/>
        <v>1</v>
      </c>
      <c r="R454" s="597">
        <f t="shared" si="116"/>
        <v>0</v>
      </c>
      <c r="S454" s="250">
        <f t="shared" si="117"/>
        <v>0</v>
      </c>
      <c r="T454" s="901">
        <f t="shared" si="118"/>
        <v>0</v>
      </c>
      <c r="U454" s="2988">
        <f t="shared" si="112"/>
        <v>0</v>
      </c>
      <c r="V454" s="2988">
        <f t="shared" si="113"/>
        <v>0</v>
      </c>
      <c r="W454" s="998"/>
      <c r="X454" s="2988">
        <f t="shared" si="114"/>
        <v>0</v>
      </c>
      <c r="Y454" s="2988">
        <f t="shared" si="115"/>
        <v>0</v>
      </c>
      <c r="Z454" s="998"/>
    </row>
    <row r="455" spans="1:26">
      <c r="A455" s="35"/>
      <c r="B455" s="20"/>
      <c r="C455" s="13">
        <f t="shared" si="104"/>
        <v>1</v>
      </c>
      <c r="D455" s="601"/>
      <c r="E455" s="13">
        <f t="shared" si="105"/>
        <v>1</v>
      </c>
      <c r="F455" s="601"/>
      <c r="G455" s="13">
        <f t="shared" si="106"/>
        <v>1</v>
      </c>
      <c r="H455" s="601"/>
      <c r="I455" s="13">
        <f t="shared" si="107"/>
        <v>1</v>
      </c>
      <c r="J455" s="601"/>
      <c r="K455" s="13">
        <f t="shared" si="108"/>
        <v>1</v>
      </c>
      <c r="L455" s="601"/>
      <c r="M455" s="13">
        <f t="shared" si="109"/>
        <v>1</v>
      </c>
      <c r="N455" s="601"/>
      <c r="O455" s="13">
        <f t="shared" si="110"/>
        <v>1</v>
      </c>
      <c r="P455" s="601"/>
      <c r="Q455" s="13">
        <f t="shared" si="111"/>
        <v>1</v>
      </c>
      <c r="R455" s="597">
        <f t="shared" si="116"/>
        <v>0</v>
      </c>
      <c r="S455" s="250">
        <f t="shared" si="117"/>
        <v>0</v>
      </c>
      <c r="T455" s="901">
        <f t="shared" si="118"/>
        <v>0</v>
      </c>
      <c r="U455" s="2988">
        <f t="shared" si="112"/>
        <v>0</v>
      </c>
      <c r="V455" s="2988">
        <f t="shared" si="113"/>
        <v>0</v>
      </c>
      <c r="W455" s="998"/>
      <c r="X455" s="2988">
        <f t="shared" si="114"/>
        <v>0</v>
      </c>
      <c r="Y455" s="2988">
        <f t="shared" si="115"/>
        <v>0</v>
      </c>
      <c r="Z455" s="998"/>
    </row>
    <row r="456" spans="1:26">
      <c r="A456" s="35"/>
      <c r="B456" s="20"/>
      <c r="C456" s="13">
        <f t="shared" si="104"/>
        <v>1</v>
      </c>
      <c r="D456" s="601"/>
      <c r="E456" s="13">
        <f t="shared" si="105"/>
        <v>1</v>
      </c>
      <c r="F456" s="601"/>
      <c r="G456" s="13">
        <f t="shared" si="106"/>
        <v>1</v>
      </c>
      <c r="H456" s="601"/>
      <c r="I456" s="13">
        <f t="shared" si="107"/>
        <v>1</v>
      </c>
      <c r="J456" s="601"/>
      <c r="K456" s="13">
        <f t="shared" si="108"/>
        <v>1</v>
      </c>
      <c r="L456" s="601"/>
      <c r="M456" s="13">
        <f t="shared" si="109"/>
        <v>1</v>
      </c>
      <c r="N456" s="601"/>
      <c r="O456" s="13">
        <f t="shared" si="110"/>
        <v>1</v>
      </c>
      <c r="P456" s="601"/>
      <c r="Q456" s="13">
        <f t="shared" si="111"/>
        <v>1</v>
      </c>
      <c r="R456" s="597">
        <f t="shared" si="116"/>
        <v>0</v>
      </c>
      <c r="S456" s="250">
        <f t="shared" si="117"/>
        <v>0</v>
      </c>
      <c r="T456" s="901">
        <f t="shared" si="118"/>
        <v>0</v>
      </c>
      <c r="U456" s="2988">
        <f t="shared" si="112"/>
        <v>0</v>
      </c>
      <c r="V456" s="2988">
        <f t="shared" si="113"/>
        <v>0</v>
      </c>
      <c r="W456" s="998"/>
      <c r="X456" s="2988">
        <f t="shared" si="114"/>
        <v>0</v>
      </c>
      <c r="Y456" s="2988">
        <f t="shared" si="115"/>
        <v>0</v>
      </c>
      <c r="Z456" s="998"/>
    </row>
    <row r="457" spans="1:26">
      <c r="A457" s="35"/>
      <c r="B457" s="20"/>
      <c r="C457" s="13">
        <f t="shared" si="104"/>
        <v>1</v>
      </c>
      <c r="D457" s="601"/>
      <c r="E457" s="13">
        <f t="shared" si="105"/>
        <v>1</v>
      </c>
      <c r="F457" s="601"/>
      <c r="G457" s="13">
        <f t="shared" si="106"/>
        <v>1</v>
      </c>
      <c r="H457" s="601"/>
      <c r="I457" s="13">
        <f t="shared" si="107"/>
        <v>1</v>
      </c>
      <c r="J457" s="601"/>
      <c r="K457" s="13">
        <f t="shared" si="108"/>
        <v>1</v>
      </c>
      <c r="L457" s="601"/>
      <c r="M457" s="13">
        <f t="shared" si="109"/>
        <v>1</v>
      </c>
      <c r="N457" s="601"/>
      <c r="O457" s="13">
        <f t="shared" si="110"/>
        <v>1</v>
      </c>
      <c r="P457" s="601"/>
      <c r="Q457" s="13">
        <f t="shared" si="111"/>
        <v>1</v>
      </c>
      <c r="R457" s="597">
        <f t="shared" si="116"/>
        <v>0</v>
      </c>
      <c r="S457" s="250">
        <f t="shared" si="117"/>
        <v>0</v>
      </c>
      <c r="T457" s="901">
        <f t="shared" si="118"/>
        <v>0</v>
      </c>
      <c r="U457" s="2988">
        <f t="shared" si="112"/>
        <v>0</v>
      </c>
      <c r="V457" s="2988">
        <f t="shared" si="113"/>
        <v>0</v>
      </c>
      <c r="W457" s="998"/>
      <c r="X457" s="2988">
        <f t="shared" si="114"/>
        <v>0</v>
      </c>
      <c r="Y457" s="2988">
        <f t="shared" si="115"/>
        <v>0</v>
      </c>
      <c r="Z457" s="998"/>
    </row>
    <row r="458" spans="1:26">
      <c r="A458" s="35"/>
      <c r="B458" s="20"/>
      <c r="C458" s="13">
        <f t="shared" si="104"/>
        <v>1</v>
      </c>
      <c r="D458" s="601"/>
      <c r="E458" s="13">
        <f t="shared" si="105"/>
        <v>1</v>
      </c>
      <c r="F458" s="601"/>
      <c r="G458" s="13">
        <f t="shared" si="106"/>
        <v>1</v>
      </c>
      <c r="H458" s="601"/>
      <c r="I458" s="13">
        <f t="shared" si="107"/>
        <v>1</v>
      </c>
      <c r="J458" s="601"/>
      <c r="K458" s="13">
        <f t="shared" si="108"/>
        <v>1</v>
      </c>
      <c r="L458" s="601"/>
      <c r="M458" s="13">
        <f t="shared" si="109"/>
        <v>1</v>
      </c>
      <c r="N458" s="601"/>
      <c r="O458" s="13">
        <f t="shared" si="110"/>
        <v>1</v>
      </c>
      <c r="P458" s="601"/>
      <c r="Q458" s="13">
        <f t="shared" si="111"/>
        <v>1</v>
      </c>
      <c r="R458" s="597">
        <f t="shared" si="116"/>
        <v>0</v>
      </c>
      <c r="S458" s="250">
        <f t="shared" si="117"/>
        <v>0</v>
      </c>
      <c r="T458" s="901">
        <f t="shared" si="118"/>
        <v>0</v>
      </c>
      <c r="U458" s="2988">
        <f t="shared" si="112"/>
        <v>0</v>
      </c>
      <c r="V458" s="2988">
        <f t="shared" si="113"/>
        <v>0</v>
      </c>
      <c r="W458" s="998"/>
      <c r="X458" s="2988">
        <f t="shared" si="114"/>
        <v>0</v>
      </c>
      <c r="Y458" s="2988">
        <f t="shared" si="115"/>
        <v>0</v>
      </c>
      <c r="Z458" s="998"/>
    </row>
    <row r="459" spans="1:26">
      <c r="A459" s="35"/>
      <c r="B459" s="20"/>
      <c r="C459" s="13">
        <f t="shared" si="104"/>
        <v>1</v>
      </c>
      <c r="D459" s="601"/>
      <c r="E459" s="13">
        <f t="shared" si="105"/>
        <v>1</v>
      </c>
      <c r="F459" s="601"/>
      <c r="G459" s="13">
        <f t="shared" si="106"/>
        <v>1</v>
      </c>
      <c r="H459" s="601"/>
      <c r="I459" s="13">
        <f t="shared" si="107"/>
        <v>1</v>
      </c>
      <c r="J459" s="601"/>
      <c r="K459" s="13">
        <f t="shared" si="108"/>
        <v>1</v>
      </c>
      <c r="L459" s="601"/>
      <c r="M459" s="13">
        <f t="shared" si="109"/>
        <v>1</v>
      </c>
      <c r="N459" s="601"/>
      <c r="O459" s="13">
        <f t="shared" si="110"/>
        <v>1</v>
      </c>
      <c r="P459" s="601"/>
      <c r="Q459" s="13">
        <f t="shared" si="111"/>
        <v>1</v>
      </c>
      <c r="R459" s="597">
        <f t="shared" si="116"/>
        <v>0</v>
      </c>
      <c r="S459" s="250">
        <f t="shared" si="117"/>
        <v>0</v>
      </c>
      <c r="T459" s="901">
        <f t="shared" si="118"/>
        <v>0</v>
      </c>
      <c r="U459" s="2988">
        <f t="shared" si="112"/>
        <v>0</v>
      </c>
      <c r="V459" s="2988">
        <f t="shared" si="113"/>
        <v>0</v>
      </c>
      <c r="W459" s="998"/>
      <c r="X459" s="2988">
        <f t="shared" si="114"/>
        <v>0</v>
      </c>
      <c r="Y459" s="2988">
        <f t="shared" si="115"/>
        <v>0</v>
      </c>
      <c r="Z459" s="998"/>
    </row>
    <row r="460" spans="1:26">
      <c r="A460" s="35"/>
      <c r="B460" s="20"/>
      <c r="C460" s="13">
        <f t="shared" si="104"/>
        <v>1</v>
      </c>
      <c r="D460" s="601"/>
      <c r="E460" s="13">
        <f t="shared" si="105"/>
        <v>1</v>
      </c>
      <c r="F460" s="601"/>
      <c r="G460" s="13">
        <f t="shared" si="106"/>
        <v>1</v>
      </c>
      <c r="H460" s="601"/>
      <c r="I460" s="13">
        <f t="shared" si="107"/>
        <v>1</v>
      </c>
      <c r="J460" s="601"/>
      <c r="K460" s="13">
        <f t="shared" si="108"/>
        <v>1</v>
      </c>
      <c r="L460" s="601"/>
      <c r="M460" s="13">
        <f t="shared" si="109"/>
        <v>1</v>
      </c>
      <c r="N460" s="601"/>
      <c r="O460" s="13">
        <f t="shared" si="110"/>
        <v>1</v>
      </c>
      <c r="P460" s="601"/>
      <c r="Q460" s="13">
        <f t="shared" si="111"/>
        <v>1</v>
      </c>
      <c r="R460" s="597">
        <f t="shared" si="116"/>
        <v>0</v>
      </c>
      <c r="S460" s="250">
        <f t="shared" si="117"/>
        <v>0</v>
      </c>
      <c r="T460" s="901">
        <f t="shared" si="118"/>
        <v>0</v>
      </c>
      <c r="U460" s="2988">
        <f t="shared" si="112"/>
        <v>0</v>
      </c>
      <c r="V460" s="2988">
        <f t="shared" si="113"/>
        <v>0</v>
      </c>
      <c r="W460" s="998"/>
      <c r="X460" s="2988">
        <f t="shared" si="114"/>
        <v>0</v>
      </c>
      <c r="Y460" s="2988">
        <f t="shared" si="115"/>
        <v>0</v>
      </c>
      <c r="Z460" s="998"/>
    </row>
    <row r="461" spans="1:26">
      <c r="A461" s="35"/>
      <c r="B461" s="20"/>
      <c r="C461" s="13">
        <f t="shared" si="104"/>
        <v>1</v>
      </c>
      <c r="D461" s="601"/>
      <c r="E461" s="13">
        <f t="shared" si="105"/>
        <v>1</v>
      </c>
      <c r="F461" s="601"/>
      <c r="G461" s="13">
        <f t="shared" si="106"/>
        <v>1</v>
      </c>
      <c r="H461" s="601"/>
      <c r="I461" s="13">
        <f t="shared" si="107"/>
        <v>1</v>
      </c>
      <c r="J461" s="601"/>
      <c r="K461" s="13">
        <f t="shared" si="108"/>
        <v>1</v>
      </c>
      <c r="L461" s="601"/>
      <c r="M461" s="13">
        <f t="shared" si="109"/>
        <v>1</v>
      </c>
      <c r="N461" s="601"/>
      <c r="O461" s="13">
        <f t="shared" si="110"/>
        <v>1</v>
      </c>
      <c r="P461" s="601"/>
      <c r="Q461" s="13">
        <f t="shared" si="111"/>
        <v>1</v>
      </c>
      <c r="R461" s="597">
        <f t="shared" si="116"/>
        <v>0</v>
      </c>
      <c r="S461" s="250">
        <f t="shared" si="117"/>
        <v>0</v>
      </c>
      <c r="T461" s="901">
        <f t="shared" si="118"/>
        <v>0</v>
      </c>
      <c r="U461" s="2988">
        <f t="shared" si="112"/>
        <v>0</v>
      </c>
      <c r="V461" s="2988">
        <f t="shared" si="113"/>
        <v>0</v>
      </c>
      <c r="W461" s="998"/>
      <c r="X461" s="2988">
        <f t="shared" si="114"/>
        <v>0</v>
      </c>
      <c r="Y461" s="2988">
        <f t="shared" si="115"/>
        <v>0</v>
      </c>
      <c r="Z461" s="998"/>
    </row>
    <row r="462" spans="1:26">
      <c r="A462" s="35"/>
      <c r="B462" s="20"/>
      <c r="C462" s="13">
        <f t="shared" si="104"/>
        <v>1</v>
      </c>
      <c r="D462" s="601"/>
      <c r="E462" s="13">
        <f t="shared" si="105"/>
        <v>1</v>
      </c>
      <c r="F462" s="601"/>
      <c r="G462" s="13">
        <f t="shared" si="106"/>
        <v>1</v>
      </c>
      <c r="H462" s="601"/>
      <c r="I462" s="13">
        <f t="shared" si="107"/>
        <v>1</v>
      </c>
      <c r="J462" s="601"/>
      <c r="K462" s="13">
        <f t="shared" si="108"/>
        <v>1</v>
      </c>
      <c r="L462" s="601"/>
      <c r="M462" s="13">
        <f t="shared" si="109"/>
        <v>1</v>
      </c>
      <c r="N462" s="601"/>
      <c r="O462" s="13">
        <f t="shared" si="110"/>
        <v>1</v>
      </c>
      <c r="P462" s="601"/>
      <c r="Q462" s="13">
        <f t="shared" si="111"/>
        <v>1</v>
      </c>
      <c r="R462" s="597">
        <f t="shared" si="116"/>
        <v>0</v>
      </c>
      <c r="S462" s="250">
        <f t="shared" si="117"/>
        <v>0</v>
      </c>
      <c r="T462" s="901">
        <f t="shared" si="118"/>
        <v>0</v>
      </c>
      <c r="U462" s="2988">
        <f t="shared" si="112"/>
        <v>0</v>
      </c>
      <c r="V462" s="2988">
        <f t="shared" si="113"/>
        <v>0</v>
      </c>
      <c r="W462" s="998"/>
      <c r="X462" s="2988">
        <f t="shared" si="114"/>
        <v>0</v>
      </c>
      <c r="Y462" s="2988">
        <f t="shared" si="115"/>
        <v>0</v>
      </c>
      <c r="Z462" s="998"/>
    </row>
    <row r="463" spans="1:26">
      <c r="A463" s="35"/>
      <c r="B463" s="20"/>
      <c r="C463" s="13">
        <f t="shared" si="104"/>
        <v>1</v>
      </c>
      <c r="D463" s="601"/>
      <c r="E463" s="13">
        <f t="shared" si="105"/>
        <v>1</v>
      </c>
      <c r="F463" s="601"/>
      <c r="G463" s="13">
        <f t="shared" si="106"/>
        <v>1</v>
      </c>
      <c r="H463" s="601"/>
      <c r="I463" s="13">
        <f t="shared" si="107"/>
        <v>1</v>
      </c>
      <c r="J463" s="601"/>
      <c r="K463" s="13">
        <f t="shared" si="108"/>
        <v>1</v>
      </c>
      <c r="L463" s="601"/>
      <c r="M463" s="13">
        <f t="shared" si="109"/>
        <v>1</v>
      </c>
      <c r="N463" s="601"/>
      <c r="O463" s="13">
        <f t="shared" si="110"/>
        <v>1</v>
      </c>
      <c r="P463" s="601"/>
      <c r="Q463" s="13">
        <f t="shared" si="111"/>
        <v>1</v>
      </c>
      <c r="R463" s="597">
        <f t="shared" si="116"/>
        <v>0</v>
      </c>
      <c r="S463" s="250">
        <f t="shared" si="117"/>
        <v>0</v>
      </c>
      <c r="T463" s="901">
        <f t="shared" si="118"/>
        <v>0</v>
      </c>
      <c r="U463" s="2988">
        <f t="shared" si="112"/>
        <v>0</v>
      </c>
      <c r="V463" s="2988">
        <f t="shared" si="113"/>
        <v>0</v>
      </c>
      <c r="W463" s="998"/>
      <c r="X463" s="2988">
        <f t="shared" si="114"/>
        <v>0</v>
      </c>
      <c r="Y463" s="2988">
        <f t="shared" si="115"/>
        <v>0</v>
      </c>
      <c r="Z463" s="998"/>
    </row>
    <row r="464" spans="1:26">
      <c r="A464" s="35"/>
      <c r="B464" s="20"/>
      <c r="C464" s="13">
        <f t="shared" si="104"/>
        <v>1</v>
      </c>
      <c r="D464" s="601"/>
      <c r="E464" s="13">
        <f t="shared" si="105"/>
        <v>1</v>
      </c>
      <c r="F464" s="601"/>
      <c r="G464" s="13">
        <f t="shared" si="106"/>
        <v>1</v>
      </c>
      <c r="H464" s="601"/>
      <c r="I464" s="13">
        <f t="shared" si="107"/>
        <v>1</v>
      </c>
      <c r="J464" s="601"/>
      <c r="K464" s="13">
        <f t="shared" si="108"/>
        <v>1</v>
      </c>
      <c r="L464" s="601"/>
      <c r="M464" s="13">
        <f t="shared" si="109"/>
        <v>1</v>
      </c>
      <c r="N464" s="601"/>
      <c r="O464" s="13">
        <f t="shared" si="110"/>
        <v>1</v>
      </c>
      <c r="P464" s="601"/>
      <c r="Q464" s="13">
        <f t="shared" si="111"/>
        <v>1</v>
      </c>
      <c r="R464" s="597">
        <f t="shared" si="116"/>
        <v>0</v>
      </c>
      <c r="S464" s="250">
        <f t="shared" si="117"/>
        <v>0</v>
      </c>
      <c r="T464" s="901">
        <f t="shared" si="118"/>
        <v>0</v>
      </c>
      <c r="U464" s="2988">
        <f t="shared" si="112"/>
        <v>0</v>
      </c>
      <c r="V464" s="2988">
        <f t="shared" si="113"/>
        <v>0</v>
      </c>
      <c r="W464" s="998"/>
      <c r="X464" s="2988">
        <f t="shared" si="114"/>
        <v>0</v>
      </c>
      <c r="Y464" s="2988">
        <f t="shared" si="115"/>
        <v>0</v>
      </c>
      <c r="Z464" s="998"/>
    </row>
    <row r="465" spans="1:26">
      <c r="A465" s="35"/>
      <c r="B465" s="20"/>
      <c r="C465" s="13">
        <f t="shared" si="104"/>
        <v>1</v>
      </c>
      <c r="D465" s="601"/>
      <c r="E465" s="13">
        <f t="shared" si="105"/>
        <v>1</v>
      </c>
      <c r="F465" s="601"/>
      <c r="G465" s="13">
        <f t="shared" si="106"/>
        <v>1</v>
      </c>
      <c r="H465" s="601"/>
      <c r="I465" s="13">
        <f t="shared" si="107"/>
        <v>1</v>
      </c>
      <c r="J465" s="601"/>
      <c r="K465" s="13">
        <f t="shared" si="108"/>
        <v>1</v>
      </c>
      <c r="L465" s="601"/>
      <c r="M465" s="13">
        <f t="shared" si="109"/>
        <v>1</v>
      </c>
      <c r="N465" s="601"/>
      <c r="O465" s="13">
        <f t="shared" si="110"/>
        <v>1</v>
      </c>
      <c r="P465" s="601"/>
      <c r="Q465" s="13">
        <f t="shared" si="111"/>
        <v>1</v>
      </c>
      <c r="R465" s="597">
        <f t="shared" si="116"/>
        <v>0</v>
      </c>
      <c r="S465" s="250">
        <f t="shared" si="117"/>
        <v>0</v>
      </c>
      <c r="T465" s="901">
        <f t="shared" si="118"/>
        <v>0</v>
      </c>
      <c r="U465" s="2988">
        <f t="shared" si="112"/>
        <v>0</v>
      </c>
      <c r="V465" s="2988">
        <f t="shared" si="113"/>
        <v>0</v>
      </c>
      <c r="W465" s="998"/>
      <c r="X465" s="2988">
        <f t="shared" si="114"/>
        <v>0</v>
      </c>
      <c r="Y465" s="2988">
        <f t="shared" si="115"/>
        <v>0</v>
      </c>
      <c r="Z465" s="998"/>
    </row>
    <row r="466" spans="1:26">
      <c r="A466" s="35"/>
      <c r="B466" s="20"/>
      <c r="C466" s="13">
        <f t="shared" si="104"/>
        <v>1</v>
      </c>
      <c r="D466" s="601"/>
      <c r="E466" s="13">
        <f t="shared" si="105"/>
        <v>1</v>
      </c>
      <c r="F466" s="601"/>
      <c r="G466" s="13">
        <f t="shared" si="106"/>
        <v>1</v>
      </c>
      <c r="H466" s="601"/>
      <c r="I466" s="13">
        <f t="shared" si="107"/>
        <v>1</v>
      </c>
      <c r="J466" s="601"/>
      <c r="K466" s="13">
        <f t="shared" si="108"/>
        <v>1</v>
      </c>
      <c r="L466" s="601"/>
      <c r="M466" s="13">
        <f t="shared" si="109"/>
        <v>1</v>
      </c>
      <c r="N466" s="601"/>
      <c r="O466" s="13">
        <f t="shared" si="110"/>
        <v>1</v>
      </c>
      <c r="P466" s="601"/>
      <c r="Q466" s="13">
        <f t="shared" si="111"/>
        <v>1</v>
      </c>
      <c r="R466" s="597">
        <f t="shared" si="116"/>
        <v>0</v>
      </c>
      <c r="S466" s="250">
        <f t="shared" si="117"/>
        <v>0</v>
      </c>
      <c r="T466" s="901">
        <f t="shared" si="118"/>
        <v>0</v>
      </c>
      <c r="U466" s="2988">
        <f t="shared" si="112"/>
        <v>0</v>
      </c>
      <c r="V466" s="2988">
        <f t="shared" si="113"/>
        <v>0</v>
      </c>
      <c r="W466" s="998"/>
      <c r="X466" s="2988">
        <f t="shared" si="114"/>
        <v>0</v>
      </c>
      <c r="Y466" s="2988">
        <f t="shared" si="115"/>
        <v>0</v>
      </c>
      <c r="Z466" s="998"/>
    </row>
    <row r="467" spans="1:26">
      <c r="A467" s="35"/>
      <c r="B467" s="20"/>
      <c r="C467" s="13">
        <f t="shared" si="104"/>
        <v>1</v>
      </c>
      <c r="D467" s="601"/>
      <c r="E467" s="13">
        <f t="shared" si="105"/>
        <v>1</v>
      </c>
      <c r="F467" s="601"/>
      <c r="G467" s="13">
        <f t="shared" si="106"/>
        <v>1</v>
      </c>
      <c r="H467" s="601"/>
      <c r="I467" s="13">
        <f t="shared" si="107"/>
        <v>1</v>
      </c>
      <c r="J467" s="601"/>
      <c r="K467" s="13">
        <f t="shared" si="108"/>
        <v>1</v>
      </c>
      <c r="L467" s="601"/>
      <c r="M467" s="13">
        <f t="shared" si="109"/>
        <v>1</v>
      </c>
      <c r="N467" s="601"/>
      <c r="O467" s="13">
        <f t="shared" si="110"/>
        <v>1</v>
      </c>
      <c r="P467" s="601"/>
      <c r="Q467" s="13">
        <f t="shared" si="111"/>
        <v>1</v>
      </c>
      <c r="R467" s="597">
        <f t="shared" si="116"/>
        <v>0</v>
      </c>
      <c r="S467" s="250">
        <f t="shared" si="117"/>
        <v>0</v>
      </c>
      <c r="T467" s="901">
        <f t="shared" si="118"/>
        <v>0</v>
      </c>
      <c r="U467" s="2988">
        <f t="shared" si="112"/>
        <v>0</v>
      </c>
      <c r="V467" s="2988">
        <f t="shared" si="113"/>
        <v>0</v>
      </c>
      <c r="W467" s="998"/>
      <c r="X467" s="2988">
        <f t="shared" si="114"/>
        <v>0</v>
      </c>
      <c r="Y467" s="2988">
        <f t="shared" si="115"/>
        <v>0</v>
      </c>
      <c r="Z467" s="998"/>
    </row>
    <row r="468" spans="1:26">
      <c r="A468" s="35"/>
      <c r="B468" s="20"/>
      <c r="C468" s="13">
        <f t="shared" si="104"/>
        <v>1</v>
      </c>
      <c r="D468" s="601"/>
      <c r="E468" s="13">
        <f t="shared" si="105"/>
        <v>1</v>
      </c>
      <c r="F468" s="601"/>
      <c r="G468" s="13">
        <f t="shared" si="106"/>
        <v>1</v>
      </c>
      <c r="H468" s="601"/>
      <c r="I468" s="13">
        <f t="shared" si="107"/>
        <v>1</v>
      </c>
      <c r="J468" s="601"/>
      <c r="K468" s="13">
        <f t="shared" si="108"/>
        <v>1</v>
      </c>
      <c r="L468" s="601"/>
      <c r="M468" s="13">
        <f t="shared" si="109"/>
        <v>1</v>
      </c>
      <c r="N468" s="601"/>
      <c r="O468" s="13">
        <f t="shared" si="110"/>
        <v>1</v>
      </c>
      <c r="P468" s="601"/>
      <c r="Q468" s="13">
        <f t="shared" si="111"/>
        <v>1</v>
      </c>
      <c r="R468" s="597">
        <f t="shared" si="116"/>
        <v>0</v>
      </c>
      <c r="S468" s="250">
        <f t="shared" si="117"/>
        <v>0</v>
      </c>
      <c r="T468" s="901">
        <f t="shared" si="118"/>
        <v>0</v>
      </c>
      <c r="U468" s="2988">
        <f t="shared" si="112"/>
        <v>0</v>
      </c>
      <c r="V468" s="2988">
        <f t="shared" si="113"/>
        <v>0</v>
      </c>
      <c r="W468" s="998"/>
      <c r="X468" s="2988">
        <f t="shared" si="114"/>
        <v>0</v>
      </c>
      <c r="Y468" s="2988">
        <f t="shared" si="115"/>
        <v>0</v>
      </c>
      <c r="Z468" s="998"/>
    </row>
    <row r="469" spans="1:26">
      <c r="A469" s="35"/>
      <c r="B469" s="20"/>
      <c r="C469" s="13">
        <f t="shared" si="104"/>
        <v>1</v>
      </c>
      <c r="D469" s="601"/>
      <c r="E469" s="13">
        <f t="shared" si="105"/>
        <v>1</v>
      </c>
      <c r="F469" s="601"/>
      <c r="G469" s="13">
        <f t="shared" si="106"/>
        <v>1</v>
      </c>
      <c r="H469" s="601"/>
      <c r="I469" s="13">
        <f t="shared" si="107"/>
        <v>1</v>
      </c>
      <c r="J469" s="601"/>
      <c r="K469" s="13">
        <f t="shared" si="108"/>
        <v>1</v>
      </c>
      <c r="L469" s="601"/>
      <c r="M469" s="13">
        <f t="shared" si="109"/>
        <v>1</v>
      </c>
      <c r="N469" s="601"/>
      <c r="O469" s="13">
        <f t="shared" si="110"/>
        <v>1</v>
      </c>
      <c r="P469" s="601"/>
      <c r="Q469" s="13">
        <f t="shared" si="111"/>
        <v>1</v>
      </c>
      <c r="R469" s="597">
        <f t="shared" si="116"/>
        <v>0</v>
      </c>
      <c r="S469" s="250">
        <f t="shared" si="117"/>
        <v>0</v>
      </c>
      <c r="T469" s="901">
        <f t="shared" si="118"/>
        <v>0</v>
      </c>
      <c r="U469" s="2988">
        <f t="shared" si="112"/>
        <v>0</v>
      </c>
      <c r="V469" s="2988">
        <f t="shared" si="113"/>
        <v>0</v>
      </c>
      <c r="W469" s="998"/>
      <c r="X469" s="2988">
        <f t="shared" si="114"/>
        <v>0</v>
      </c>
      <c r="Y469" s="2988">
        <f t="shared" si="115"/>
        <v>0</v>
      </c>
      <c r="Z469" s="998"/>
    </row>
    <row r="470" spans="1:26">
      <c r="A470" s="35"/>
      <c r="B470" s="20"/>
      <c r="C470" s="13">
        <f t="shared" si="104"/>
        <v>1</v>
      </c>
      <c r="D470" s="601"/>
      <c r="E470" s="13">
        <f t="shared" si="105"/>
        <v>1</v>
      </c>
      <c r="F470" s="601"/>
      <c r="G470" s="13">
        <f t="shared" si="106"/>
        <v>1</v>
      </c>
      <c r="H470" s="601"/>
      <c r="I470" s="13">
        <f t="shared" si="107"/>
        <v>1</v>
      </c>
      <c r="J470" s="601"/>
      <c r="K470" s="13">
        <f t="shared" si="108"/>
        <v>1</v>
      </c>
      <c r="L470" s="601"/>
      <c r="M470" s="13">
        <f t="shared" si="109"/>
        <v>1</v>
      </c>
      <c r="N470" s="601"/>
      <c r="O470" s="13">
        <f t="shared" si="110"/>
        <v>1</v>
      </c>
      <c r="P470" s="601"/>
      <c r="Q470" s="13">
        <f t="shared" si="111"/>
        <v>1</v>
      </c>
      <c r="R470" s="597">
        <f t="shared" si="116"/>
        <v>0</v>
      </c>
      <c r="S470" s="250">
        <f t="shared" si="117"/>
        <v>0</v>
      </c>
      <c r="T470" s="901">
        <f t="shared" si="118"/>
        <v>0</v>
      </c>
      <c r="U470" s="2988">
        <f t="shared" si="112"/>
        <v>0</v>
      </c>
      <c r="V470" s="2988">
        <f t="shared" si="113"/>
        <v>0</v>
      </c>
      <c r="W470" s="998"/>
      <c r="X470" s="2988">
        <f t="shared" si="114"/>
        <v>0</v>
      </c>
      <c r="Y470" s="2988">
        <f t="shared" si="115"/>
        <v>0</v>
      </c>
      <c r="Z470" s="998"/>
    </row>
    <row r="471" spans="1:26">
      <c r="A471" s="35"/>
      <c r="B471" s="20"/>
      <c r="C471" s="13">
        <f t="shared" si="104"/>
        <v>1</v>
      </c>
      <c r="D471" s="601"/>
      <c r="E471" s="13">
        <f t="shared" si="105"/>
        <v>1</v>
      </c>
      <c r="F471" s="601"/>
      <c r="G471" s="13">
        <f t="shared" si="106"/>
        <v>1</v>
      </c>
      <c r="H471" s="601"/>
      <c r="I471" s="13">
        <f t="shared" si="107"/>
        <v>1</v>
      </c>
      <c r="J471" s="601"/>
      <c r="K471" s="13">
        <f t="shared" si="108"/>
        <v>1</v>
      </c>
      <c r="L471" s="601"/>
      <c r="M471" s="13">
        <f t="shared" si="109"/>
        <v>1</v>
      </c>
      <c r="N471" s="601"/>
      <c r="O471" s="13">
        <f t="shared" si="110"/>
        <v>1</v>
      </c>
      <c r="P471" s="601"/>
      <c r="Q471" s="13">
        <f t="shared" si="111"/>
        <v>1</v>
      </c>
      <c r="R471" s="597">
        <f t="shared" si="116"/>
        <v>0</v>
      </c>
      <c r="S471" s="250">
        <f t="shared" si="117"/>
        <v>0</v>
      </c>
      <c r="T471" s="901">
        <f t="shared" si="118"/>
        <v>0</v>
      </c>
      <c r="U471" s="2988">
        <f t="shared" si="112"/>
        <v>0</v>
      </c>
      <c r="V471" s="2988">
        <f t="shared" si="113"/>
        <v>0</v>
      </c>
      <c r="W471" s="998"/>
      <c r="X471" s="2988">
        <f t="shared" si="114"/>
        <v>0</v>
      </c>
      <c r="Y471" s="2988">
        <f t="shared" si="115"/>
        <v>0</v>
      </c>
      <c r="Z471" s="998"/>
    </row>
    <row r="472" spans="1:26">
      <c r="A472" s="35"/>
      <c r="B472" s="20"/>
      <c r="C472" s="13">
        <f t="shared" si="104"/>
        <v>1</v>
      </c>
      <c r="D472" s="601"/>
      <c r="E472" s="13">
        <f t="shared" si="105"/>
        <v>1</v>
      </c>
      <c r="F472" s="601"/>
      <c r="G472" s="13">
        <f t="shared" si="106"/>
        <v>1</v>
      </c>
      <c r="H472" s="601"/>
      <c r="I472" s="13">
        <f t="shared" si="107"/>
        <v>1</v>
      </c>
      <c r="J472" s="601"/>
      <c r="K472" s="13">
        <f t="shared" si="108"/>
        <v>1</v>
      </c>
      <c r="L472" s="601"/>
      <c r="M472" s="13">
        <f t="shared" si="109"/>
        <v>1</v>
      </c>
      <c r="N472" s="601"/>
      <c r="O472" s="13">
        <f t="shared" si="110"/>
        <v>1</v>
      </c>
      <c r="P472" s="601"/>
      <c r="Q472" s="13">
        <f t="shared" si="111"/>
        <v>1</v>
      </c>
      <c r="R472" s="597">
        <f t="shared" si="116"/>
        <v>0</v>
      </c>
      <c r="S472" s="250">
        <f t="shared" si="117"/>
        <v>0</v>
      </c>
      <c r="T472" s="901">
        <f t="shared" si="118"/>
        <v>0</v>
      </c>
      <c r="U472" s="2988">
        <f t="shared" si="112"/>
        <v>0</v>
      </c>
      <c r="V472" s="2988">
        <f t="shared" si="113"/>
        <v>0</v>
      </c>
      <c r="W472" s="998"/>
      <c r="X472" s="2988">
        <f t="shared" si="114"/>
        <v>0</v>
      </c>
      <c r="Y472" s="2988">
        <f t="shared" si="115"/>
        <v>0</v>
      </c>
      <c r="Z472" s="998"/>
    </row>
    <row r="473" spans="1:26">
      <c r="A473" s="35"/>
      <c r="B473" s="20"/>
      <c r="C473" s="13">
        <f t="shared" si="104"/>
        <v>1</v>
      </c>
      <c r="D473" s="601"/>
      <c r="E473" s="13">
        <f t="shared" si="105"/>
        <v>1</v>
      </c>
      <c r="F473" s="601"/>
      <c r="G473" s="13">
        <f t="shared" si="106"/>
        <v>1</v>
      </c>
      <c r="H473" s="601"/>
      <c r="I473" s="13">
        <f t="shared" si="107"/>
        <v>1</v>
      </c>
      <c r="J473" s="601"/>
      <c r="K473" s="13">
        <f t="shared" si="108"/>
        <v>1</v>
      </c>
      <c r="L473" s="601"/>
      <c r="M473" s="13">
        <f t="shared" si="109"/>
        <v>1</v>
      </c>
      <c r="N473" s="601"/>
      <c r="O473" s="13">
        <f t="shared" si="110"/>
        <v>1</v>
      </c>
      <c r="P473" s="601"/>
      <c r="Q473" s="13">
        <f t="shared" si="111"/>
        <v>1</v>
      </c>
      <c r="R473" s="597">
        <f t="shared" si="116"/>
        <v>0</v>
      </c>
      <c r="S473" s="250">
        <f t="shared" si="117"/>
        <v>0</v>
      </c>
      <c r="T473" s="901">
        <f t="shared" si="118"/>
        <v>0</v>
      </c>
      <c r="U473" s="2988">
        <f t="shared" si="112"/>
        <v>0</v>
      </c>
      <c r="V473" s="2988">
        <f t="shared" si="113"/>
        <v>0</v>
      </c>
      <c r="W473" s="998"/>
      <c r="X473" s="2988">
        <f t="shared" si="114"/>
        <v>0</v>
      </c>
      <c r="Y473" s="2988">
        <f t="shared" si="115"/>
        <v>0</v>
      </c>
      <c r="Z473" s="998"/>
    </row>
    <row r="474" spans="1:26">
      <c r="A474" s="35"/>
      <c r="B474" s="20"/>
      <c r="C474" s="13">
        <f t="shared" si="104"/>
        <v>1</v>
      </c>
      <c r="D474" s="601"/>
      <c r="E474" s="13">
        <f t="shared" si="105"/>
        <v>1</v>
      </c>
      <c r="F474" s="601"/>
      <c r="G474" s="13">
        <f t="shared" si="106"/>
        <v>1</v>
      </c>
      <c r="H474" s="601"/>
      <c r="I474" s="13">
        <f t="shared" si="107"/>
        <v>1</v>
      </c>
      <c r="J474" s="601"/>
      <c r="K474" s="13">
        <f t="shared" si="108"/>
        <v>1</v>
      </c>
      <c r="L474" s="601"/>
      <c r="M474" s="13">
        <f t="shared" si="109"/>
        <v>1</v>
      </c>
      <c r="N474" s="601"/>
      <c r="O474" s="13">
        <f t="shared" si="110"/>
        <v>1</v>
      </c>
      <c r="P474" s="601"/>
      <c r="Q474" s="13">
        <f t="shared" si="111"/>
        <v>1</v>
      </c>
      <c r="R474" s="597">
        <f t="shared" si="116"/>
        <v>0</v>
      </c>
      <c r="S474" s="250">
        <f t="shared" si="117"/>
        <v>0</v>
      </c>
      <c r="T474" s="901">
        <f t="shared" si="118"/>
        <v>0</v>
      </c>
      <c r="U474" s="2988">
        <f t="shared" si="112"/>
        <v>0</v>
      </c>
      <c r="V474" s="2988">
        <f t="shared" si="113"/>
        <v>0</v>
      </c>
      <c r="W474" s="998"/>
      <c r="X474" s="2988">
        <f t="shared" si="114"/>
        <v>0</v>
      </c>
      <c r="Y474" s="2988">
        <f t="shared" si="115"/>
        <v>0</v>
      </c>
      <c r="Z474" s="998"/>
    </row>
    <row r="475" spans="1:26">
      <c r="A475" s="35"/>
      <c r="B475" s="20"/>
      <c r="C475" s="13">
        <f t="shared" si="104"/>
        <v>1</v>
      </c>
      <c r="D475" s="601"/>
      <c r="E475" s="13">
        <f t="shared" si="105"/>
        <v>1</v>
      </c>
      <c r="F475" s="601"/>
      <c r="G475" s="13">
        <f t="shared" si="106"/>
        <v>1</v>
      </c>
      <c r="H475" s="601"/>
      <c r="I475" s="13">
        <f t="shared" si="107"/>
        <v>1</v>
      </c>
      <c r="J475" s="601"/>
      <c r="K475" s="13">
        <f t="shared" si="108"/>
        <v>1</v>
      </c>
      <c r="L475" s="601"/>
      <c r="M475" s="13">
        <f t="shared" si="109"/>
        <v>1</v>
      </c>
      <c r="N475" s="601"/>
      <c r="O475" s="13">
        <f t="shared" si="110"/>
        <v>1</v>
      </c>
      <c r="P475" s="601"/>
      <c r="Q475" s="13">
        <f t="shared" si="111"/>
        <v>1</v>
      </c>
      <c r="R475" s="597">
        <f t="shared" si="116"/>
        <v>0</v>
      </c>
      <c r="S475" s="250">
        <f t="shared" si="117"/>
        <v>0</v>
      </c>
      <c r="T475" s="901">
        <f t="shared" si="118"/>
        <v>0</v>
      </c>
      <c r="U475" s="2988">
        <f t="shared" si="112"/>
        <v>0</v>
      </c>
      <c r="V475" s="2988">
        <f t="shared" si="113"/>
        <v>0</v>
      </c>
      <c r="W475" s="998"/>
      <c r="X475" s="2988">
        <f t="shared" si="114"/>
        <v>0</v>
      </c>
      <c r="Y475" s="2988">
        <f t="shared" si="115"/>
        <v>0</v>
      </c>
      <c r="Z475" s="998"/>
    </row>
    <row r="476" spans="1:26">
      <c r="A476" s="35"/>
      <c r="B476" s="20"/>
      <c r="C476" s="13">
        <f t="shared" ref="C476:C527" si="119">IF(B476="",1,(LOOKUP(B476,$6:$6,$7:$7)-LOOKUP($B$27,$6:$6,$7:$7)+100)/100)</f>
        <v>1</v>
      </c>
      <c r="D476" s="601"/>
      <c r="E476" s="13">
        <f t="shared" ref="E476:E527" si="120">(SUMIF($8:$8,D476,$9:$9)-SUMIF($8:$8,$D$27,$9:$9)+100)/100</f>
        <v>1</v>
      </c>
      <c r="F476" s="601"/>
      <c r="G476" s="13">
        <f t="shared" ref="G476:G527" si="121">(SUMIF($10:$10,F476,$11:$11)-SUMIF($10:$10,$F$27,$11:$11)+100)/100</f>
        <v>1</v>
      </c>
      <c r="H476" s="601"/>
      <c r="I476" s="13">
        <f t="shared" ref="I476:I527" si="122">(SUMIF($12:$12,H476,$13:$13)-SUMIF($12:$12,$H$27,$13:$13)+100)/100</f>
        <v>1</v>
      </c>
      <c r="J476" s="601"/>
      <c r="K476" s="13">
        <f t="shared" ref="K476:K527" si="123">(SUMIF($14:$14,J476,$15:$15)-SUMIF($14:$14,$J$27,$15:$15)+100)/100</f>
        <v>1</v>
      </c>
      <c r="L476" s="601"/>
      <c r="M476" s="13">
        <f t="shared" ref="M476:M527" si="124">(SUMIF($16:$16,L476,$17:$17)-SUMIF($16:$16,$L$27,$17:$17)+100)/100</f>
        <v>1</v>
      </c>
      <c r="N476" s="601"/>
      <c r="O476" s="13">
        <f t="shared" ref="O476:O527" si="125">(SUMIF($18:$18,N476,$19:$19)-SUMIF($18:$18,$N$27,$19:$19)+100)/100</f>
        <v>1</v>
      </c>
      <c r="P476" s="601"/>
      <c r="Q476" s="13">
        <f t="shared" ref="Q476:Q527" si="126">(SUMIF($20:$20,P476,$21:$21)-SUMIF($20:$20,$P$27,$21:$21)+100)/100</f>
        <v>1</v>
      </c>
      <c r="R476" s="597">
        <f t="shared" si="116"/>
        <v>0</v>
      </c>
      <c r="S476" s="250">
        <f t="shared" si="117"/>
        <v>0</v>
      </c>
      <c r="T476" s="901">
        <f t="shared" si="118"/>
        <v>0</v>
      </c>
      <c r="U476" s="2988">
        <f t="shared" ref="U476:U527" si="127">ROUND(W476*B476,0)</f>
        <v>0</v>
      </c>
      <c r="V476" s="2988">
        <f t="shared" ref="V476:V527" si="128">ROUND(W476*B476/10000,0)</f>
        <v>0</v>
      </c>
      <c r="W476" s="998"/>
      <c r="X476" s="2988">
        <f t="shared" ref="X476:X527" si="129">ROUND(Z476*B476,0)</f>
        <v>0</v>
      </c>
      <c r="Y476" s="2988">
        <f t="shared" ref="Y476:Y527" si="130">ROUND(Z476*B476/10000,0)</f>
        <v>0</v>
      </c>
      <c r="Z476" s="998"/>
    </row>
    <row r="477" spans="1:26">
      <c r="A477" s="35"/>
      <c r="B477" s="20"/>
      <c r="C477" s="13">
        <f t="shared" si="119"/>
        <v>1</v>
      </c>
      <c r="D477" s="601"/>
      <c r="E477" s="13">
        <f t="shared" si="120"/>
        <v>1</v>
      </c>
      <c r="F477" s="601"/>
      <c r="G477" s="13">
        <f t="shared" si="121"/>
        <v>1</v>
      </c>
      <c r="H477" s="601"/>
      <c r="I477" s="13">
        <f t="shared" si="122"/>
        <v>1</v>
      </c>
      <c r="J477" s="601"/>
      <c r="K477" s="13">
        <f t="shared" si="123"/>
        <v>1</v>
      </c>
      <c r="L477" s="601"/>
      <c r="M477" s="13">
        <f t="shared" si="124"/>
        <v>1</v>
      </c>
      <c r="N477" s="601"/>
      <c r="O477" s="13">
        <f t="shared" si="125"/>
        <v>1</v>
      </c>
      <c r="P477" s="601"/>
      <c r="Q477" s="13">
        <f t="shared" si="126"/>
        <v>1</v>
      </c>
      <c r="R477" s="597">
        <f t="shared" ref="R477:R527" si="131">IF(B477="",0,ROUND($R$27*C477*E477*G477*I477*K477*M477*O477*Q477,0))</f>
        <v>0</v>
      </c>
      <c r="S477" s="250">
        <f t="shared" ref="S477:S527" si="132">ROUND(R477*B477,0)</f>
        <v>0</v>
      </c>
      <c r="T477" s="901">
        <f t="shared" ref="T477:T527" si="133">ROUND(R477*B477/10000,0)</f>
        <v>0</v>
      </c>
      <c r="U477" s="2988">
        <f t="shared" si="127"/>
        <v>0</v>
      </c>
      <c r="V477" s="2988">
        <f t="shared" si="128"/>
        <v>0</v>
      </c>
      <c r="W477" s="998"/>
      <c r="X477" s="2988">
        <f t="shared" si="129"/>
        <v>0</v>
      </c>
      <c r="Y477" s="2988">
        <f t="shared" si="130"/>
        <v>0</v>
      </c>
      <c r="Z477" s="998"/>
    </row>
    <row r="478" spans="1:26">
      <c r="A478" s="35"/>
      <c r="B478" s="20"/>
      <c r="C478" s="13">
        <f t="shared" si="119"/>
        <v>1</v>
      </c>
      <c r="D478" s="601"/>
      <c r="E478" s="13">
        <f t="shared" si="120"/>
        <v>1</v>
      </c>
      <c r="F478" s="601"/>
      <c r="G478" s="13">
        <f t="shared" si="121"/>
        <v>1</v>
      </c>
      <c r="H478" s="601"/>
      <c r="I478" s="13">
        <f t="shared" si="122"/>
        <v>1</v>
      </c>
      <c r="J478" s="601"/>
      <c r="K478" s="13">
        <f t="shared" si="123"/>
        <v>1</v>
      </c>
      <c r="L478" s="601"/>
      <c r="M478" s="13">
        <f t="shared" si="124"/>
        <v>1</v>
      </c>
      <c r="N478" s="601"/>
      <c r="O478" s="13">
        <f t="shared" si="125"/>
        <v>1</v>
      </c>
      <c r="P478" s="601"/>
      <c r="Q478" s="13">
        <f t="shared" si="126"/>
        <v>1</v>
      </c>
      <c r="R478" s="597">
        <f t="shared" si="131"/>
        <v>0</v>
      </c>
      <c r="S478" s="250">
        <f t="shared" si="132"/>
        <v>0</v>
      </c>
      <c r="T478" s="901">
        <f t="shared" si="133"/>
        <v>0</v>
      </c>
      <c r="U478" s="2988">
        <f t="shared" si="127"/>
        <v>0</v>
      </c>
      <c r="V478" s="2988">
        <f t="shared" si="128"/>
        <v>0</v>
      </c>
      <c r="W478" s="998"/>
      <c r="X478" s="2988">
        <f t="shared" si="129"/>
        <v>0</v>
      </c>
      <c r="Y478" s="2988">
        <f t="shared" si="130"/>
        <v>0</v>
      </c>
      <c r="Z478" s="998"/>
    </row>
    <row r="479" spans="1:26">
      <c r="A479" s="35"/>
      <c r="B479" s="20"/>
      <c r="C479" s="13">
        <f t="shared" si="119"/>
        <v>1</v>
      </c>
      <c r="D479" s="601"/>
      <c r="E479" s="13">
        <f t="shared" si="120"/>
        <v>1</v>
      </c>
      <c r="F479" s="601"/>
      <c r="G479" s="13">
        <f t="shared" si="121"/>
        <v>1</v>
      </c>
      <c r="H479" s="601"/>
      <c r="I479" s="13">
        <f t="shared" si="122"/>
        <v>1</v>
      </c>
      <c r="J479" s="601"/>
      <c r="K479" s="13">
        <f t="shared" si="123"/>
        <v>1</v>
      </c>
      <c r="L479" s="601"/>
      <c r="M479" s="13">
        <f t="shared" si="124"/>
        <v>1</v>
      </c>
      <c r="N479" s="601"/>
      <c r="O479" s="13">
        <f t="shared" si="125"/>
        <v>1</v>
      </c>
      <c r="P479" s="601"/>
      <c r="Q479" s="13">
        <f t="shared" si="126"/>
        <v>1</v>
      </c>
      <c r="R479" s="597">
        <f t="shared" si="131"/>
        <v>0</v>
      </c>
      <c r="S479" s="250">
        <f t="shared" si="132"/>
        <v>0</v>
      </c>
      <c r="T479" s="901">
        <f t="shared" si="133"/>
        <v>0</v>
      </c>
      <c r="U479" s="2988">
        <f t="shared" si="127"/>
        <v>0</v>
      </c>
      <c r="V479" s="2988">
        <f t="shared" si="128"/>
        <v>0</v>
      </c>
      <c r="W479" s="998"/>
      <c r="X479" s="2988">
        <f t="shared" si="129"/>
        <v>0</v>
      </c>
      <c r="Y479" s="2988">
        <f t="shared" si="130"/>
        <v>0</v>
      </c>
      <c r="Z479" s="998"/>
    </row>
    <row r="480" spans="1:26">
      <c r="A480" s="35"/>
      <c r="B480" s="20"/>
      <c r="C480" s="13">
        <f t="shared" si="119"/>
        <v>1</v>
      </c>
      <c r="D480" s="601"/>
      <c r="E480" s="13">
        <f t="shared" si="120"/>
        <v>1</v>
      </c>
      <c r="F480" s="601"/>
      <c r="G480" s="13">
        <f t="shared" si="121"/>
        <v>1</v>
      </c>
      <c r="H480" s="601"/>
      <c r="I480" s="13">
        <f t="shared" si="122"/>
        <v>1</v>
      </c>
      <c r="J480" s="601"/>
      <c r="K480" s="13">
        <f t="shared" si="123"/>
        <v>1</v>
      </c>
      <c r="L480" s="601"/>
      <c r="M480" s="13">
        <f t="shared" si="124"/>
        <v>1</v>
      </c>
      <c r="N480" s="601"/>
      <c r="O480" s="13">
        <f t="shared" si="125"/>
        <v>1</v>
      </c>
      <c r="P480" s="601"/>
      <c r="Q480" s="13">
        <f t="shared" si="126"/>
        <v>1</v>
      </c>
      <c r="R480" s="597">
        <f t="shared" si="131"/>
        <v>0</v>
      </c>
      <c r="S480" s="250">
        <f t="shared" si="132"/>
        <v>0</v>
      </c>
      <c r="T480" s="901">
        <f t="shared" si="133"/>
        <v>0</v>
      </c>
      <c r="U480" s="2988">
        <f t="shared" si="127"/>
        <v>0</v>
      </c>
      <c r="V480" s="2988">
        <f t="shared" si="128"/>
        <v>0</v>
      </c>
      <c r="W480" s="998"/>
      <c r="X480" s="2988">
        <f t="shared" si="129"/>
        <v>0</v>
      </c>
      <c r="Y480" s="2988">
        <f t="shared" si="130"/>
        <v>0</v>
      </c>
      <c r="Z480" s="998"/>
    </row>
    <row r="481" spans="1:26">
      <c r="A481" s="35"/>
      <c r="B481" s="20"/>
      <c r="C481" s="13">
        <f t="shared" si="119"/>
        <v>1</v>
      </c>
      <c r="D481" s="601"/>
      <c r="E481" s="13">
        <f t="shared" si="120"/>
        <v>1</v>
      </c>
      <c r="F481" s="601"/>
      <c r="G481" s="13">
        <f t="shared" si="121"/>
        <v>1</v>
      </c>
      <c r="H481" s="601"/>
      <c r="I481" s="13">
        <f t="shared" si="122"/>
        <v>1</v>
      </c>
      <c r="J481" s="601"/>
      <c r="K481" s="13">
        <f t="shared" si="123"/>
        <v>1</v>
      </c>
      <c r="L481" s="601"/>
      <c r="M481" s="13">
        <f t="shared" si="124"/>
        <v>1</v>
      </c>
      <c r="N481" s="601"/>
      <c r="O481" s="13">
        <f t="shared" si="125"/>
        <v>1</v>
      </c>
      <c r="P481" s="601"/>
      <c r="Q481" s="13">
        <f t="shared" si="126"/>
        <v>1</v>
      </c>
      <c r="R481" s="597">
        <f t="shared" si="131"/>
        <v>0</v>
      </c>
      <c r="S481" s="250">
        <f t="shared" si="132"/>
        <v>0</v>
      </c>
      <c r="T481" s="901">
        <f t="shared" si="133"/>
        <v>0</v>
      </c>
      <c r="U481" s="2988">
        <f t="shared" si="127"/>
        <v>0</v>
      </c>
      <c r="V481" s="2988">
        <f t="shared" si="128"/>
        <v>0</v>
      </c>
      <c r="W481" s="998"/>
      <c r="X481" s="2988">
        <f t="shared" si="129"/>
        <v>0</v>
      </c>
      <c r="Y481" s="2988">
        <f t="shared" si="130"/>
        <v>0</v>
      </c>
      <c r="Z481" s="998"/>
    </row>
    <row r="482" spans="1:26">
      <c r="A482" s="35"/>
      <c r="B482" s="20"/>
      <c r="C482" s="13">
        <f t="shared" si="119"/>
        <v>1</v>
      </c>
      <c r="D482" s="601"/>
      <c r="E482" s="13">
        <f t="shared" si="120"/>
        <v>1</v>
      </c>
      <c r="F482" s="601"/>
      <c r="G482" s="13">
        <f t="shared" si="121"/>
        <v>1</v>
      </c>
      <c r="H482" s="601"/>
      <c r="I482" s="13">
        <f t="shared" si="122"/>
        <v>1</v>
      </c>
      <c r="J482" s="601"/>
      <c r="K482" s="13">
        <f t="shared" si="123"/>
        <v>1</v>
      </c>
      <c r="L482" s="601"/>
      <c r="M482" s="13">
        <f t="shared" si="124"/>
        <v>1</v>
      </c>
      <c r="N482" s="601"/>
      <c r="O482" s="13">
        <f t="shared" si="125"/>
        <v>1</v>
      </c>
      <c r="P482" s="601"/>
      <c r="Q482" s="13">
        <f t="shared" si="126"/>
        <v>1</v>
      </c>
      <c r="R482" s="597">
        <f t="shared" si="131"/>
        <v>0</v>
      </c>
      <c r="S482" s="250">
        <f t="shared" si="132"/>
        <v>0</v>
      </c>
      <c r="T482" s="901">
        <f t="shared" si="133"/>
        <v>0</v>
      </c>
      <c r="U482" s="2988">
        <f t="shared" si="127"/>
        <v>0</v>
      </c>
      <c r="V482" s="2988">
        <f t="shared" si="128"/>
        <v>0</v>
      </c>
      <c r="W482" s="998"/>
      <c r="X482" s="2988">
        <f t="shared" si="129"/>
        <v>0</v>
      </c>
      <c r="Y482" s="2988">
        <f t="shared" si="130"/>
        <v>0</v>
      </c>
      <c r="Z482" s="998"/>
    </row>
    <row r="483" spans="1:26">
      <c r="A483" s="35"/>
      <c r="B483" s="20"/>
      <c r="C483" s="13">
        <f t="shared" si="119"/>
        <v>1</v>
      </c>
      <c r="D483" s="601"/>
      <c r="E483" s="13">
        <f t="shared" si="120"/>
        <v>1</v>
      </c>
      <c r="F483" s="601"/>
      <c r="G483" s="13">
        <f t="shared" si="121"/>
        <v>1</v>
      </c>
      <c r="H483" s="601"/>
      <c r="I483" s="13">
        <f t="shared" si="122"/>
        <v>1</v>
      </c>
      <c r="J483" s="601"/>
      <c r="K483" s="13">
        <f t="shared" si="123"/>
        <v>1</v>
      </c>
      <c r="L483" s="601"/>
      <c r="M483" s="13">
        <f t="shared" si="124"/>
        <v>1</v>
      </c>
      <c r="N483" s="601"/>
      <c r="O483" s="13">
        <f t="shared" si="125"/>
        <v>1</v>
      </c>
      <c r="P483" s="601"/>
      <c r="Q483" s="13">
        <f t="shared" si="126"/>
        <v>1</v>
      </c>
      <c r="R483" s="597">
        <f t="shared" si="131"/>
        <v>0</v>
      </c>
      <c r="S483" s="250">
        <f t="shared" si="132"/>
        <v>0</v>
      </c>
      <c r="T483" s="901">
        <f t="shared" si="133"/>
        <v>0</v>
      </c>
      <c r="U483" s="2988">
        <f t="shared" si="127"/>
        <v>0</v>
      </c>
      <c r="V483" s="2988">
        <f t="shared" si="128"/>
        <v>0</v>
      </c>
      <c r="W483" s="998"/>
      <c r="X483" s="2988">
        <f t="shared" si="129"/>
        <v>0</v>
      </c>
      <c r="Y483" s="2988">
        <f t="shared" si="130"/>
        <v>0</v>
      </c>
      <c r="Z483" s="998"/>
    </row>
    <row r="484" spans="1:26">
      <c r="A484" s="35"/>
      <c r="B484" s="20"/>
      <c r="C484" s="13">
        <f t="shared" si="119"/>
        <v>1</v>
      </c>
      <c r="D484" s="601"/>
      <c r="E484" s="13">
        <f t="shared" si="120"/>
        <v>1</v>
      </c>
      <c r="F484" s="601"/>
      <c r="G484" s="13">
        <f t="shared" si="121"/>
        <v>1</v>
      </c>
      <c r="H484" s="601"/>
      <c r="I484" s="13">
        <f t="shared" si="122"/>
        <v>1</v>
      </c>
      <c r="J484" s="601"/>
      <c r="K484" s="13">
        <f t="shared" si="123"/>
        <v>1</v>
      </c>
      <c r="L484" s="601"/>
      <c r="M484" s="13">
        <f t="shared" si="124"/>
        <v>1</v>
      </c>
      <c r="N484" s="601"/>
      <c r="O484" s="13">
        <f t="shared" si="125"/>
        <v>1</v>
      </c>
      <c r="P484" s="601"/>
      <c r="Q484" s="13">
        <f t="shared" si="126"/>
        <v>1</v>
      </c>
      <c r="R484" s="597">
        <f t="shared" si="131"/>
        <v>0</v>
      </c>
      <c r="S484" s="250">
        <f t="shared" si="132"/>
        <v>0</v>
      </c>
      <c r="T484" s="901">
        <f t="shared" si="133"/>
        <v>0</v>
      </c>
      <c r="U484" s="2988">
        <f t="shared" si="127"/>
        <v>0</v>
      </c>
      <c r="V484" s="2988">
        <f t="shared" si="128"/>
        <v>0</v>
      </c>
      <c r="W484" s="998"/>
      <c r="X484" s="2988">
        <f t="shared" si="129"/>
        <v>0</v>
      </c>
      <c r="Y484" s="2988">
        <f t="shared" si="130"/>
        <v>0</v>
      </c>
      <c r="Z484" s="998"/>
    </row>
    <row r="485" spans="1:26">
      <c r="A485" s="35"/>
      <c r="B485" s="20"/>
      <c r="C485" s="13">
        <f t="shared" si="119"/>
        <v>1</v>
      </c>
      <c r="D485" s="601"/>
      <c r="E485" s="13">
        <f t="shared" si="120"/>
        <v>1</v>
      </c>
      <c r="F485" s="601"/>
      <c r="G485" s="13">
        <f t="shared" si="121"/>
        <v>1</v>
      </c>
      <c r="H485" s="601"/>
      <c r="I485" s="13">
        <f t="shared" si="122"/>
        <v>1</v>
      </c>
      <c r="J485" s="601"/>
      <c r="K485" s="13">
        <f t="shared" si="123"/>
        <v>1</v>
      </c>
      <c r="L485" s="601"/>
      <c r="M485" s="13">
        <f t="shared" si="124"/>
        <v>1</v>
      </c>
      <c r="N485" s="601"/>
      <c r="O485" s="13">
        <f t="shared" si="125"/>
        <v>1</v>
      </c>
      <c r="P485" s="601"/>
      <c r="Q485" s="13">
        <f t="shared" si="126"/>
        <v>1</v>
      </c>
      <c r="R485" s="597">
        <f t="shared" si="131"/>
        <v>0</v>
      </c>
      <c r="S485" s="250">
        <f t="shared" si="132"/>
        <v>0</v>
      </c>
      <c r="T485" s="901">
        <f t="shared" si="133"/>
        <v>0</v>
      </c>
      <c r="U485" s="2988">
        <f t="shared" si="127"/>
        <v>0</v>
      </c>
      <c r="V485" s="2988">
        <f t="shared" si="128"/>
        <v>0</v>
      </c>
      <c r="W485" s="998"/>
      <c r="X485" s="2988">
        <f t="shared" si="129"/>
        <v>0</v>
      </c>
      <c r="Y485" s="2988">
        <f t="shared" si="130"/>
        <v>0</v>
      </c>
      <c r="Z485" s="998"/>
    </row>
    <row r="486" spans="1:26">
      <c r="A486" s="35"/>
      <c r="B486" s="20"/>
      <c r="C486" s="13">
        <f t="shared" si="119"/>
        <v>1</v>
      </c>
      <c r="D486" s="601"/>
      <c r="E486" s="13">
        <f t="shared" si="120"/>
        <v>1</v>
      </c>
      <c r="F486" s="601"/>
      <c r="G486" s="13">
        <f t="shared" si="121"/>
        <v>1</v>
      </c>
      <c r="H486" s="601"/>
      <c r="I486" s="13">
        <f t="shared" si="122"/>
        <v>1</v>
      </c>
      <c r="J486" s="601"/>
      <c r="K486" s="13">
        <f t="shared" si="123"/>
        <v>1</v>
      </c>
      <c r="L486" s="601"/>
      <c r="M486" s="13">
        <f t="shared" si="124"/>
        <v>1</v>
      </c>
      <c r="N486" s="601"/>
      <c r="O486" s="13">
        <f t="shared" si="125"/>
        <v>1</v>
      </c>
      <c r="P486" s="601"/>
      <c r="Q486" s="13">
        <f t="shared" si="126"/>
        <v>1</v>
      </c>
      <c r="R486" s="597">
        <f t="shared" si="131"/>
        <v>0</v>
      </c>
      <c r="S486" s="250">
        <f t="shared" si="132"/>
        <v>0</v>
      </c>
      <c r="T486" s="901">
        <f t="shared" si="133"/>
        <v>0</v>
      </c>
      <c r="U486" s="2988">
        <f t="shared" si="127"/>
        <v>0</v>
      </c>
      <c r="V486" s="2988">
        <f t="shared" si="128"/>
        <v>0</v>
      </c>
      <c r="W486" s="998"/>
      <c r="X486" s="2988">
        <f t="shared" si="129"/>
        <v>0</v>
      </c>
      <c r="Y486" s="2988">
        <f t="shared" si="130"/>
        <v>0</v>
      </c>
      <c r="Z486" s="998"/>
    </row>
    <row r="487" spans="1:26">
      <c r="A487" s="35"/>
      <c r="B487" s="20"/>
      <c r="C487" s="13">
        <f t="shared" si="119"/>
        <v>1</v>
      </c>
      <c r="D487" s="601"/>
      <c r="E487" s="13">
        <f t="shared" si="120"/>
        <v>1</v>
      </c>
      <c r="F487" s="601"/>
      <c r="G487" s="13">
        <f t="shared" si="121"/>
        <v>1</v>
      </c>
      <c r="H487" s="601"/>
      <c r="I487" s="13">
        <f t="shared" si="122"/>
        <v>1</v>
      </c>
      <c r="J487" s="601"/>
      <c r="K487" s="13">
        <f t="shared" si="123"/>
        <v>1</v>
      </c>
      <c r="L487" s="601"/>
      <c r="M487" s="13">
        <f t="shared" si="124"/>
        <v>1</v>
      </c>
      <c r="N487" s="601"/>
      <c r="O487" s="13">
        <f t="shared" si="125"/>
        <v>1</v>
      </c>
      <c r="P487" s="601"/>
      <c r="Q487" s="13">
        <f t="shared" si="126"/>
        <v>1</v>
      </c>
      <c r="R487" s="597">
        <f t="shared" si="131"/>
        <v>0</v>
      </c>
      <c r="S487" s="250">
        <f t="shared" si="132"/>
        <v>0</v>
      </c>
      <c r="T487" s="901">
        <f t="shared" si="133"/>
        <v>0</v>
      </c>
      <c r="U487" s="2988">
        <f t="shared" si="127"/>
        <v>0</v>
      </c>
      <c r="V487" s="2988">
        <f t="shared" si="128"/>
        <v>0</v>
      </c>
      <c r="W487" s="998"/>
      <c r="X487" s="2988">
        <f t="shared" si="129"/>
        <v>0</v>
      </c>
      <c r="Y487" s="2988">
        <f t="shared" si="130"/>
        <v>0</v>
      </c>
      <c r="Z487" s="998"/>
    </row>
    <row r="488" spans="1:26">
      <c r="A488" s="35"/>
      <c r="B488" s="20"/>
      <c r="C488" s="13">
        <f t="shared" si="119"/>
        <v>1</v>
      </c>
      <c r="D488" s="601"/>
      <c r="E488" s="13">
        <f t="shared" si="120"/>
        <v>1</v>
      </c>
      <c r="F488" s="601"/>
      <c r="G488" s="13">
        <f t="shared" si="121"/>
        <v>1</v>
      </c>
      <c r="H488" s="601"/>
      <c r="I488" s="13">
        <f t="shared" si="122"/>
        <v>1</v>
      </c>
      <c r="J488" s="601"/>
      <c r="K488" s="13">
        <f t="shared" si="123"/>
        <v>1</v>
      </c>
      <c r="L488" s="601"/>
      <c r="M488" s="13">
        <f t="shared" si="124"/>
        <v>1</v>
      </c>
      <c r="N488" s="601"/>
      <c r="O488" s="13">
        <f t="shared" si="125"/>
        <v>1</v>
      </c>
      <c r="P488" s="601"/>
      <c r="Q488" s="13">
        <f t="shared" si="126"/>
        <v>1</v>
      </c>
      <c r="R488" s="597">
        <f t="shared" si="131"/>
        <v>0</v>
      </c>
      <c r="S488" s="250">
        <f t="shared" si="132"/>
        <v>0</v>
      </c>
      <c r="T488" s="901">
        <f t="shared" si="133"/>
        <v>0</v>
      </c>
      <c r="U488" s="2988">
        <f t="shared" si="127"/>
        <v>0</v>
      </c>
      <c r="V488" s="2988">
        <f t="shared" si="128"/>
        <v>0</v>
      </c>
      <c r="W488" s="998"/>
      <c r="X488" s="2988">
        <f t="shared" si="129"/>
        <v>0</v>
      </c>
      <c r="Y488" s="2988">
        <f t="shared" si="130"/>
        <v>0</v>
      </c>
      <c r="Z488" s="998"/>
    </row>
    <row r="489" spans="1:26">
      <c r="A489" s="35"/>
      <c r="B489" s="20"/>
      <c r="C489" s="13">
        <f t="shared" si="119"/>
        <v>1</v>
      </c>
      <c r="D489" s="601"/>
      <c r="E489" s="13">
        <f t="shared" si="120"/>
        <v>1</v>
      </c>
      <c r="F489" s="601"/>
      <c r="G489" s="13">
        <f t="shared" si="121"/>
        <v>1</v>
      </c>
      <c r="H489" s="601"/>
      <c r="I489" s="13">
        <f t="shared" si="122"/>
        <v>1</v>
      </c>
      <c r="J489" s="601"/>
      <c r="K489" s="13">
        <f t="shared" si="123"/>
        <v>1</v>
      </c>
      <c r="L489" s="601"/>
      <c r="M489" s="13">
        <f t="shared" si="124"/>
        <v>1</v>
      </c>
      <c r="N489" s="601"/>
      <c r="O489" s="13">
        <f t="shared" si="125"/>
        <v>1</v>
      </c>
      <c r="P489" s="601"/>
      <c r="Q489" s="13">
        <f t="shared" si="126"/>
        <v>1</v>
      </c>
      <c r="R489" s="597">
        <f t="shared" si="131"/>
        <v>0</v>
      </c>
      <c r="S489" s="250">
        <f t="shared" si="132"/>
        <v>0</v>
      </c>
      <c r="T489" s="901">
        <f t="shared" si="133"/>
        <v>0</v>
      </c>
      <c r="U489" s="2988">
        <f t="shared" si="127"/>
        <v>0</v>
      </c>
      <c r="V489" s="2988">
        <f t="shared" si="128"/>
        <v>0</v>
      </c>
      <c r="W489" s="998"/>
      <c r="X489" s="2988">
        <f t="shared" si="129"/>
        <v>0</v>
      </c>
      <c r="Y489" s="2988">
        <f t="shared" si="130"/>
        <v>0</v>
      </c>
      <c r="Z489" s="998"/>
    </row>
    <row r="490" spans="1:26">
      <c r="A490" s="35"/>
      <c r="B490" s="20"/>
      <c r="C490" s="13">
        <f t="shared" si="119"/>
        <v>1</v>
      </c>
      <c r="D490" s="601"/>
      <c r="E490" s="13">
        <f t="shared" si="120"/>
        <v>1</v>
      </c>
      <c r="F490" s="601"/>
      <c r="G490" s="13">
        <f t="shared" si="121"/>
        <v>1</v>
      </c>
      <c r="H490" s="601"/>
      <c r="I490" s="13">
        <f t="shared" si="122"/>
        <v>1</v>
      </c>
      <c r="J490" s="601"/>
      <c r="K490" s="13">
        <f t="shared" si="123"/>
        <v>1</v>
      </c>
      <c r="L490" s="601"/>
      <c r="M490" s="13">
        <f t="shared" si="124"/>
        <v>1</v>
      </c>
      <c r="N490" s="601"/>
      <c r="O490" s="13">
        <f t="shared" si="125"/>
        <v>1</v>
      </c>
      <c r="P490" s="601"/>
      <c r="Q490" s="13">
        <f t="shared" si="126"/>
        <v>1</v>
      </c>
      <c r="R490" s="597">
        <f t="shared" si="131"/>
        <v>0</v>
      </c>
      <c r="S490" s="250">
        <f t="shared" si="132"/>
        <v>0</v>
      </c>
      <c r="T490" s="901">
        <f t="shared" si="133"/>
        <v>0</v>
      </c>
      <c r="U490" s="2988">
        <f t="shared" si="127"/>
        <v>0</v>
      </c>
      <c r="V490" s="2988">
        <f t="shared" si="128"/>
        <v>0</v>
      </c>
      <c r="W490" s="998"/>
      <c r="X490" s="2988">
        <f t="shared" si="129"/>
        <v>0</v>
      </c>
      <c r="Y490" s="2988">
        <f t="shared" si="130"/>
        <v>0</v>
      </c>
      <c r="Z490" s="998"/>
    </row>
    <row r="491" spans="1:26">
      <c r="A491" s="35"/>
      <c r="B491" s="20"/>
      <c r="C491" s="13">
        <f t="shared" si="119"/>
        <v>1</v>
      </c>
      <c r="D491" s="601"/>
      <c r="E491" s="13">
        <f t="shared" si="120"/>
        <v>1</v>
      </c>
      <c r="F491" s="601"/>
      <c r="G491" s="13">
        <f t="shared" si="121"/>
        <v>1</v>
      </c>
      <c r="H491" s="601"/>
      <c r="I491" s="13">
        <f t="shared" si="122"/>
        <v>1</v>
      </c>
      <c r="J491" s="601"/>
      <c r="K491" s="13">
        <f t="shared" si="123"/>
        <v>1</v>
      </c>
      <c r="L491" s="601"/>
      <c r="M491" s="13">
        <f t="shared" si="124"/>
        <v>1</v>
      </c>
      <c r="N491" s="601"/>
      <c r="O491" s="13">
        <f t="shared" si="125"/>
        <v>1</v>
      </c>
      <c r="P491" s="601"/>
      <c r="Q491" s="13">
        <f t="shared" si="126"/>
        <v>1</v>
      </c>
      <c r="R491" s="597">
        <f t="shared" si="131"/>
        <v>0</v>
      </c>
      <c r="S491" s="250">
        <f t="shared" si="132"/>
        <v>0</v>
      </c>
      <c r="T491" s="901">
        <f t="shared" si="133"/>
        <v>0</v>
      </c>
      <c r="U491" s="2988">
        <f t="shared" si="127"/>
        <v>0</v>
      </c>
      <c r="V491" s="2988">
        <f t="shared" si="128"/>
        <v>0</v>
      </c>
      <c r="W491" s="998"/>
      <c r="X491" s="2988">
        <f t="shared" si="129"/>
        <v>0</v>
      </c>
      <c r="Y491" s="2988">
        <f t="shared" si="130"/>
        <v>0</v>
      </c>
      <c r="Z491" s="998"/>
    </row>
    <row r="492" spans="1:26">
      <c r="A492" s="35"/>
      <c r="B492" s="20"/>
      <c r="C492" s="13">
        <f t="shared" si="119"/>
        <v>1</v>
      </c>
      <c r="D492" s="601"/>
      <c r="E492" s="13">
        <f t="shared" si="120"/>
        <v>1</v>
      </c>
      <c r="F492" s="601"/>
      <c r="G492" s="13">
        <f t="shared" si="121"/>
        <v>1</v>
      </c>
      <c r="H492" s="601"/>
      <c r="I492" s="13">
        <f t="shared" si="122"/>
        <v>1</v>
      </c>
      <c r="J492" s="601"/>
      <c r="K492" s="13">
        <f t="shared" si="123"/>
        <v>1</v>
      </c>
      <c r="L492" s="601"/>
      <c r="M492" s="13">
        <f t="shared" si="124"/>
        <v>1</v>
      </c>
      <c r="N492" s="601"/>
      <c r="O492" s="13">
        <f t="shared" si="125"/>
        <v>1</v>
      </c>
      <c r="P492" s="601"/>
      <c r="Q492" s="13">
        <f t="shared" si="126"/>
        <v>1</v>
      </c>
      <c r="R492" s="597">
        <f t="shared" si="131"/>
        <v>0</v>
      </c>
      <c r="S492" s="250">
        <f t="shared" si="132"/>
        <v>0</v>
      </c>
      <c r="T492" s="901">
        <f t="shared" si="133"/>
        <v>0</v>
      </c>
      <c r="U492" s="2988">
        <f t="shared" si="127"/>
        <v>0</v>
      </c>
      <c r="V492" s="2988">
        <f t="shared" si="128"/>
        <v>0</v>
      </c>
      <c r="W492" s="998"/>
      <c r="X492" s="2988">
        <f t="shared" si="129"/>
        <v>0</v>
      </c>
      <c r="Y492" s="2988">
        <f t="shared" si="130"/>
        <v>0</v>
      </c>
      <c r="Z492" s="998"/>
    </row>
    <row r="493" spans="1:26">
      <c r="A493" s="35"/>
      <c r="B493" s="20"/>
      <c r="C493" s="13">
        <f t="shared" si="119"/>
        <v>1</v>
      </c>
      <c r="D493" s="601"/>
      <c r="E493" s="13">
        <f t="shared" si="120"/>
        <v>1</v>
      </c>
      <c r="F493" s="601"/>
      <c r="G493" s="13">
        <f t="shared" si="121"/>
        <v>1</v>
      </c>
      <c r="H493" s="601"/>
      <c r="I493" s="13">
        <f t="shared" si="122"/>
        <v>1</v>
      </c>
      <c r="J493" s="601"/>
      <c r="K493" s="13">
        <f t="shared" si="123"/>
        <v>1</v>
      </c>
      <c r="L493" s="601"/>
      <c r="M493" s="13">
        <f t="shared" si="124"/>
        <v>1</v>
      </c>
      <c r="N493" s="601"/>
      <c r="O493" s="13">
        <f t="shared" si="125"/>
        <v>1</v>
      </c>
      <c r="P493" s="601"/>
      <c r="Q493" s="13">
        <f t="shared" si="126"/>
        <v>1</v>
      </c>
      <c r="R493" s="597">
        <f t="shared" si="131"/>
        <v>0</v>
      </c>
      <c r="S493" s="250">
        <f t="shared" si="132"/>
        <v>0</v>
      </c>
      <c r="T493" s="901">
        <f t="shared" si="133"/>
        <v>0</v>
      </c>
      <c r="U493" s="2988">
        <f t="shared" si="127"/>
        <v>0</v>
      </c>
      <c r="V493" s="2988">
        <f t="shared" si="128"/>
        <v>0</v>
      </c>
      <c r="W493" s="998"/>
      <c r="X493" s="2988">
        <f t="shared" si="129"/>
        <v>0</v>
      </c>
      <c r="Y493" s="2988">
        <f t="shared" si="130"/>
        <v>0</v>
      </c>
      <c r="Z493" s="998"/>
    </row>
    <row r="494" spans="1:26">
      <c r="A494" s="35"/>
      <c r="B494" s="20"/>
      <c r="C494" s="13">
        <f t="shared" si="119"/>
        <v>1</v>
      </c>
      <c r="D494" s="601"/>
      <c r="E494" s="13">
        <f t="shared" si="120"/>
        <v>1</v>
      </c>
      <c r="F494" s="601"/>
      <c r="G494" s="13">
        <f t="shared" si="121"/>
        <v>1</v>
      </c>
      <c r="H494" s="601"/>
      <c r="I494" s="13">
        <f t="shared" si="122"/>
        <v>1</v>
      </c>
      <c r="J494" s="601"/>
      <c r="K494" s="13">
        <f t="shared" si="123"/>
        <v>1</v>
      </c>
      <c r="L494" s="601"/>
      <c r="M494" s="13">
        <f t="shared" si="124"/>
        <v>1</v>
      </c>
      <c r="N494" s="601"/>
      <c r="O494" s="13">
        <f t="shared" si="125"/>
        <v>1</v>
      </c>
      <c r="P494" s="601"/>
      <c r="Q494" s="13">
        <f t="shared" si="126"/>
        <v>1</v>
      </c>
      <c r="R494" s="597">
        <f t="shared" si="131"/>
        <v>0</v>
      </c>
      <c r="S494" s="250">
        <f t="shared" si="132"/>
        <v>0</v>
      </c>
      <c r="T494" s="901">
        <f t="shared" si="133"/>
        <v>0</v>
      </c>
      <c r="U494" s="2988">
        <f t="shared" si="127"/>
        <v>0</v>
      </c>
      <c r="V494" s="2988">
        <f t="shared" si="128"/>
        <v>0</v>
      </c>
      <c r="W494" s="998"/>
      <c r="X494" s="2988">
        <f t="shared" si="129"/>
        <v>0</v>
      </c>
      <c r="Y494" s="2988">
        <f t="shared" si="130"/>
        <v>0</v>
      </c>
      <c r="Z494" s="998"/>
    </row>
    <row r="495" spans="1:26">
      <c r="A495" s="35"/>
      <c r="B495" s="20"/>
      <c r="C495" s="13">
        <f t="shared" si="119"/>
        <v>1</v>
      </c>
      <c r="D495" s="601"/>
      <c r="E495" s="13">
        <f t="shared" si="120"/>
        <v>1</v>
      </c>
      <c r="F495" s="601"/>
      <c r="G495" s="13">
        <f t="shared" si="121"/>
        <v>1</v>
      </c>
      <c r="H495" s="601"/>
      <c r="I495" s="13">
        <f t="shared" si="122"/>
        <v>1</v>
      </c>
      <c r="J495" s="601"/>
      <c r="K495" s="13">
        <f t="shared" si="123"/>
        <v>1</v>
      </c>
      <c r="L495" s="601"/>
      <c r="M495" s="13">
        <f t="shared" si="124"/>
        <v>1</v>
      </c>
      <c r="N495" s="601"/>
      <c r="O495" s="13">
        <f t="shared" si="125"/>
        <v>1</v>
      </c>
      <c r="P495" s="601"/>
      <c r="Q495" s="13">
        <f t="shared" si="126"/>
        <v>1</v>
      </c>
      <c r="R495" s="597">
        <f t="shared" si="131"/>
        <v>0</v>
      </c>
      <c r="S495" s="250">
        <f t="shared" si="132"/>
        <v>0</v>
      </c>
      <c r="T495" s="901">
        <f t="shared" si="133"/>
        <v>0</v>
      </c>
      <c r="U495" s="2988">
        <f t="shared" si="127"/>
        <v>0</v>
      </c>
      <c r="V495" s="2988">
        <f t="shared" si="128"/>
        <v>0</v>
      </c>
      <c r="W495" s="998"/>
      <c r="X495" s="2988">
        <f t="shared" si="129"/>
        <v>0</v>
      </c>
      <c r="Y495" s="2988">
        <f t="shared" si="130"/>
        <v>0</v>
      </c>
      <c r="Z495" s="998"/>
    </row>
    <row r="496" spans="1:26">
      <c r="A496" s="35"/>
      <c r="B496" s="20"/>
      <c r="C496" s="13">
        <f t="shared" si="119"/>
        <v>1</v>
      </c>
      <c r="D496" s="601"/>
      <c r="E496" s="13">
        <f t="shared" si="120"/>
        <v>1</v>
      </c>
      <c r="F496" s="601"/>
      <c r="G496" s="13">
        <f t="shared" si="121"/>
        <v>1</v>
      </c>
      <c r="H496" s="601"/>
      <c r="I496" s="13">
        <f t="shared" si="122"/>
        <v>1</v>
      </c>
      <c r="J496" s="601"/>
      <c r="K496" s="13">
        <f t="shared" si="123"/>
        <v>1</v>
      </c>
      <c r="L496" s="601"/>
      <c r="M496" s="13">
        <f t="shared" si="124"/>
        <v>1</v>
      </c>
      <c r="N496" s="601"/>
      <c r="O496" s="13">
        <f t="shared" si="125"/>
        <v>1</v>
      </c>
      <c r="P496" s="601"/>
      <c r="Q496" s="13">
        <f t="shared" si="126"/>
        <v>1</v>
      </c>
      <c r="R496" s="597">
        <f t="shared" si="131"/>
        <v>0</v>
      </c>
      <c r="S496" s="250">
        <f t="shared" si="132"/>
        <v>0</v>
      </c>
      <c r="T496" s="901">
        <f t="shared" si="133"/>
        <v>0</v>
      </c>
      <c r="U496" s="2988">
        <f t="shared" si="127"/>
        <v>0</v>
      </c>
      <c r="V496" s="2988">
        <f t="shared" si="128"/>
        <v>0</v>
      </c>
      <c r="W496" s="998"/>
      <c r="X496" s="2988">
        <f t="shared" si="129"/>
        <v>0</v>
      </c>
      <c r="Y496" s="2988">
        <f t="shared" si="130"/>
        <v>0</v>
      </c>
      <c r="Z496" s="998"/>
    </row>
    <row r="497" spans="1:26">
      <c r="A497" s="35"/>
      <c r="B497" s="20"/>
      <c r="C497" s="13">
        <f t="shared" si="119"/>
        <v>1</v>
      </c>
      <c r="D497" s="601"/>
      <c r="E497" s="13">
        <f t="shared" si="120"/>
        <v>1</v>
      </c>
      <c r="F497" s="601"/>
      <c r="G497" s="13">
        <f t="shared" si="121"/>
        <v>1</v>
      </c>
      <c r="H497" s="601"/>
      <c r="I497" s="13">
        <f t="shared" si="122"/>
        <v>1</v>
      </c>
      <c r="J497" s="601"/>
      <c r="K497" s="13">
        <f t="shared" si="123"/>
        <v>1</v>
      </c>
      <c r="L497" s="601"/>
      <c r="M497" s="13">
        <f t="shared" si="124"/>
        <v>1</v>
      </c>
      <c r="N497" s="601"/>
      <c r="O497" s="13">
        <f t="shared" si="125"/>
        <v>1</v>
      </c>
      <c r="P497" s="601"/>
      <c r="Q497" s="13">
        <f t="shared" si="126"/>
        <v>1</v>
      </c>
      <c r="R497" s="597">
        <f t="shared" si="131"/>
        <v>0</v>
      </c>
      <c r="S497" s="250">
        <f t="shared" si="132"/>
        <v>0</v>
      </c>
      <c r="T497" s="901">
        <f t="shared" si="133"/>
        <v>0</v>
      </c>
      <c r="U497" s="2988">
        <f t="shared" si="127"/>
        <v>0</v>
      </c>
      <c r="V497" s="2988">
        <f t="shared" si="128"/>
        <v>0</v>
      </c>
      <c r="W497" s="998"/>
      <c r="X497" s="2988">
        <f t="shared" si="129"/>
        <v>0</v>
      </c>
      <c r="Y497" s="2988">
        <f t="shared" si="130"/>
        <v>0</v>
      </c>
      <c r="Z497" s="998"/>
    </row>
    <row r="498" spans="1:26">
      <c r="A498" s="35"/>
      <c r="B498" s="20"/>
      <c r="C498" s="13">
        <f t="shared" si="119"/>
        <v>1</v>
      </c>
      <c r="D498" s="601"/>
      <c r="E498" s="13">
        <f t="shared" si="120"/>
        <v>1</v>
      </c>
      <c r="F498" s="601"/>
      <c r="G498" s="13">
        <f t="shared" si="121"/>
        <v>1</v>
      </c>
      <c r="H498" s="601"/>
      <c r="I498" s="13">
        <f t="shared" si="122"/>
        <v>1</v>
      </c>
      <c r="J498" s="601"/>
      <c r="K498" s="13">
        <f t="shared" si="123"/>
        <v>1</v>
      </c>
      <c r="L498" s="601"/>
      <c r="M498" s="13">
        <f t="shared" si="124"/>
        <v>1</v>
      </c>
      <c r="N498" s="601"/>
      <c r="O498" s="13">
        <f t="shared" si="125"/>
        <v>1</v>
      </c>
      <c r="P498" s="601"/>
      <c r="Q498" s="13">
        <f t="shared" si="126"/>
        <v>1</v>
      </c>
      <c r="R498" s="597">
        <f t="shared" si="131"/>
        <v>0</v>
      </c>
      <c r="S498" s="250">
        <f t="shared" si="132"/>
        <v>0</v>
      </c>
      <c r="T498" s="901">
        <f t="shared" si="133"/>
        <v>0</v>
      </c>
      <c r="U498" s="2988">
        <f t="shared" si="127"/>
        <v>0</v>
      </c>
      <c r="V498" s="2988">
        <f t="shared" si="128"/>
        <v>0</v>
      </c>
      <c r="W498" s="998"/>
      <c r="X498" s="2988">
        <f t="shared" si="129"/>
        <v>0</v>
      </c>
      <c r="Y498" s="2988">
        <f t="shared" si="130"/>
        <v>0</v>
      </c>
      <c r="Z498" s="998"/>
    </row>
    <row r="499" spans="1:26">
      <c r="A499" s="35"/>
      <c r="B499" s="20"/>
      <c r="C499" s="13">
        <f t="shared" si="119"/>
        <v>1</v>
      </c>
      <c r="D499" s="601"/>
      <c r="E499" s="13">
        <f t="shared" si="120"/>
        <v>1</v>
      </c>
      <c r="F499" s="601"/>
      <c r="G499" s="13">
        <f t="shared" si="121"/>
        <v>1</v>
      </c>
      <c r="H499" s="601"/>
      <c r="I499" s="13">
        <f t="shared" si="122"/>
        <v>1</v>
      </c>
      <c r="J499" s="601"/>
      <c r="K499" s="13">
        <f t="shared" si="123"/>
        <v>1</v>
      </c>
      <c r="L499" s="601"/>
      <c r="M499" s="13">
        <f t="shared" si="124"/>
        <v>1</v>
      </c>
      <c r="N499" s="601"/>
      <c r="O499" s="13">
        <f t="shared" si="125"/>
        <v>1</v>
      </c>
      <c r="P499" s="601"/>
      <c r="Q499" s="13">
        <f t="shared" si="126"/>
        <v>1</v>
      </c>
      <c r="R499" s="597">
        <f t="shared" si="131"/>
        <v>0</v>
      </c>
      <c r="S499" s="250">
        <f t="shared" si="132"/>
        <v>0</v>
      </c>
      <c r="T499" s="901">
        <f t="shared" si="133"/>
        <v>0</v>
      </c>
      <c r="U499" s="2988">
        <f t="shared" si="127"/>
        <v>0</v>
      </c>
      <c r="V499" s="2988">
        <f t="shared" si="128"/>
        <v>0</v>
      </c>
      <c r="W499" s="998"/>
      <c r="X499" s="2988">
        <f t="shared" si="129"/>
        <v>0</v>
      </c>
      <c r="Y499" s="2988">
        <f t="shared" si="130"/>
        <v>0</v>
      </c>
      <c r="Z499" s="998"/>
    </row>
    <row r="500" spans="1:26">
      <c r="A500" s="35"/>
      <c r="B500" s="20"/>
      <c r="C500" s="13">
        <f t="shared" si="119"/>
        <v>1</v>
      </c>
      <c r="D500" s="601"/>
      <c r="E500" s="13">
        <f t="shared" si="120"/>
        <v>1</v>
      </c>
      <c r="F500" s="601"/>
      <c r="G500" s="13">
        <f t="shared" si="121"/>
        <v>1</v>
      </c>
      <c r="H500" s="601"/>
      <c r="I500" s="13">
        <f t="shared" si="122"/>
        <v>1</v>
      </c>
      <c r="J500" s="601"/>
      <c r="K500" s="13">
        <f t="shared" si="123"/>
        <v>1</v>
      </c>
      <c r="L500" s="601"/>
      <c r="M500" s="13">
        <f t="shared" si="124"/>
        <v>1</v>
      </c>
      <c r="N500" s="601"/>
      <c r="O500" s="13">
        <f t="shared" si="125"/>
        <v>1</v>
      </c>
      <c r="P500" s="601"/>
      <c r="Q500" s="13">
        <f t="shared" si="126"/>
        <v>1</v>
      </c>
      <c r="R500" s="597">
        <f t="shared" si="131"/>
        <v>0</v>
      </c>
      <c r="S500" s="250">
        <f t="shared" si="132"/>
        <v>0</v>
      </c>
      <c r="T500" s="901">
        <f t="shared" si="133"/>
        <v>0</v>
      </c>
      <c r="U500" s="2988">
        <f t="shared" si="127"/>
        <v>0</v>
      </c>
      <c r="V500" s="2988">
        <f t="shared" si="128"/>
        <v>0</v>
      </c>
      <c r="W500" s="998"/>
      <c r="X500" s="2988">
        <f t="shared" si="129"/>
        <v>0</v>
      </c>
      <c r="Y500" s="2988">
        <f t="shared" si="130"/>
        <v>0</v>
      </c>
      <c r="Z500" s="998"/>
    </row>
    <row r="501" spans="1:26">
      <c r="A501" s="35"/>
      <c r="B501" s="20"/>
      <c r="C501" s="13">
        <f t="shared" si="119"/>
        <v>1</v>
      </c>
      <c r="D501" s="601"/>
      <c r="E501" s="13">
        <f t="shared" si="120"/>
        <v>1</v>
      </c>
      <c r="F501" s="601"/>
      <c r="G501" s="13">
        <f t="shared" si="121"/>
        <v>1</v>
      </c>
      <c r="H501" s="601"/>
      <c r="I501" s="13">
        <f t="shared" si="122"/>
        <v>1</v>
      </c>
      <c r="J501" s="601"/>
      <c r="K501" s="13">
        <f t="shared" si="123"/>
        <v>1</v>
      </c>
      <c r="L501" s="601"/>
      <c r="M501" s="13">
        <f t="shared" si="124"/>
        <v>1</v>
      </c>
      <c r="N501" s="601"/>
      <c r="O501" s="13">
        <f t="shared" si="125"/>
        <v>1</v>
      </c>
      <c r="P501" s="601"/>
      <c r="Q501" s="13">
        <f t="shared" si="126"/>
        <v>1</v>
      </c>
      <c r="R501" s="597">
        <f t="shared" si="131"/>
        <v>0</v>
      </c>
      <c r="S501" s="250">
        <f t="shared" si="132"/>
        <v>0</v>
      </c>
      <c r="T501" s="901">
        <f t="shared" si="133"/>
        <v>0</v>
      </c>
      <c r="U501" s="2988">
        <f t="shared" si="127"/>
        <v>0</v>
      </c>
      <c r="V501" s="2988">
        <f t="shared" si="128"/>
        <v>0</v>
      </c>
      <c r="W501" s="998"/>
      <c r="X501" s="2988">
        <f t="shared" si="129"/>
        <v>0</v>
      </c>
      <c r="Y501" s="2988">
        <f t="shared" si="130"/>
        <v>0</v>
      </c>
      <c r="Z501" s="998"/>
    </row>
    <row r="502" spans="1:26">
      <c r="A502" s="35"/>
      <c r="B502" s="20"/>
      <c r="C502" s="13">
        <f t="shared" si="119"/>
        <v>1</v>
      </c>
      <c r="D502" s="601"/>
      <c r="E502" s="13">
        <f t="shared" si="120"/>
        <v>1</v>
      </c>
      <c r="F502" s="601"/>
      <c r="G502" s="13">
        <f t="shared" si="121"/>
        <v>1</v>
      </c>
      <c r="H502" s="601"/>
      <c r="I502" s="13">
        <f t="shared" si="122"/>
        <v>1</v>
      </c>
      <c r="J502" s="601"/>
      <c r="K502" s="13">
        <f t="shared" si="123"/>
        <v>1</v>
      </c>
      <c r="L502" s="601"/>
      <c r="M502" s="13">
        <f t="shared" si="124"/>
        <v>1</v>
      </c>
      <c r="N502" s="601"/>
      <c r="O502" s="13">
        <f t="shared" si="125"/>
        <v>1</v>
      </c>
      <c r="P502" s="601"/>
      <c r="Q502" s="13">
        <f t="shared" si="126"/>
        <v>1</v>
      </c>
      <c r="R502" s="597">
        <f t="shared" si="131"/>
        <v>0</v>
      </c>
      <c r="S502" s="250">
        <f t="shared" si="132"/>
        <v>0</v>
      </c>
      <c r="T502" s="901">
        <f t="shared" si="133"/>
        <v>0</v>
      </c>
      <c r="U502" s="2988">
        <f t="shared" si="127"/>
        <v>0</v>
      </c>
      <c r="V502" s="2988">
        <f t="shared" si="128"/>
        <v>0</v>
      </c>
      <c r="W502" s="998"/>
      <c r="X502" s="2988">
        <f t="shared" si="129"/>
        <v>0</v>
      </c>
      <c r="Y502" s="2988">
        <f t="shared" si="130"/>
        <v>0</v>
      </c>
      <c r="Z502" s="998"/>
    </row>
    <row r="503" spans="1:26">
      <c r="A503" s="35"/>
      <c r="B503" s="20"/>
      <c r="C503" s="13">
        <f t="shared" si="119"/>
        <v>1</v>
      </c>
      <c r="D503" s="601"/>
      <c r="E503" s="13">
        <f t="shared" si="120"/>
        <v>1</v>
      </c>
      <c r="F503" s="601"/>
      <c r="G503" s="13">
        <f t="shared" si="121"/>
        <v>1</v>
      </c>
      <c r="H503" s="601"/>
      <c r="I503" s="13">
        <f t="shared" si="122"/>
        <v>1</v>
      </c>
      <c r="J503" s="601"/>
      <c r="K503" s="13">
        <f t="shared" si="123"/>
        <v>1</v>
      </c>
      <c r="L503" s="601"/>
      <c r="M503" s="13">
        <f t="shared" si="124"/>
        <v>1</v>
      </c>
      <c r="N503" s="601"/>
      <c r="O503" s="13">
        <f t="shared" si="125"/>
        <v>1</v>
      </c>
      <c r="P503" s="601"/>
      <c r="Q503" s="13">
        <f t="shared" si="126"/>
        <v>1</v>
      </c>
      <c r="R503" s="597">
        <f t="shared" si="131"/>
        <v>0</v>
      </c>
      <c r="S503" s="250">
        <f t="shared" si="132"/>
        <v>0</v>
      </c>
      <c r="T503" s="901">
        <f t="shared" si="133"/>
        <v>0</v>
      </c>
      <c r="U503" s="2988">
        <f t="shared" si="127"/>
        <v>0</v>
      </c>
      <c r="V503" s="2988">
        <f t="shared" si="128"/>
        <v>0</v>
      </c>
      <c r="W503" s="998"/>
      <c r="X503" s="2988">
        <f t="shared" si="129"/>
        <v>0</v>
      </c>
      <c r="Y503" s="2988">
        <f t="shared" si="130"/>
        <v>0</v>
      </c>
      <c r="Z503" s="998"/>
    </row>
    <row r="504" spans="1:26">
      <c r="A504" s="35"/>
      <c r="B504" s="20"/>
      <c r="C504" s="13">
        <f t="shared" si="119"/>
        <v>1</v>
      </c>
      <c r="D504" s="601"/>
      <c r="E504" s="13">
        <f t="shared" si="120"/>
        <v>1</v>
      </c>
      <c r="F504" s="601"/>
      <c r="G504" s="13">
        <f t="shared" si="121"/>
        <v>1</v>
      </c>
      <c r="H504" s="601"/>
      <c r="I504" s="13">
        <f t="shared" si="122"/>
        <v>1</v>
      </c>
      <c r="J504" s="601"/>
      <c r="K504" s="13">
        <f t="shared" si="123"/>
        <v>1</v>
      </c>
      <c r="L504" s="601"/>
      <c r="M504" s="13">
        <f t="shared" si="124"/>
        <v>1</v>
      </c>
      <c r="N504" s="601"/>
      <c r="O504" s="13">
        <f t="shared" si="125"/>
        <v>1</v>
      </c>
      <c r="P504" s="601"/>
      <c r="Q504" s="13">
        <f t="shared" si="126"/>
        <v>1</v>
      </c>
      <c r="R504" s="597">
        <f t="shared" si="131"/>
        <v>0</v>
      </c>
      <c r="S504" s="250">
        <f t="shared" si="132"/>
        <v>0</v>
      </c>
      <c r="T504" s="901">
        <f t="shared" si="133"/>
        <v>0</v>
      </c>
      <c r="U504" s="2988">
        <f t="shared" si="127"/>
        <v>0</v>
      </c>
      <c r="V504" s="2988">
        <f t="shared" si="128"/>
        <v>0</v>
      </c>
      <c r="W504" s="998"/>
      <c r="X504" s="2988">
        <f t="shared" si="129"/>
        <v>0</v>
      </c>
      <c r="Y504" s="2988">
        <f t="shared" si="130"/>
        <v>0</v>
      </c>
      <c r="Z504" s="998"/>
    </row>
    <row r="505" spans="1:26">
      <c r="A505" s="35"/>
      <c r="B505" s="20"/>
      <c r="C505" s="13">
        <f t="shared" si="119"/>
        <v>1</v>
      </c>
      <c r="D505" s="601"/>
      <c r="E505" s="13">
        <f t="shared" si="120"/>
        <v>1</v>
      </c>
      <c r="F505" s="601"/>
      <c r="G505" s="13">
        <f t="shared" si="121"/>
        <v>1</v>
      </c>
      <c r="H505" s="601"/>
      <c r="I505" s="13">
        <f t="shared" si="122"/>
        <v>1</v>
      </c>
      <c r="J505" s="601"/>
      <c r="K505" s="13">
        <f t="shared" si="123"/>
        <v>1</v>
      </c>
      <c r="L505" s="601"/>
      <c r="M505" s="13">
        <f t="shared" si="124"/>
        <v>1</v>
      </c>
      <c r="N505" s="601"/>
      <c r="O505" s="13">
        <f t="shared" si="125"/>
        <v>1</v>
      </c>
      <c r="P505" s="601"/>
      <c r="Q505" s="13">
        <f t="shared" si="126"/>
        <v>1</v>
      </c>
      <c r="R505" s="597">
        <f t="shared" si="131"/>
        <v>0</v>
      </c>
      <c r="S505" s="250">
        <f t="shared" si="132"/>
        <v>0</v>
      </c>
      <c r="T505" s="901">
        <f t="shared" si="133"/>
        <v>0</v>
      </c>
      <c r="U505" s="2988">
        <f t="shared" si="127"/>
        <v>0</v>
      </c>
      <c r="V505" s="2988">
        <f t="shared" si="128"/>
        <v>0</v>
      </c>
      <c r="W505" s="998"/>
      <c r="X505" s="2988">
        <f t="shared" si="129"/>
        <v>0</v>
      </c>
      <c r="Y505" s="2988">
        <f t="shared" si="130"/>
        <v>0</v>
      </c>
      <c r="Z505" s="998"/>
    </row>
    <row r="506" spans="1:26">
      <c r="A506" s="35"/>
      <c r="B506" s="20"/>
      <c r="C506" s="13">
        <f t="shared" si="119"/>
        <v>1</v>
      </c>
      <c r="D506" s="601"/>
      <c r="E506" s="13">
        <f t="shared" si="120"/>
        <v>1</v>
      </c>
      <c r="F506" s="601"/>
      <c r="G506" s="13">
        <f t="shared" si="121"/>
        <v>1</v>
      </c>
      <c r="H506" s="601"/>
      <c r="I506" s="13">
        <f t="shared" si="122"/>
        <v>1</v>
      </c>
      <c r="J506" s="601"/>
      <c r="K506" s="13">
        <f t="shared" si="123"/>
        <v>1</v>
      </c>
      <c r="L506" s="601"/>
      <c r="M506" s="13">
        <f t="shared" si="124"/>
        <v>1</v>
      </c>
      <c r="N506" s="601"/>
      <c r="O506" s="13">
        <f t="shared" si="125"/>
        <v>1</v>
      </c>
      <c r="P506" s="601"/>
      <c r="Q506" s="13">
        <f t="shared" si="126"/>
        <v>1</v>
      </c>
      <c r="R506" s="597">
        <f t="shared" si="131"/>
        <v>0</v>
      </c>
      <c r="S506" s="250">
        <f t="shared" si="132"/>
        <v>0</v>
      </c>
      <c r="T506" s="901">
        <f t="shared" si="133"/>
        <v>0</v>
      </c>
      <c r="U506" s="2988">
        <f t="shared" si="127"/>
        <v>0</v>
      </c>
      <c r="V506" s="2988">
        <f t="shared" si="128"/>
        <v>0</v>
      </c>
      <c r="W506" s="998"/>
      <c r="X506" s="2988">
        <f t="shared" si="129"/>
        <v>0</v>
      </c>
      <c r="Y506" s="2988">
        <f t="shared" si="130"/>
        <v>0</v>
      </c>
      <c r="Z506" s="998"/>
    </row>
    <row r="507" spans="1:26">
      <c r="A507" s="35"/>
      <c r="B507" s="20"/>
      <c r="C507" s="13">
        <f t="shared" si="119"/>
        <v>1</v>
      </c>
      <c r="D507" s="601"/>
      <c r="E507" s="13">
        <f t="shared" si="120"/>
        <v>1</v>
      </c>
      <c r="F507" s="601"/>
      <c r="G507" s="13">
        <f t="shared" si="121"/>
        <v>1</v>
      </c>
      <c r="H507" s="601"/>
      <c r="I507" s="13">
        <f t="shared" si="122"/>
        <v>1</v>
      </c>
      <c r="J507" s="601"/>
      <c r="K507" s="13">
        <f t="shared" si="123"/>
        <v>1</v>
      </c>
      <c r="L507" s="601"/>
      <c r="M507" s="13">
        <f t="shared" si="124"/>
        <v>1</v>
      </c>
      <c r="N507" s="601"/>
      <c r="O507" s="13">
        <f t="shared" si="125"/>
        <v>1</v>
      </c>
      <c r="P507" s="601"/>
      <c r="Q507" s="13">
        <f t="shared" si="126"/>
        <v>1</v>
      </c>
      <c r="R507" s="597">
        <f t="shared" si="131"/>
        <v>0</v>
      </c>
      <c r="S507" s="250">
        <f t="shared" si="132"/>
        <v>0</v>
      </c>
      <c r="T507" s="901">
        <f t="shared" si="133"/>
        <v>0</v>
      </c>
      <c r="U507" s="2988">
        <f t="shared" si="127"/>
        <v>0</v>
      </c>
      <c r="V507" s="2988">
        <f t="shared" si="128"/>
        <v>0</v>
      </c>
      <c r="W507" s="998"/>
      <c r="X507" s="2988">
        <f t="shared" si="129"/>
        <v>0</v>
      </c>
      <c r="Y507" s="2988">
        <f t="shared" si="130"/>
        <v>0</v>
      </c>
      <c r="Z507" s="998"/>
    </row>
    <row r="508" spans="1:26">
      <c r="A508" s="35"/>
      <c r="B508" s="20"/>
      <c r="C508" s="13">
        <f t="shared" si="119"/>
        <v>1</v>
      </c>
      <c r="D508" s="601"/>
      <c r="E508" s="13">
        <f t="shared" si="120"/>
        <v>1</v>
      </c>
      <c r="F508" s="601"/>
      <c r="G508" s="13">
        <f t="shared" si="121"/>
        <v>1</v>
      </c>
      <c r="H508" s="601"/>
      <c r="I508" s="13">
        <f t="shared" si="122"/>
        <v>1</v>
      </c>
      <c r="J508" s="601"/>
      <c r="K508" s="13">
        <f t="shared" si="123"/>
        <v>1</v>
      </c>
      <c r="L508" s="601"/>
      <c r="M508" s="13">
        <f t="shared" si="124"/>
        <v>1</v>
      </c>
      <c r="N508" s="601"/>
      <c r="O508" s="13">
        <f t="shared" si="125"/>
        <v>1</v>
      </c>
      <c r="P508" s="601"/>
      <c r="Q508" s="13">
        <f t="shared" si="126"/>
        <v>1</v>
      </c>
      <c r="R508" s="597">
        <f t="shared" si="131"/>
        <v>0</v>
      </c>
      <c r="S508" s="250">
        <f t="shared" si="132"/>
        <v>0</v>
      </c>
      <c r="T508" s="901">
        <f t="shared" si="133"/>
        <v>0</v>
      </c>
      <c r="U508" s="2988">
        <f t="shared" si="127"/>
        <v>0</v>
      </c>
      <c r="V508" s="2988">
        <f t="shared" si="128"/>
        <v>0</v>
      </c>
      <c r="W508" s="998"/>
      <c r="X508" s="2988">
        <f t="shared" si="129"/>
        <v>0</v>
      </c>
      <c r="Y508" s="2988">
        <f t="shared" si="130"/>
        <v>0</v>
      </c>
      <c r="Z508" s="998"/>
    </row>
    <row r="509" spans="1:26">
      <c r="A509" s="35"/>
      <c r="B509" s="20"/>
      <c r="C509" s="13">
        <f t="shared" si="119"/>
        <v>1</v>
      </c>
      <c r="D509" s="601"/>
      <c r="E509" s="13">
        <f t="shared" si="120"/>
        <v>1</v>
      </c>
      <c r="F509" s="601"/>
      <c r="G509" s="13">
        <f t="shared" si="121"/>
        <v>1</v>
      </c>
      <c r="H509" s="601"/>
      <c r="I509" s="13">
        <f t="shared" si="122"/>
        <v>1</v>
      </c>
      <c r="J509" s="601"/>
      <c r="K509" s="13">
        <f t="shared" si="123"/>
        <v>1</v>
      </c>
      <c r="L509" s="601"/>
      <c r="M509" s="13">
        <f t="shared" si="124"/>
        <v>1</v>
      </c>
      <c r="N509" s="601"/>
      <c r="O509" s="13">
        <f t="shared" si="125"/>
        <v>1</v>
      </c>
      <c r="P509" s="601"/>
      <c r="Q509" s="13">
        <f t="shared" si="126"/>
        <v>1</v>
      </c>
      <c r="R509" s="597">
        <f t="shared" si="131"/>
        <v>0</v>
      </c>
      <c r="S509" s="250">
        <f t="shared" si="132"/>
        <v>0</v>
      </c>
      <c r="T509" s="901">
        <f t="shared" si="133"/>
        <v>0</v>
      </c>
      <c r="U509" s="2988">
        <f t="shared" si="127"/>
        <v>0</v>
      </c>
      <c r="V509" s="2988">
        <f t="shared" si="128"/>
        <v>0</v>
      </c>
      <c r="W509" s="998"/>
      <c r="X509" s="2988">
        <f t="shared" si="129"/>
        <v>0</v>
      </c>
      <c r="Y509" s="2988">
        <f t="shared" si="130"/>
        <v>0</v>
      </c>
      <c r="Z509" s="998"/>
    </row>
    <row r="510" spans="1:26">
      <c r="A510" s="35"/>
      <c r="B510" s="20"/>
      <c r="C510" s="13">
        <f t="shared" si="119"/>
        <v>1</v>
      </c>
      <c r="D510" s="601"/>
      <c r="E510" s="13">
        <f t="shared" si="120"/>
        <v>1</v>
      </c>
      <c r="F510" s="601"/>
      <c r="G510" s="13">
        <f t="shared" si="121"/>
        <v>1</v>
      </c>
      <c r="H510" s="601"/>
      <c r="I510" s="13">
        <f t="shared" si="122"/>
        <v>1</v>
      </c>
      <c r="J510" s="601"/>
      <c r="K510" s="13">
        <f t="shared" si="123"/>
        <v>1</v>
      </c>
      <c r="L510" s="601"/>
      <c r="M510" s="13">
        <f t="shared" si="124"/>
        <v>1</v>
      </c>
      <c r="N510" s="601"/>
      <c r="O510" s="13">
        <f t="shared" si="125"/>
        <v>1</v>
      </c>
      <c r="P510" s="601"/>
      <c r="Q510" s="13">
        <f t="shared" si="126"/>
        <v>1</v>
      </c>
      <c r="R510" s="597">
        <f t="shared" si="131"/>
        <v>0</v>
      </c>
      <c r="S510" s="250">
        <f t="shared" si="132"/>
        <v>0</v>
      </c>
      <c r="T510" s="901">
        <f t="shared" si="133"/>
        <v>0</v>
      </c>
      <c r="U510" s="2988">
        <f t="shared" si="127"/>
        <v>0</v>
      </c>
      <c r="V510" s="2988">
        <f t="shared" si="128"/>
        <v>0</v>
      </c>
      <c r="W510" s="998"/>
      <c r="X510" s="2988">
        <f t="shared" si="129"/>
        <v>0</v>
      </c>
      <c r="Y510" s="2988">
        <f t="shared" si="130"/>
        <v>0</v>
      </c>
      <c r="Z510" s="998"/>
    </row>
    <row r="511" spans="1:26">
      <c r="A511" s="35"/>
      <c r="B511" s="20"/>
      <c r="C511" s="13">
        <f t="shared" si="119"/>
        <v>1</v>
      </c>
      <c r="D511" s="601"/>
      <c r="E511" s="13">
        <f t="shared" si="120"/>
        <v>1</v>
      </c>
      <c r="F511" s="601"/>
      <c r="G511" s="13">
        <f t="shared" si="121"/>
        <v>1</v>
      </c>
      <c r="H511" s="601"/>
      <c r="I511" s="13">
        <f t="shared" si="122"/>
        <v>1</v>
      </c>
      <c r="J511" s="601"/>
      <c r="K511" s="13">
        <f t="shared" si="123"/>
        <v>1</v>
      </c>
      <c r="L511" s="601"/>
      <c r="M511" s="13">
        <f t="shared" si="124"/>
        <v>1</v>
      </c>
      <c r="N511" s="601"/>
      <c r="O511" s="13">
        <f t="shared" si="125"/>
        <v>1</v>
      </c>
      <c r="P511" s="601"/>
      <c r="Q511" s="13">
        <f t="shared" si="126"/>
        <v>1</v>
      </c>
      <c r="R511" s="597">
        <f t="shared" si="131"/>
        <v>0</v>
      </c>
      <c r="S511" s="250">
        <f t="shared" si="132"/>
        <v>0</v>
      </c>
      <c r="T511" s="901">
        <f t="shared" si="133"/>
        <v>0</v>
      </c>
      <c r="U511" s="2988">
        <f t="shared" si="127"/>
        <v>0</v>
      </c>
      <c r="V511" s="2988">
        <f t="shared" si="128"/>
        <v>0</v>
      </c>
      <c r="W511" s="998"/>
      <c r="X511" s="2988">
        <f t="shared" si="129"/>
        <v>0</v>
      </c>
      <c r="Y511" s="2988">
        <f t="shared" si="130"/>
        <v>0</v>
      </c>
      <c r="Z511" s="998"/>
    </row>
    <row r="512" spans="1:26">
      <c r="A512" s="35"/>
      <c r="B512" s="20"/>
      <c r="C512" s="13">
        <f t="shared" si="119"/>
        <v>1</v>
      </c>
      <c r="D512" s="601"/>
      <c r="E512" s="13">
        <f t="shared" si="120"/>
        <v>1</v>
      </c>
      <c r="F512" s="601"/>
      <c r="G512" s="13">
        <f t="shared" si="121"/>
        <v>1</v>
      </c>
      <c r="H512" s="601"/>
      <c r="I512" s="13">
        <f t="shared" si="122"/>
        <v>1</v>
      </c>
      <c r="J512" s="601"/>
      <c r="K512" s="13">
        <f t="shared" si="123"/>
        <v>1</v>
      </c>
      <c r="L512" s="601"/>
      <c r="M512" s="13">
        <f t="shared" si="124"/>
        <v>1</v>
      </c>
      <c r="N512" s="601"/>
      <c r="O512" s="13">
        <f t="shared" si="125"/>
        <v>1</v>
      </c>
      <c r="P512" s="601"/>
      <c r="Q512" s="13">
        <f t="shared" si="126"/>
        <v>1</v>
      </c>
      <c r="R512" s="597">
        <f t="shared" si="131"/>
        <v>0</v>
      </c>
      <c r="S512" s="250">
        <f t="shared" si="132"/>
        <v>0</v>
      </c>
      <c r="T512" s="901">
        <f t="shared" si="133"/>
        <v>0</v>
      </c>
      <c r="U512" s="2988">
        <f t="shared" si="127"/>
        <v>0</v>
      </c>
      <c r="V512" s="2988">
        <f t="shared" si="128"/>
        <v>0</v>
      </c>
      <c r="W512" s="998"/>
      <c r="X512" s="2988">
        <f t="shared" si="129"/>
        <v>0</v>
      </c>
      <c r="Y512" s="2988">
        <f t="shared" si="130"/>
        <v>0</v>
      </c>
      <c r="Z512" s="998"/>
    </row>
    <row r="513" spans="1:26">
      <c r="A513" s="35"/>
      <c r="B513" s="20"/>
      <c r="C513" s="13">
        <f t="shared" si="119"/>
        <v>1</v>
      </c>
      <c r="D513" s="601"/>
      <c r="E513" s="13">
        <f t="shared" si="120"/>
        <v>1</v>
      </c>
      <c r="F513" s="601"/>
      <c r="G513" s="13">
        <f t="shared" si="121"/>
        <v>1</v>
      </c>
      <c r="H513" s="601"/>
      <c r="I513" s="13">
        <f t="shared" si="122"/>
        <v>1</v>
      </c>
      <c r="J513" s="601"/>
      <c r="K513" s="13">
        <f t="shared" si="123"/>
        <v>1</v>
      </c>
      <c r="L513" s="601"/>
      <c r="M513" s="13">
        <f t="shared" si="124"/>
        <v>1</v>
      </c>
      <c r="N513" s="601"/>
      <c r="O513" s="13">
        <f t="shared" si="125"/>
        <v>1</v>
      </c>
      <c r="P513" s="601"/>
      <c r="Q513" s="13">
        <f t="shared" si="126"/>
        <v>1</v>
      </c>
      <c r="R513" s="597">
        <f t="shared" si="131"/>
        <v>0</v>
      </c>
      <c r="S513" s="250">
        <f t="shared" si="132"/>
        <v>0</v>
      </c>
      <c r="T513" s="901">
        <f t="shared" si="133"/>
        <v>0</v>
      </c>
      <c r="U513" s="2988">
        <f t="shared" si="127"/>
        <v>0</v>
      </c>
      <c r="V513" s="2988">
        <f t="shared" si="128"/>
        <v>0</v>
      </c>
      <c r="W513" s="998"/>
      <c r="X513" s="2988">
        <f t="shared" si="129"/>
        <v>0</v>
      </c>
      <c r="Y513" s="2988">
        <f t="shared" si="130"/>
        <v>0</v>
      </c>
      <c r="Z513" s="998"/>
    </row>
    <row r="514" spans="1:26">
      <c r="A514" s="35"/>
      <c r="B514" s="20"/>
      <c r="C514" s="13">
        <f t="shared" si="119"/>
        <v>1</v>
      </c>
      <c r="D514" s="601"/>
      <c r="E514" s="13">
        <f t="shared" si="120"/>
        <v>1</v>
      </c>
      <c r="F514" s="601"/>
      <c r="G514" s="13">
        <f t="shared" si="121"/>
        <v>1</v>
      </c>
      <c r="H514" s="601"/>
      <c r="I514" s="13">
        <f t="shared" si="122"/>
        <v>1</v>
      </c>
      <c r="J514" s="601"/>
      <c r="K514" s="13">
        <f t="shared" si="123"/>
        <v>1</v>
      </c>
      <c r="L514" s="601"/>
      <c r="M514" s="13">
        <f t="shared" si="124"/>
        <v>1</v>
      </c>
      <c r="N514" s="601"/>
      <c r="O514" s="13">
        <f t="shared" si="125"/>
        <v>1</v>
      </c>
      <c r="P514" s="601"/>
      <c r="Q514" s="13">
        <f t="shared" si="126"/>
        <v>1</v>
      </c>
      <c r="R514" s="597">
        <f t="shared" si="131"/>
        <v>0</v>
      </c>
      <c r="S514" s="250">
        <f t="shared" si="132"/>
        <v>0</v>
      </c>
      <c r="T514" s="901">
        <f t="shared" si="133"/>
        <v>0</v>
      </c>
      <c r="U514" s="2988">
        <f t="shared" si="127"/>
        <v>0</v>
      </c>
      <c r="V514" s="2988">
        <f t="shared" si="128"/>
        <v>0</v>
      </c>
      <c r="W514" s="998"/>
      <c r="X514" s="2988">
        <f t="shared" si="129"/>
        <v>0</v>
      </c>
      <c r="Y514" s="2988">
        <f t="shared" si="130"/>
        <v>0</v>
      </c>
      <c r="Z514" s="998"/>
    </row>
    <row r="515" spans="1:26">
      <c r="A515" s="35"/>
      <c r="B515" s="20"/>
      <c r="C515" s="13">
        <f t="shared" si="119"/>
        <v>1</v>
      </c>
      <c r="D515" s="601"/>
      <c r="E515" s="13">
        <f t="shared" si="120"/>
        <v>1</v>
      </c>
      <c r="F515" s="601"/>
      <c r="G515" s="13">
        <f t="shared" si="121"/>
        <v>1</v>
      </c>
      <c r="H515" s="601"/>
      <c r="I515" s="13">
        <f t="shared" si="122"/>
        <v>1</v>
      </c>
      <c r="J515" s="601"/>
      <c r="K515" s="13">
        <f t="shared" si="123"/>
        <v>1</v>
      </c>
      <c r="L515" s="601"/>
      <c r="M515" s="13">
        <f t="shared" si="124"/>
        <v>1</v>
      </c>
      <c r="N515" s="601"/>
      <c r="O515" s="13">
        <f t="shared" si="125"/>
        <v>1</v>
      </c>
      <c r="P515" s="601"/>
      <c r="Q515" s="13">
        <f t="shared" si="126"/>
        <v>1</v>
      </c>
      <c r="R515" s="597">
        <f t="shared" si="131"/>
        <v>0</v>
      </c>
      <c r="S515" s="250">
        <f t="shared" si="132"/>
        <v>0</v>
      </c>
      <c r="T515" s="901">
        <f t="shared" si="133"/>
        <v>0</v>
      </c>
      <c r="U515" s="2988">
        <f t="shared" si="127"/>
        <v>0</v>
      </c>
      <c r="V515" s="2988">
        <f t="shared" si="128"/>
        <v>0</v>
      </c>
      <c r="W515" s="998"/>
      <c r="X515" s="2988">
        <f t="shared" si="129"/>
        <v>0</v>
      </c>
      <c r="Y515" s="2988">
        <f t="shared" si="130"/>
        <v>0</v>
      </c>
      <c r="Z515" s="998"/>
    </row>
    <row r="516" spans="1:26">
      <c r="A516" s="35"/>
      <c r="B516" s="20"/>
      <c r="C516" s="13">
        <f t="shared" si="119"/>
        <v>1</v>
      </c>
      <c r="D516" s="601"/>
      <c r="E516" s="13">
        <f t="shared" si="120"/>
        <v>1</v>
      </c>
      <c r="F516" s="601"/>
      <c r="G516" s="13">
        <f t="shared" si="121"/>
        <v>1</v>
      </c>
      <c r="H516" s="601"/>
      <c r="I516" s="13">
        <f t="shared" si="122"/>
        <v>1</v>
      </c>
      <c r="J516" s="601"/>
      <c r="K516" s="13">
        <f t="shared" si="123"/>
        <v>1</v>
      </c>
      <c r="L516" s="601"/>
      <c r="M516" s="13">
        <f t="shared" si="124"/>
        <v>1</v>
      </c>
      <c r="N516" s="601"/>
      <c r="O516" s="13">
        <f t="shared" si="125"/>
        <v>1</v>
      </c>
      <c r="P516" s="601"/>
      <c r="Q516" s="13">
        <f t="shared" si="126"/>
        <v>1</v>
      </c>
      <c r="R516" s="597">
        <f t="shared" si="131"/>
        <v>0</v>
      </c>
      <c r="S516" s="250">
        <f t="shared" si="132"/>
        <v>0</v>
      </c>
      <c r="T516" s="901">
        <f t="shared" si="133"/>
        <v>0</v>
      </c>
      <c r="U516" s="2988">
        <f t="shared" si="127"/>
        <v>0</v>
      </c>
      <c r="V516" s="2988">
        <f t="shared" si="128"/>
        <v>0</v>
      </c>
      <c r="W516" s="998"/>
      <c r="X516" s="2988">
        <f t="shared" si="129"/>
        <v>0</v>
      </c>
      <c r="Y516" s="2988">
        <f t="shared" si="130"/>
        <v>0</v>
      </c>
      <c r="Z516" s="998"/>
    </row>
    <row r="517" spans="1:26">
      <c r="A517" s="35"/>
      <c r="B517" s="20"/>
      <c r="C517" s="13">
        <f t="shared" si="119"/>
        <v>1</v>
      </c>
      <c r="D517" s="601"/>
      <c r="E517" s="13">
        <f t="shared" si="120"/>
        <v>1</v>
      </c>
      <c r="F517" s="601"/>
      <c r="G517" s="13">
        <f t="shared" si="121"/>
        <v>1</v>
      </c>
      <c r="H517" s="601"/>
      <c r="I517" s="13">
        <f t="shared" si="122"/>
        <v>1</v>
      </c>
      <c r="J517" s="601"/>
      <c r="K517" s="13">
        <f t="shared" si="123"/>
        <v>1</v>
      </c>
      <c r="L517" s="601"/>
      <c r="M517" s="13">
        <f t="shared" si="124"/>
        <v>1</v>
      </c>
      <c r="N517" s="601"/>
      <c r="O517" s="13">
        <f t="shared" si="125"/>
        <v>1</v>
      </c>
      <c r="P517" s="601"/>
      <c r="Q517" s="13">
        <f t="shared" si="126"/>
        <v>1</v>
      </c>
      <c r="R517" s="597">
        <f t="shared" si="131"/>
        <v>0</v>
      </c>
      <c r="S517" s="250">
        <f t="shared" si="132"/>
        <v>0</v>
      </c>
      <c r="T517" s="901">
        <f t="shared" si="133"/>
        <v>0</v>
      </c>
      <c r="U517" s="2988">
        <f t="shared" si="127"/>
        <v>0</v>
      </c>
      <c r="V517" s="2988">
        <f t="shared" si="128"/>
        <v>0</v>
      </c>
      <c r="W517" s="998"/>
      <c r="X517" s="2988">
        <f t="shared" si="129"/>
        <v>0</v>
      </c>
      <c r="Y517" s="2988">
        <f t="shared" si="130"/>
        <v>0</v>
      </c>
      <c r="Z517" s="998"/>
    </row>
    <row r="518" spans="1:26">
      <c r="A518" s="35"/>
      <c r="B518" s="20"/>
      <c r="C518" s="13">
        <f t="shared" si="119"/>
        <v>1</v>
      </c>
      <c r="D518" s="601"/>
      <c r="E518" s="13">
        <f t="shared" si="120"/>
        <v>1</v>
      </c>
      <c r="F518" s="601"/>
      <c r="G518" s="13">
        <f t="shared" si="121"/>
        <v>1</v>
      </c>
      <c r="H518" s="601"/>
      <c r="I518" s="13">
        <f t="shared" si="122"/>
        <v>1</v>
      </c>
      <c r="J518" s="601"/>
      <c r="K518" s="13">
        <f t="shared" si="123"/>
        <v>1</v>
      </c>
      <c r="L518" s="601"/>
      <c r="M518" s="13">
        <f t="shared" si="124"/>
        <v>1</v>
      </c>
      <c r="N518" s="601"/>
      <c r="O518" s="13">
        <f t="shared" si="125"/>
        <v>1</v>
      </c>
      <c r="P518" s="601"/>
      <c r="Q518" s="13">
        <f t="shared" si="126"/>
        <v>1</v>
      </c>
      <c r="R518" s="597">
        <f t="shared" si="131"/>
        <v>0</v>
      </c>
      <c r="S518" s="250">
        <f t="shared" si="132"/>
        <v>0</v>
      </c>
      <c r="T518" s="901">
        <f t="shared" si="133"/>
        <v>0</v>
      </c>
      <c r="U518" s="2988">
        <f t="shared" si="127"/>
        <v>0</v>
      </c>
      <c r="V518" s="2988">
        <f t="shared" si="128"/>
        <v>0</v>
      </c>
      <c r="W518" s="998"/>
      <c r="X518" s="2988">
        <f t="shared" si="129"/>
        <v>0</v>
      </c>
      <c r="Y518" s="2988">
        <f t="shared" si="130"/>
        <v>0</v>
      </c>
      <c r="Z518" s="998"/>
    </row>
    <row r="519" spans="1:26">
      <c r="A519" s="35"/>
      <c r="B519" s="20"/>
      <c r="C519" s="13">
        <f t="shared" si="119"/>
        <v>1</v>
      </c>
      <c r="D519" s="601"/>
      <c r="E519" s="13">
        <f t="shared" si="120"/>
        <v>1</v>
      </c>
      <c r="F519" s="601"/>
      <c r="G519" s="13">
        <f t="shared" si="121"/>
        <v>1</v>
      </c>
      <c r="H519" s="601"/>
      <c r="I519" s="13">
        <f t="shared" si="122"/>
        <v>1</v>
      </c>
      <c r="J519" s="601"/>
      <c r="K519" s="13">
        <f t="shared" si="123"/>
        <v>1</v>
      </c>
      <c r="L519" s="601"/>
      <c r="M519" s="13">
        <f t="shared" si="124"/>
        <v>1</v>
      </c>
      <c r="N519" s="601"/>
      <c r="O519" s="13">
        <f t="shared" si="125"/>
        <v>1</v>
      </c>
      <c r="P519" s="601"/>
      <c r="Q519" s="13">
        <f t="shared" si="126"/>
        <v>1</v>
      </c>
      <c r="R519" s="597">
        <f t="shared" si="131"/>
        <v>0</v>
      </c>
      <c r="S519" s="250">
        <f t="shared" si="132"/>
        <v>0</v>
      </c>
      <c r="T519" s="901">
        <f t="shared" si="133"/>
        <v>0</v>
      </c>
      <c r="U519" s="2988">
        <f t="shared" si="127"/>
        <v>0</v>
      </c>
      <c r="V519" s="2988">
        <f t="shared" si="128"/>
        <v>0</v>
      </c>
      <c r="W519" s="998"/>
      <c r="X519" s="2988">
        <f t="shared" si="129"/>
        <v>0</v>
      </c>
      <c r="Y519" s="2988">
        <f t="shared" si="130"/>
        <v>0</v>
      </c>
      <c r="Z519" s="998"/>
    </row>
    <row r="520" spans="1:26">
      <c r="A520" s="35"/>
      <c r="B520" s="20"/>
      <c r="C520" s="13">
        <f t="shared" si="119"/>
        <v>1</v>
      </c>
      <c r="D520" s="601"/>
      <c r="E520" s="13">
        <f t="shared" si="120"/>
        <v>1</v>
      </c>
      <c r="F520" s="601"/>
      <c r="G520" s="13">
        <f t="shared" si="121"/>
        <v>1</v>
      </c>
      <c r="H520" s="601"/>
      <c r="I520" s="13">
        <f t="shared" si="122"/>
        <v>1</v>
      </c>
      <c r="J520" s="601"/>
      <c r="K520" s="13">
        <f t="shared" si="123"/>
        <v>1</v>
      </c>
      <c r="L520" s="601"/>
      <c r="M520" s="13">
        <f t="shared" si="124"/>
        <v>1</v>
      </c>
      <c r="N520" s="601"/>
      <c r="O520" s="13">
        <f t="shared" si="125"/>
        <v>1</v>
      </c>
      <c r="P520" s="601"/>
      <c r="Q520" s="13">
        <f t="shared" si="126"/>
        <v>1</v>
      </c>
      <c r="R520" s="597">
        <f t="shared" si="131"/>
        <v>0</v>
      </c>
      <c r="S520" s="250">
        <f t="shared" si="132"/>
        <v>0</v>
      </c>
      <c r="T520" s="901">
        <f t="shared" si="133"/>
        <v>0</v>
      </c>
      <c r="U520" s="2988">
        <f t="shared" si="127"/>
        <v>0</v>
      </c>
      <c r="V520" s="2988">
        <f t="shared" si="128"/>
        <v>0</v>
      </c>
      <c r="W520" s="998"/>
      <c r="X520" s="2988">
        <f t="shared" si="129"/>
        <v>0</v>
      </c>
      <c r="Y520" s="2988">
        <f t="shared" si="130"/>
        <v>0</v>
      </c>
      <c r="Z520" s="998"/>
    </row>
    <row r="521" spans="1:26">
      <c r="A521" s="35"/>
      <c r="B521" s="20"/>
      <c r="C521" s="13">
        <f t="shared" si="119"/>
        <v>1</v>
      </c>
      <c r="D521" s="601"/>
      <c r="E521" s="13">
        <f t="shared" si="120"/>
        <v>1</v>
      </c>
      <c r="F521" s="601"/>
      <c r="G521" s="13">
        <f t="shared" si="121"/>
        <v>1</v>
      </c>
      <c r="H521" s="601"/>
      <c r="I521" s="13">
        <f t="shared" si="122"/>
        <v>1</v>
      </c>
      <c r="J521" s="601"/>
      <c r="K521" s="13">
        <f t="shared" si="123"/>
        <v>1</v>
      </c>
      <c r="L521" s="601"/>
      <c r="M521" s="13">
        <f t="shared" si="124"/>
        <v>1</v>
      </c>
      <c r="N521" s="601"/>
      <c r="O521" s="13">
        <f t="shared" si="125"/>
        <v>1</v>
      </c>
      <c r="P521" s="601"/>
      <c r="Q521" s="13">
        <f t="shared" si="126"/>
        <v>1</v>
      </c>
      <c r="R521" s="597">
        <f t="shared" si="131"/>
        <v>0</v>
      </c>
      <c r="S521" s="250">
        <f t="shared" si="132"/>
        <v>0</v>
      </c>
      <c r="T521" s="901">
        <f t="shared" si="133"/>
        <v>0</v>
      </c>
      <c r="U521" s="2988">
        <f t="shared" si="127"/>
        <v>0</v>
      </c>
      <c r="V521" s="2988">
        <f t="shared" si="128"/>
        <v>0</v>
      </c>
      <c r="W521" s="998"/>
      <c r="X521" s="2988">
        <f t="shared" si="129"/>
        <v>0</v>
      </c>
      <c r="Y521" s="2988">
        <f t="shared" si="130"/>
        <v>0</v>
      </c>
      <c r="Z521" s="998"/>
    </row>
    <row r="522" spans="1:26">
      <c r="A522" s="35"/>
      <c r="B522" s="20"/>
      <c r="C522" s="13">
        <f t="shared" si="119"/>
        <v>1</v>
      </c>
      <c r="D522" s="601"/>
      <c r="E522" s="13">
        <f t="shared" si="120"/>
        <v>1</v>
      </c>
      <c r="F522" s="601"/>
      <c r="G522" s="13">
        <f t="shared" si="121"/>
        <v>1</v>
      </c>
      <c r="H522" s="601"/>
      <c r="I522" s="13">
        <f t="shared" si="122"/>
        <v>1</v>
      </c>
      <c r="J522" s="601"/>
      <c r="K522" s="13">
        <f t="shared" si="123"/>
        <v>1</v>
      </c>
      <c r="L522" s="601"/>
      <c r="M522" s="13">
        <f t="shared" si="124"/>
        <v>1</v>
      </c>
      <c r="N522" s="601"/>
      <c r="O522" s="13">
        <f t="shared" si="125"/>
        <v>1</v>
      </c>
      <c r="P522" s="601"/>
      <c r="Q522" s="13">
        <f t="shared" si="126"/>
        <v>1</v>
      </c>
      <c r="R522" s="597">
        <f t="shared" si="131"/>
        <v>0</v>
      </c>
      <c r="S522" s="250">
        <f t="shared" si="132"/>
        <v>0</v>
      </c>
      <c r="T522" s="901">
        <f t="shared" si="133"/>
        <v>0</v>
      </c>
      <c r="U522" s="2988">
        <f t="shared" si="127"/>
        <v>0</v>
      </c>
      <c r="V522" s="2988">
        <f t="shared" si="128"/>
        <v>0</v>
      </c>
      <c r="W522" s="998"/>
      <c r="X522" s="2988">
        <f t="shared" si="129"/>
        <v>0</v>
      </c>
      <c r="Y522" s="2988">
        <f t="shared" si="130"/>
        <v>0</v>
      </c>
      <c r="Z522" s="998"/>
    </row>
    <row r="523" spans="1:26">
      <c r="A523" s="35"/>
      <c r="B523" s="20"/>
      <c r="C523" s="13">
        <f t="shared" si="119"/>
        <v>1</v>
      </c>
      <c r="D523" s="601"/>
      <c r="E523" s="13">
        <f t="shared" si="120"/>
        <v>1</v>
      </c>
      <c r="F523" s="601"/>
      <c r="G523" s="13">
        <f t="shared" si="121"/>
        <v>1</v>
      </c>
      <c r="H523" s="601"/>
      <c r="I523" s="13">
        <f t="shared" si="122"/>
        <v>1</v>
      </c>
      <c r="J523" s="601"/>
      <c r="K523" s="13">
        <f t="shared" si="123"/>
        <v>1</v>
      </c>
      <c r="L523" s="601"/>
      <c r="M523" s="13">
        <f t="shared" si="124"/>
        <v>1</v>
      </c>
      <c r="N523" s="601"/>
      <c r="O523" s="13">
        <f t="shared" si="125"/>
        <v>1</v>
      </c>
      <c r="P523" s="601"/>
      <c r="Q523" s="13">
        <f t="shared" si="126"/>
        <v>1</v>
      </c>
      <c r="R523" s="597">
        <f t="shared" si="131"/>
        <v>0</v>
      </c>
      <c r="S523" s="250">
        <f t="shared" si="132"/>
        <v>0</v>
      </c>
      <c r="T523" s="901">
        <f t="shared" si="133"/>
        <v>0</v>
      </c>
      <c r="U523" s="2988">
        <f t="shared" si="127"/>
        <v>0</v>
      </c>
      <c r="V523" s="2988">
        <f t="shared" si="128"/>
        <v>0</v>
      </c>
      <c r="W523" s="998"/>
      <c r="X523" s="2988">
        <f t="shared" si="129"/>
        <v>0</v>
      </c>
      <c r="Y523" s="2988">
        <f t="shared" si="130"/>
        <v>0</v>
      </c>
      <c r="Z523" s="998"/>
    </row>
    <row r="524" spans="1:26">
      <c r="A524" s="35"/>
      <c r="B524" s="20"/>
      <c r="C524" s="13">
        <f t="shared" si="119"/>
        <v>1</v>
      </c>
      <c r="D524" s="601"/>
      <c r="E524" s="13">
        <f t="shared" si="120"/>
        <v>1</v>
      </c>
      <c r="F524" s="601"/>
      <c r="G524" s="13">
        <f t="shared" si="121"/>
        <v>1</v>
      </c>
      <c r="H524" s="601"/>
      <c r="I524" s="13">
        <f t="shared" si="122"/>
        <v>1</v>
      </c>
      <c r="J524" s="601"/>
      <c r="K524" s="13">
        <f t="shared" si="123"/>
        <v>1</v>
      </c>
      <c r="L524" s="601"/>
      <c r="M524" s="13">
        <f t="shared" si="124"/>
        <v>1</v>
      </c>
      <c r="N524" s="601"/>
      <c r="O524" s="13">
        <f t="shared" si="125"/>
        <v>1</v>
      </c>
      <c r="P524" s="601"/>
      <c r="Q524" s="13">
        <f t="shared" si="126"/>
        <v>1</v>
      </c>
      <c r="R524" s="597">
        <f t="shared" si="131"/>
        <v>0</v>
      </c>
      <c r="S524" s="250">
        <f t="shared" si="132"/>
        <v>0</v>
      </c>
      <c r="T524" s="901">
        <f t="shared" si="133"/>
        <v>0</v>
      </c>
      <c r="U524" s="2988">
        <f t="shared" si="127"/>
        <v>0</v>
      </c>
      <c r="V524" s="2988">
        <f t="shared" si="128"/>
        <v>0</v>
      </c>
      <c r="W524" s="998"/>
      <c r="X524" s="2988">
        <f t="shared" si="129"/>
        <v>0</v>
      </c>
      <c r="Y524" s="2988">
        <f t="shared" si="130"/>
        <v>0</v>
      </c>
      <c r="Z524" s="998"/>
    </row>
    <row r="525" spans="1:26">
      <c r="A525" s="35"/>
      <c r="B525" s="20"/>
      <c r="C525" s="13">
        <f t="shared" si="119"/>
        <v>1</v>
      </c>
      <c r="D525" s="601"/>
      <c r="E525" s="13">
        <f t="shared" si="120"/>
        <v>1</v>
      </c>
      <c r="F525" s="601"/>
      <c r="G525" s="13">
        <f t="shared" si="121"/>
        <v>1</v>
      </c>
      <c r="H525" s="601"/>
      <c r="I525" s="13">
        <f t="shared" si="122"/>
        <v>1</v>
      </c>
      <c r="J525" s="601"/>
      <c r="K525" s="13">
        <f t="shared" si="123"/>
        <v>1</v>
      </c>
      <c r="L525" s="601"/>
      <c r="M525" s="13">
        <f t="shared" si="124"/>
        <v>1</v>
      </c>
      <c r="N525" s="601"/>
      <c r="O525" s="13">
        <f t="shared" si="125"/>
        <v>1</v>
      </c>
      <c r="P525" s="601"/>
      <c r="Q525" s="13">
        <f t="shared" si="126"/>
        <v>1</v>
      </c>
      <c r="R525" s="597">
        <f t="shared" si="131"/>
        <v>0</v>
      </c>
      <c r="S525" s="250">
        <f t="shared" si="132"/>
        <v>0</v>
      </c>
      <c r="T525" s="901">
        <f t="shared" si="133"/>
        <v>0</v>
      </c>
      <c r="U525" s="2988">
        <f t="shared" si="127"/>
        <v>0</v>
      </c>
      <c r="V525" s="2988">
        <f t="shared" si="128"/>
        <v>0</v>
      </c>
      <c r="W525" s="998"/>
      <c r="X525" s="2988">
        <f t="shared" si="129"/>
        <v>0</v>
      </c>
      <c r="Y525" s="2988">
        <f t="shared" si="130"/>
        <v>0</v>
      </c>
      <c r="Z525" s="998"/>
    </row>
    <row r="526" spans="1:26">
      <c r="A526" s="35"/>
      <c r="B526" s="20"/>
      <c r="C526" s="13">
        <f t="shared" si="119"/>
        <v>1</v>
      </c>
      <c r="D526" s="601"/>
      <c r="E526" s="13">
        <f t="shared" si="120"/>
        <v>1</v>
      </c>
      <c r="F526" s="601"/>
      <c r="G526" s="13">
        <f t="shared" si="121"/>
        <v>1</v>
      </c>
      <c r="H526" s="601"/>
      <c r="I526" s="13">
        <f t="shared" si="122"/>
        <v>1</v>
      </c>
      <c r="J526" s="601"/>
      <c r="K526" s="13">
        <f t="shared" si="123"/>
        <v>1</v>
      </c>
      <c r="L526" s="601"/>
      <c r="M526" s="13">
        <f t="shared" si="124"/>
        <v>1</v>
      </c>
      <c r="N526" s="601"/>
      <c r="O526" s="13">
        <f t="shared" si="125"/>
        <v>1</v>
      </c>
      <c r="P526" s="601"/>
      <c r="Q526" s="13">
        <f t="shared" si="126"/>
        <v>1</v>
      </c>
      <c r="R526" s="597">
        <f t="shared" si="131"/>
        <v>0</v>
      </c>
      <c r="S526" s="250">
        <f t="shared" si="132"/>
        <v>0</v>
      </c>
      <c r="T526" s="901">
        <f t="shared" si="133"/>
        <v>0</v>
      </c>
      <c r="U526" s="2988">
        <f t="shared" si="127"/>
        <v>0</v>
      </c>
      <c r="V526" s="2988">
        <f t="shared" si="128"/>
        <v>0</v>
      </c>
      <c r="W526" s="998"/>
      <c r="X526" s="2988">
        <f t="shared" si="129"/>
        <v>0</v>
      </c>
      <c r="Y526" s="2988">
        <f t="shared" si="130"/>
        <v>0</v>
      </c>
      <c r="Z526" s="998"/>
    </row>
    <row r="527" spans="1:26">
      <c r="A527" s="35"/>
      <c r="B527" s="20"/>
      <c r="C527" s="13">
        <f t="shared" si="119"/>
        <v>1</v>
      </c>
      <c r="D527" s="601"/>
      <c r="E527" s="13">
        <f t="shared" si="120"/>
        <v>1</v>
      </c>
      <c r="F527" s="601"/>
      <c r="G527" s="13">
        <f t="shared" si="121"/>
        <v>1</v>
      </c>
      <c r="H527" s="601"/>
      <c r="I527" s="13">
        <f t="shared" si="122"/>
        <v>1</v>
      </c>
      <c r="J527" s="601"/>
      <c r="K527" s="13">
        <f t="shared" si="123"/>
        <v>1</v>
      </c>
      <c r="L527" s="601"/>
      <c r="M527" s="13">
        <f t="shared" si="124"/>
        <v>1</v>
      </c>
      <c r="N527" s="601"/>
      <c r="O527" s="13">
        <f t="shared" si="125"/>
        <v>1</v>
      </c>
      <c r="P527" s="601"/>
      <c r="Q527" s="13">
        <f t="shared" si="126"/>
        <v>1</v>
      </c>
      <c r="R527" s="597">
        <f t="shared" si="131"/>
        <v>0</v>
      </c>
      <c r="S527" s="250">
        <f t="shared" si="132"/>
        <v>0</v>
      </c>
      <c r="T527" s="901">
        <f t="shared" si="133"/>
        <v>0</v>
      </c>
      <c r="U527" s="2988">
        <f t="shared" si="127"/>
        <v>0</v>
      </c>
      <c r="V527" s="2988">
        <f t="shared" si="128"/>
        <v>0</v>
      </c>
      <c r="W527" s="998"/>
      <c r="X527" s="2988">
        <f t="shared" si="129"/>
        <v>0</v>
      </c>
      <c r="Y527" s="2988">
        <f t="shared" si="130"/>
        <v>0</v>
      </c>
      <c r="Z527" s="998"/>
    </row>
  </sheetData>
  <sheetProtection password="CEE9" sheet="1" objects="1" scenarios="1" formatCells="0" formatColumns="0" formatRows="0"/>
  <mergeCells count="2">
    <mergeCell ref="C25:Q25"/>
    <mergeCell ref="C4:S4"/>
  </mergeCells>
  <phoneticPr fontId="20" type="noConversion"/>
  <conditionalFormatting sqref="C27:C527 E27:E527 G27:G527 I27:I527 K27:K527 M27:M527 O27:O527 Q27:Q527">
    <cfRule type="cellIs" dxfId="116" priority="1" operator="notEqual">
      <formula>1</formula>
    </cfRule>
  </conditionalFormatting>
  <dataValidations count="9">
    <dataValidation type="list" allowBlank="1" showInputMessage="1" showErrorMessage="1" sqref="D27:D527">
      <formula1>一修多修正项2</formula1>
    </dataValidation>
    <dataValidation type="list" allowBlank="1" showInputMessage="1" showErrorMessage="1" sqref="F27:F527">
      <formula1>一修多修正项3</formula1>
    </dataValidation>
    <dataValidation type="list" allowBlank="1" showInputMessage="1" showErrorMessage="1" sqref="H27:H527">
      <formula1>一修多修正项4</formula1>
    </dataValidation>
    <dataValidation type="list" allowBlank="1" showInputMessage="1" showErrorMessage="1" sqref="J27:J527">
      <formula1>一修多修正项5</formula1>
    </dataValidation>
    <dataValidation type="list" allowBlank="1" showInputMessage="1" showErrorMessage="1" sqref="L27:L527">
      <formula1>一修多修正项6</formula1>
    </dataValidation>
    <dataValidation type="list" allowBlank="1" showInputMessage="1" showErrorMessage="1" sqref="N27:N527">
      <formula1>一修多修正项7</formula1>
    </dataValidation>
    <dataValidation type="list" allowBlank="1" showInputMessage="1" showErrorMessage="1" sqref="P27:P527">
      <formula1>一修多修正项8</formula1>
    </dataValidation>
    <dataValidation type="list" allowBlank="1" showInputMessage="1" showErrorMessage="1" sqref="F23">
      <formula1>"需扣减承租人权益,——"</formula1>
    </dataValidation>
    <dataValidation type="list" allowBlank="1" showInputMessage="1" showErrorMessage="1" sqref="J23">
      <formula1>估价方法</formula1>
    </dataValidation>
  </dataValidations>
  <pageMargins left="0.70866141732283472" right="0.70866141732283472" top="0.74803149606299213" bottom="0.74803149606299213" header="0.31496062992125984" footer="0.31496062992125984"/>
  <pageSetup paperSize="9" scale="43"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rgb="FF92D050"/>
    <pageSetUpPr fitToPage="1"/>
  </sheetPr>
  <dimension ref="A1:AC132"/>
  <sheetViews>
    <sheetView view="pageBreakPreview" zoomScale="70" zoomScaleNormal="60" zoomScaleSheetLayoutView="70" workbookViewId="0">
      <selection activeCell="N50" sqref="N50"/>
    </sheetView>
  </sheetViews>
  <sheetFormatPr defaultColWidth="9" defaultRowHeight="14.25"/>
  <cols>
    <col min="1" max="1" width="10.5" style="1667" customWidth="1"/>
    <col min="2" max="2" width="15.75" style="1667" customWidth="1"/>
    <col min="3" max="3" width="14.375" style="1667" customWidth="1"/>
    <col min="4" max="4" width="12.25" style="1667" customWidth="1"/>
    <col min="5" max="5" width="14.375" style="1667" customWidth="1"/>
    <col min="6" max="6" width="12.25" style="1667" customWidth="1"/>
    <col min="7" max="7" width="14.5" style="1667" customWidth="1"/>
    <col min="8" max="8" width="12.25" style="1667" customWidth="1"/>
    <col min="9" max="9" width="14.5" style="1667" customWidth="1"/>
    <col min="10" max="10" width="12.25" style="1667" customWidth="1"/>
    <col min="11" max="11" width="12.25" style="1910" customWidth="1"/>
    <col min="12" max="12" width="12.25" style="1911" customWidth="1"/>
    <col min="13" max="15" width="12.25" style="1667" customWidth="1"/>
    <col min="16" max="16" width="4.75" style="1667" customWidth="1"/>
    <col min="17" max="17" width="19.5" style="1667" customWidth="1"/>
    <col min="18" max="22" width="6.125" style="1667" customWidth="1"/>
    <col min="23" max="23" width="5.75" style="1667" customWidth="1"/>
    <col min="24" max="24" width="4.25" style="1667" customWidth="1"/>
    <col min="25" max="25" width="3.5" style="1667" customWidth="1"/>
    <col min="26" max="26" width="19.75" style="1667" customWidth="1"/>
    <col min="27" max="28" width="9.375" style="1667" customWidth="1"/>
    <col min="29" max="16384" width="9" style="1667"/>
  </cols>
  <sheetData>
    <row r="1" spans="1:29" s="1648" customFormat="1" ht="28.5" customHeight="1" thickBot="1">
      <c r="A1" s="1637" t="s">
        <v>2241</v>
      </c>
      <c r="B1" s="1638" t="s">
        <v>2383</v>
      </c>
      <c r="C1" s="1639"/>
      <c r="D1" s="1638"/>
      <c r="E1" s="1641"/>
      <c r="F1" s="1642" t="s">
        <v>2243</v>
      </c>
      <c r="G1" s="1638"/>
      <c r="H1" s="1638"/>
      <c r="I1" s="1638"/>
      <c r="J1" s="1638"/>
      <c r="K1" s="1643"/>
      <c r="L1" s="1644"/>
      <c r="M1" s="1638"/>
      <c r="N1" s="1638"/>
      <c r="O1" s="1638"/>
      <c r="P1" s="1638"/>
      <c r="Q1" s="1638"/>
      <c r="R1" s="1638"/>
      <c r="S1" s="1638"/>
      <c r="T1" s="1638"/>
      <c r="U1" s="1638"/>
      <c r="V1" s="1638"/>
      <c r="W1" s="1638"/>
      <c r="X1" s="1638"/>
      <c r="Y1" s="1638"/>
      <c r="Z1" s="1638"/>
      <c r="AA1" s="1638"/>
      <c r="AB1" s="2487"/>
      <c r="AC1" s="1647"/>
    </row>
    <row r="2" spans="1:29" s="1960" customFormat="1" ht="28.5" customHeight="1" thickTop="1">
      <c r="A2" s="1649" t="s">
        <v>1914</v>
      </c>
      <c r="B2" s="1650" t="e">
        <f ca="1">IF(D2="——",IF(C2="元",ROUND(C50*D3,0),ROUND(C50*D3/10000,0)),IF(C2="元",ROUND(C50*D3,0),ROUND(C50*D3/10000,0))-E2)</f>
        <v>#DIV/0!</v>
      </c>
      <c r="C2" s="1651" t="str">
        <f>'数据-取费表'!B3</f>
        <v>万元</v>
      </c>
      <c r="D2" s="1652"/>
      <c r="E2" s="2488" t="e">
        <f ca="1">SUMIF(INDIRECT("'"&amp;G2&amp;"'"&amp;"!A:A"),"承租人权益价值",INDIRECT("'"&amp;G2&amp;"'"&amp;"!c:c"))</f>
        <v>#REF!</v>
      </c>
      <c r="F2" s="1654" t="str">
        <f>C2</f>
        <v>万元</v>
      </c>
      <c r="G2" s="1655"/>
      <c r="H2" s="3009"/>
      <c r="I2" s="3009"/>
      <c r="J2" s="3009"/>
      <c r="K2" s="3009"/>
      <c r="L2" s="3011"/>
      <c r="M2" s="3009"/>
      <c r="N2" s="3009"/>
      <c r="O2" s="3009"/>
      <c r="P2" s="1957"/>
      <c r="Q2" s="1957"/>
      <c r="R2" s="1957"/>
      <c r="S2" s="1957"/>
      <c r="T2" s="1957"/>
      <c r="U2" s="1957"/>
      <c r="V2" s="1957"/>
      <c r="W2" s="1957"/>
      <c r="X2" s="1957"/>
      <c r="Y2" s="1957"/>
      <c r="Z2" s="1957"/>
      <c r="AA2" s="1957"/>
      <c r="AB2" s="2489"/>
      <c r="AC2" s="1965"/>
    </row>
    <row r="3" spans="1:29" s="1960" customFormat="1" ht="28.5" customHeight="1" thickBot="1">
      <c r="A3" s="1659" t="s">
        <v>1915</v>
      </c>
      <c r="B3" s="1963" t="e">
        <f ca="1">ROUND(IF(D2="——",C50,IF(C2="万元",B2*10000/D3,B2/D3)),0)</f>
        <v>#DIV/0!</v>
      </c>
      <c r="C3" s="1660" t="s">
        <v>2244</v>
      </c>
      <c r="D3" s="1660">
        <f>IF(C1="仅计算典型户型",'数据-取费表'!E5,'数据-取费表'!B5)</f>
        <v>841.27</v>
      </c>
      <c r="F3" s="3008"/>
      <c r="G3" s="3009"/>
      <c r="H3" s="3009"/>
      <c r="I3" s="3009"/>
      <c r="J3" s="3009"/>
      <c r="K3" s="3010"/>
      <c r="L3" s="3011"/>
      <c r="M3" s="3009"/>
      <c r="N3" s="3009"/>
      <c r="O3" s="3009"/>
      <c r="P3" s="3016"/>
      <c r="Q3" s="1952"/>
      <c r="R3" s="1952"/>
      <c r="S3" s="1952"/>
      <c r="T3" s="1952"/>
      <c r="U3" s="1952"/>
      <c r="V3" s="1952"/>
      <c r="W3" s="1952"/>
      <c r="X3" s="1957"/>
      <c r="Y3" s="1952"/>
      <c r="Z3" s="1952"/>
      <c r="AA3" s="1952"/>
      <c r="AB3" s="2490"/>
      <c r="AC3" s="1965"/>
    </row>
    <row r="4" spans="1:29" ht="15">
      <c r="A4" s="1663" t="s">
        <v>2245</v>
      </c>
      <c r="B4" s="1664"/>
      <c r="C4" s="3474" t="s">
        <v>2246</v>
      </c>
      <c r="D4" s="3475"/>
      <c r="E4" s="3476" t="s">
        <v>2247</v>
      </c>
      <c r="F4" s="3477"/>
      <c r="G4" s="3474" t="s">
        <v>2248</v>
      </c>
      <c r="H4" s="3475"/>
      <c r="I4" s="3474" t="s">
        <v>2249</v>
      </c>
      <c r="J4" s="3475"/>
      <c r="K4" s="1966" t="s">
        <v>2250</v>
      </c>
      <c r="L4" s="2994"/>
      <c r="M4" s="2995"/>
      <c r="N4" s="2995"/>
      <c r="O4" s="2995"/>
      <c r="P4" s="3478" t="s">
        <v>2251</v>
      </c>
      <c r="Q4" s="3479"/>
      <c r="R4" s="3463" t="s">
        <v>2247</v>
      </c>
      <c r="S4" s="3464"/>
      <c r="T4" s="3463" t="s">
        <v>2248</v>
      </c>
      <c r="U4" s="3464"/>
      <c r="V4" s="3484" t="s">
        <v>2249</v>
      </c>
      <c r="W4" s="3484"/>
      <c r="X4" s="2075"/>
      <c r="Y4" s="3463" t="s">
        <v>2251</v>
      </c>
      <c r="Z4" s="3464"/>
      <c r="AA4" s="3471" t="s">
        <v>2247</v>
      </c>
      <c r="AB4" s="3471" t="s">
        <v>2248</v>
      </c>
      <c r="AC4" s="3471" t="s">
        <v>2249</v>
      </c>
    </row>
    <row r="5" spans="1:29" ht="15">
      <c r="A5" s="1668"/>
      <c r="B5" s="1669"/>
      <c r="C5" s="3459" t="s">
        <v>2252</v>
      </c>
      <c r="D5" s="3460"/>
      <c r="E5" s="3485" t="s">
        <v>2253</v>
      </c>
      <c r="F5" s="3486"/>
      <c r="G5" s="3459" t="s">
        <v>2254</v>
      </c>
      <c r="H5" s="3460"/>
      <c r="I5" s="3459" t="s">
        <v>2255</v>
      </c>
      <c r="J5" s="3460"/>
      <c r="K5" s="1966"/>
      <c r="L5" s="2994"/>
      <c r="M5" s="2995"/>
      <c r="N5" s="2995"/>
      <c r="O5" s="2995"/>
      <c r="P5" s="3480"/>
      <c r="Q5" s="3481"/>
      <c r="R5" s="3465"/>
      <c r="S5" s="3466"/>
      <c r="T5" s="3465"/>
      <c r="U5" s="3466"/>
      <c r="V5" s="3484"/>
      <c r="W5" s="3484"/>
      <c r="X5" s="2075"/>
      <c r="Y5" s="3465"/>
      <c r="Z5" s="3466"/>
      <c r="AA5" s="3472"/>
      <c r="AB5" s="3472"/>
      <c r="AC5" s="3472"/>
    </row>
    <row r="6" spans="1:29" ht="15.75" thickBot="1">
      <c r="A6" s="1671"/>
      <c r="B6" s="1672"/>
      <c r="C6" s="3457" t="s">
        <v>2256</v>
      </c>
      <c r="D6" s="3458"/>
      <c r="E6" s="3487" t="s">
        <v>2256</v>
      </c>
      <c r="F6" s="3488"/>
      <c r="G6" s="3457" t="s">
        <v>2256</v>
      </c>
      <c r="H6" s="3458"/>
      <c r="I6" s="3457" t="s">
        <v>2256</v>
      </c>
      <c r="J6" s="3458"/>
      <c r="K6" s="1966" t="s">
        <v>2257</v>
      </c>
      <c r="L6" s="2994"/>
      <c r="M6" s="2995"/>
      <c r="N6" s="2995"/>
      <c r="O6" s="2995"/>
      <c r="P6" s="3482"/>
      <c r="Q6" s="3483"/>
      <c r="R6" s="3465"/>
      <c r="S6" s="3466"/>
      <c r="T6" s="3467"/>
      <c r="U6" s="3468"/>
      <c r="V6" s="3484"/>
      <c r="W6" s="3484"/>
      <c r="X6" s="2075"/>
      <c r="Y6" s="3467"/>
      <c r="Z6" s="3468"/>
      <c r="AA6" s="3473"/>
      <c r="AB6" s="3473"/>
      <c r="AC6" s="3473"/>
    </row>
    <row r="7" spans="1:29" s="1685" customFormat="1" ht="15.75" thickBot="1">
      <c r="A7" s="1673" t="s">
        <v>2258</v>
      </c>
      <c r="B7" s="1674"/>
      <c r="C7" s="1675">
        <f>'数据-取费表'!B2</f>
        <v>44334</v>
      </c>
      <c r="D7" s="1676">
        <v>100</v>
      </c>
      <c r="E7" s="1677"/>
      <c r="F7" s="1678">
        <f>SUMIF(59:59,YEAR(E7)&amp;"-"&amp;MONTH(E7),60:60)</f>
        <v>0</v>
      </c>
      <c r="G7" s="1967"/>
      <c r="H7" s="1676">
        <f>SUMIF(59:59,YEAR(G7)&amp;"-"&amp;MONTH(G7),60:60)</f>
        <v>0</v>
      </c>
      <c r="I7" s="1967"/>
      <c r="J7" s="1676">
        <f>SUMIF(59:59,YEAR(I7)&amp;"-"&amp;MONTH(I7),60:60)</f>
        <v>0</v>
      </c>
      <c r="K7" s="1968"/>
      <c r="L7" s="2994"/>
      <c r="M7" s="2967"/>
      <c r="N7" s="2967"/>
      <c r="O7" s="2967"/>
      <c r="P7" s="3461" t="s">
        <v>2259</v>
      </c>
      <c r="Q7" s="3469"/>
      <c r="R7" s="1681" t="s">
        <v>25</v>
      </c>
      <c r="S7" s="1682">
        <f t="shared" ref="S7:S15" si="0">F7</f>
        <v>0</v>
      </c>
      <c r="T7" s="1681" t="s">
        <v>25</v>
      </c>
      <c r="U7" s="1682">
        <f t="shared" ref="U7:U15" si="1">H7</f>
        <v>0</v>
      </c>
      <c r="V7" s="1681" t="s">
        <v>25</v>
      </c>
      <c r="W7" s="1682">
        <f t="shared" ref="W7:W15" si="2">J7</f>
        <v>0</v>
      </c>
      <c r="X7" s="1683"/>
      <c r="Y7" s="3461" t="s">
        <v>2259</v>
      </c>
      <c r="Z7" s="3462"/>
      <c r="AA7" s="1684" t="e">
        <f>D7/F7</f>
        <v>#DIV/0!</v>
      </c>
      <c r="AB7" s="1684" t="e">
        <f>D7/H7</f>
        <v>#DIV/0!</v>
      </c>
      <c r="AC7" s="1684" t="e">
        <f>D7/J7</f>
        <v>#DIV/0!</v>
      </c>
    </row>
    <row r="8" spans="1:29" s="1685" customFormat="1" ht="15.75" thickBot="1">
      <c r="A8" s="1673" t="s">
        <v>2260</v>
      </c>
      <c r="B8" s="1674"/>
      <c r="C8" s="1686" t="s">
        <v>2261</v>
      </c>
      <c r="D8" s="1676">
        <v>100</v>
      </c>
      <c r="E8" s="1686"/>
      <c r="F8" s="1678">
        <f>SUMIF(62:62,E8,63:63)-SUMIF(62:62,C8,63:63)+100</f>
        <v>0</v>
      </c>
      <c r="G8" s="1686"/>
      <c r="H8" s="1676">
        <f>SUMIF(62:62,G8,63:63)-SUMIF(62:62,C8,63:63)+100</f>
        <v>0</v>
      </c>
      <c r="I8" s="1686"/>
      <c r="J8" s="1676">
        <f>SUMIF(62:62,I8,63:63)-SUMIF(62:62,C8,63:63)+100</f>
        <v>0</v>
      </c>
      <c r="K8" s="1968"/>
      <c r="L8" s="2994"/>
      <c r="M8" s="2967"/>
      <c r="N8" s="2967"/>
      <c r="O8" s="2967"/>
      <c r="P8" s="3461" t="s">
        <v>2262</v>
      </c>
      <c r="Q8" s="3462"/>
      <c r="R8" s="1681" t="s">
        <v>25</v>
      </c>
      <c r="S8" s="1682">
        <f t="shared" si="0"/>
        <v>0</v>
      </c>
      <c r="T8" s="1681" t="s">
        <v>25</v>
      </c>
      <c r="U8" s="1682">
        <f t="shared" si="1"/>
        <v>0</v>
      </c>
      <c r="V8" s="1681" t="s">
        <v>25</v>
      </c>
      <c r="W8" s="1682">
        <f t="shared" si="2"/>
        <v>0</v>
      </c>
      <c r="X8" s="1683"/>
      <c r="Y8" s="3461" t="s">
        <v>2262</v>
      </c>
      <c r="Z8" s="3462"/>
      <c r="AA8" s="1684" t="e">
        <f t="shared" ref="AA8:AA47" si="3">D8/F8</f>
        <v>#DIV/0!</v>
      </c>
      <c r="AB8" s="1684" t="e">
        <f t="shared" ref="AB8:AB47" si="4">D8/H8</f>
        <v>#DIV/0!</v>
      </c>
      <c r="AC8" s="1684" t="e">
        <f t="shared" ref="AC8:AC47" si="5">D8/J8</f>
        <v>#DIV/0!</v>
      </c>
    </row>
    <row r="9" spans="1:29" s="1685" customFormat="1">
      <c r="A9" s="2067" t="s">
        <v>2263</v>
      </c>
      <c r="B9" s="1688" t="s">
        <v>2264</v>
      </c>
      <c r="C9" s="1689"/>
      <c r="D9" s="1690">
        <v>100</v>
      </c>
      <c r="E9" s="1693"/>
      <c r="F9" s="1690">
        <f>SUMIF(64:64,E9,65:65)-SUMIF(64:64,C9,65:65)+100</f>
        <v>100</v>
      </c>
      <c r="G9" s="1691"/>
      <c r="H9" s="1690">
        <f>SUMIF(64:64,G9,65:65)-SUMIF(64:64,C9,65:65)+100</f>
        <v>100</v>
      </c>
      <c r="I9" s="1691"/>
      <c r="J9" s="1690">
        <f>SUMIF(64:64,I9,65:65)-SUMIF(64:64,C9,65:65)+100</f>
        <v>100</v>
      </c>
      <c r="K9" s="1968"/>
      <c r="L9" s="2994"/>
      <c r="M9" s="2967"/>
      <c r="N9" s="2967"/>
      <c r="O9" s="2967"/>
      <c r="P9" s="3447" t="s">
        <v>2265</v>
      </c>
      <c r="Q9" s="2912" t="str">
        <f t="shared" ref="Q9:Q15" si="6">B9</f>
        <v>用途</v>
      </c>
      <c r="R9" s="1681" t="s">
        <v>25</v>
      </c>
      <c r="S9" s="1682">
        <f t="shared" si="0"/>
        <v>100</v>
      </c>
      <c r="T9" s="1681" t="s">
        <v>25</v>
      </c>
      <c r="U9" s="1682">
        <f t="shared" si="1"/>
        <v>100</v>
      </c>
      <c r="V9" s="1681" t="s">
        <v>25</v>
      </c>
      <c r="W9" s="1682">
        <f t="shared" si="2"/>
        <v>100</v>
      </c>
      <c r="X9" s="1683"/>
      <c r="Y9" s="3286" t="s">
        <v>2266</v>
      </c>
      <c r="Z9" s="1694" t="str">
        <f t="shared" ref="Z9:Z15" si="7">Q9</f>
        <v>用途</v>
      </c>
      <c r="AA9" s="1684">
        <f t="shared" si="3"/>
        <v>1</v>
      </c>
      <c r="AB9" s="1684">
        <f t="shared" si="4"/>
        <v>1</v>
      </c>
      <c r="AC9" s="1684">
        <f t="shared" si="5"/>
        <v>1</v>
      </c>
    </row>
    <row r="10" spans="1:29" s="1702" customFormat="1" ht="27">
      <c r="A10" s="1695"/>
      <c r="B10" s="1696" t="s">
        <v>2267</v>
      </c>
      <c r="C10" s="1697"/>
      <c r="D10" s="1698">
        <v>100</v>
      </c>
      <c r="E10" s="1697"/>
      <c r="F10" s="1698">
        <f>SUMIF(66:66,E10,67:67)-SUMIF(66:66,C10,67:67)+100</f>
        <v>100</v>
      </c>
      <c r="G10" s="1699"/>
      <c r="H10" s="1698">
        <f>SUMIF(66:66,G10,67:67)-SUMIF(66:66,C10,67:67)+100</f>
        <v>100</v>
      </c>
      <c r="I10" s="1697"/>
      <c r="J10" s="1698">
        <f>SUMIF(66:66,I10,67:67)-SUMIF(66:66,C10,67:67)+100</f>
        <v>100</v>
      </c>
      <c r="K10" s="1993"/>
      <c r="L10" s="2996"/>
      <c r="M10" s="2997"/>
      <c r="N10" s="2997"/>
      <c r="O10" s="2997"/>
      <c r="P10" s="3447"/>
      <c r="Q10" s="2912" t="str">
        <f t="shared" si="6"/>
        <v>土地使用年限（年）</v>
      </c>
      <c r="R10" s="1681" t="s">
        <v>25</v>
      </c>
      <c r="S10" s="1682">
        <f t="shared" si="0"/>
        <v>100</v>
      </c>
      <c r="T10" s="1681" t="s">
        <v>25</v>
      </c>
      <c r="U10" s="1682">
        <f t="shared" si="1"/>
        <v>100</v>
      </c>
      <c r="V10" s="1681" t="s">
        <v>25</v>
      </c>
      <c r="W10" s="1682">
        <f t="shared" si="2"/>
        <v>100</v>
      </c>
      <c r="X10" s="1683"/>
      <c r="Y10" s="3286"/>
      <c r="Z10" s="1694" t="str">
        <f t="shared" si="7"/>
        <v>土地使用年限（年）</v>
      </c>
      <c r="AA10" s="1684">
        <f t="shared" si="3"/>
        <v>1</v>
      </c>
      <c r="AB10" s="1684">
        <f t="shared" si="4"/>
        <v>1</v>
      </c>
      <c r="AC10" s="1684">
        <f t="shared" si="5"/>
        <v>1</v>
      </c>
    </row>
    <row r="11" spans="1:29" ht="15">
      <c r="A11" s="1703"/>
      <c r="B11" s="1696" t="s">
        <v>2268</v>
      </c>
      <c r="C11" s="1704"/>
      <c r="D11" s="1698">
        <v>100</v>
      </c>
      <c r="E11" s="1704"/>
      <c r="F11" s="1698" t="e">
        <f>LOOKUP(E11,69:69,70:70)-LOOKUP(C11,69:69,70:70)+100</f>
        <v>#N/A</v>
      </c>
      <c r="G11" s="1705"/>
      <c r="H11" s="1698" t="e">
        <f>LOOKUP(G11,69:69,70:70)-LOOKUP(C11,69:69,70:70)+100</f>
        <v>#N/A</v>
      </c>
      <c r="I11" s="1704"/>
      <c r="J11" s="1698" t="e">
        <f>LOOKUP(I11,69:69,70:70)-LOOKUP(C11,69:69,70:70)+100</f>
        <v>#N/A</v>
      </c>
      <c r="K11" s="1993"/>
      <c r="L11" s="2998"/>
      <c r="M11" s="2995"/>
      <c r="N11" s="2995"/>
      <c r="O11" s="2995"/>
      <c r="P11" s="3447"/>
      <c r="Q11" s="2912" t="str">
        <f t="shared" si="6"/>
        <v>容积率</v>
      </c>
      <c r="R11" s="1681" t="s">
        <v>25</v>
      </c>
      <c r="S11" s="1682" t="e">
        <f t="shared" si="0"/>
        <v>#N/A</v>
      </c>
      <c r="T11" s="1681" t="s">
        <v>25</v>
      </c>
      <c r="U11" s="1682" t="e">
        <f t="shared" si="1"/>
        <v>#N/A</v>
      </c>
      <c r="V11" s="1681" t="s">
        <v>25</v>
      </c>
      <c r="W11" s="1682" t="e">
        <f t="shared" si="2"/>
        <v>#N/A</v>
      </c>
      <c r="X11" s="1683"/>
      <c r="Y11" s="3286"/>
      <c r="Z11" s="1694" t="str">
        <f t="shared" si="7"/>
        <v>容积率</v>
      </c>
      <c r="AA11" s="1684" t="e">
        <f t="shared" si="3"/>
        <v>#N/A</v>
      </c>
      <c r="AB11" s="1684" t="e">
        <f t="shared" si="4"/>
        <v>#N/A</v>
      </c>
      <c r="AC11" s="1684" t="e">
        <f t="shared" si="5"/>
        <v>#N/A</v>
      </c>
    </row>
    <row r="12" spans="1:29" s="1685" customFormat="1" ht="15">
      <c r="A12" s="1706"/>
      <c r="B12" s="1707">
        <v>111</v>
      </c>
      <c r="C12" s="1708"/>
      <c r="D12" s="1709">
        <v>100</v>
      </c>
      <c r="E12" s="1708"/>
      <c r="F12" s="1698">
        <f>SUMIF(71:71,E12,72:72)-SUMIF(71:71,C12,72:72)+100</f>
        <v>100</v>
      </c>
      <c r="G12" s="2491"/>
      <c r="H12" s="1698">
        <f>SUMIF(71:71,G12,72:72)-SUMIF(71:71,C12,72:72)+100</f>
        <v>100</v>
      </c>
      <c r="I12" s="1708"/>
      <c r="J12" s="1698">
        <f>SUMIF(71:71,I12,72:72)-SUMIF(71:71,C12,72:72)+100</f>
        <v>100</v>
      </c>
      <c r="K12" s="1990"/>
      <c r="L12" s="2994"/>
      <c r="M12" s="2967"/>
      <c r="N12" s="2967"/>
      <c r="O12" s="2967"/>
      <c r="P12" s="3447"/>
      <c r="Q12" s="2912">
        <f t="shared" si="6"/>
        <v>111</v>
      </c>
      <c r="R12" s="1681" t="s">
        <v>25</v>
      </c>
      <c r="S12" s="1682">
        <f t="shared" si="0"/>
        <v>100</v>
      </c>
      <c r="T12" s="1681" t="s">
        <v>25</v>
      </c>
      <c r="U12" s="1682">
        <f t="shared" si="1"/>
        <v>100</v>
      </c>
      <c r="V12" s="1681" t="s">
        <v>25</v>
      </c>
      <c r="W12" s="1682">
        <f t="shared" si="2"/>
        <v>100</v>
      </c>
      <c r="X12" s="1683"/>
      <c r="Y12" s="3286"/>
      <c r="Z12" s="1694">
        <f t="shared" si="7"/>
        <v>111</v>
      </c>
      <c r="AA12" s="1684">
        <f>D12/F12</f>
        <v>1</v>
      </c>
      <c r="AB12" s="1684">
        <f>D12/H12</f>
        <v>1</v>
      </c>
      <c r="AC12" s="1684">
        <f>D12/J12</f>
        <v>1</v>
      </c>
    </row>
    <row r="13" spans="1:29" ht="15">
      <c r="A13" s="1703"/>
      <c r="B13" s="1707">
        <v>111</v>
      </c>
      <c r="C13" s="1711"/>
      <c r="D13" s="1712">
        <v>100</v>
      </c>
      <c r="E13" s="1708"/>
      <c r="F13" s="1698">
        <f>SUMIF(73:73,E13,74:74)-SUMIF(73:73,C13,74:74)+100</f>
        <v>100</v>
      </c>
      <c r="G13" s="2491"/>
      <c r="H13" s="1712">
        <f>SUMIF(73:73,G13,74:74)-SUMIF(73:73,C13,74:74)+100</f>
        <v>100</v>
      </c>
      <c r="I13" s="1708"/>
      <c r="J13" s="1712">
        <f>SUMIF(73:73,I13,74:74)-SUMIF(73:73,C13,74:74)+100</f>
        <v>100</v>
      </c>
      <c r="K13" s="1990"/>
      <c r="L13" s="2999"/>
      <c r="M13" s="2995"/>
      <c r="N13" s="2995"/>
      <c r="O13" s="2995"/>
      <c r="P13" s="3447"/>
      <c r="Q13" s="2912">
        <f t="shared" si="6"/>
        <v>111</v>
      </c>
      <c r="R13" s="1681" t="s">
        <v>25</v>
      </c>
      <c r="S13" s="1682">
        <f t="shared" si="0"/>
        <v>100</v>
      </c>
      <c r="T13" s="1681" t="s">
        <v>25</v>
      </c>
      <c r="U13" s="1682">
        <f t="shared" si="1"/>
        <v>100</v>
      </c>
      <c r="V13" s="1681" t="s">
        <v>25</v>
      </c>
      <c r="W13" s="1682">
        <f t="shared" si="2"/>
        <v>100</v>
      </c>
      <c r="X13" s="1683"/>
      <c r="Y13" s="3286"/>
      <c r="Z13" s="1694">
        <f t="shared" si="7"/>
        <v>111</v>
      </c>
      <c r="AA13" s="1684">
        <f t="shared" si="3"/>
        <v>1</v>
      </c>
      <c r="AB13" s="1684">
        <f t="shared" si="4"/>
        <v>1</v>
      </c>
      <c r="AC13" s="1684">
        <f t="shared" si="5"/>
        <v>1</v>
      </c>
    </row>
    <row r="14" spans="1:29" ht="15.75" thickBot="1">
      <c r="A14" s="1713"/>
      <c r="B14" s="1714">
        <v>111</v>
      </c>
      <c r="C14" s="1715"/>
      <c r="D14" s="1716">
        <v>100</v>
      </c>
      <c r="E14" s="2492"/>
      <c r="F14" s="1716">
        <f>SUMIF(75:75,E14,76:76)-SUMIF(75:75,C14,76:76)+100</f>
        <v>100</v>
      </c>
      <c r="G14" s="2491"/>
      <c r="H14" s="1716">
        <f>SUMIF(75:75,G14,76:76)-SUMIF(75:75,C14,76:76)+100</f>
        <v>100</v>
      </c>
      <c r="I14" s="1708"/>
      <c r="J14" s="1716">
        <f>SUMIF(75:75,I14,76:76)-SUMIF(75:75,C14,76:76)+100</f>
        <v>100</v>
      </c>
      <c r="K14" s="1990"/>
      <c r="L14" s="2999"/>
      <c r="M14" s="2995"/>
      <c r="N14" s="2995"/>
      <c r="O14" s="2995"/>
      <c r="P14" s="3447"/>
      <c r="Q14" s="2912">
        <f t="shared" si="6"/>
        <v>111</v>
      </c>
      <c r="R14" s="1681" t="s">
        <v>25</v>
      </c>
      <c r="S14" s="1682">
        <f t="shared" si="0"/>
        <v>100</v>
      </c>
      <c r="T14" s="1681" t="s">
        <v>25</v>
      </c>
      <c r="U14" s="1682">
        <f t="shared" si="1"/>
        <v>100</v>
      </c>
      <c r="V14" s="1681" t="s">
        <v>25</v>
      </c>
      <c r="W14" s="1682">
        <f t="shared" si="2"/>
        <v>100</v>
      </c>
      <c r="X14" s="1683"/>
      <c r="Y14" s="3286"/>
      <c r="Z14" s="1694">
        <f t="shared" si="7"/>
        <v>111</v>
      </c>
      <c r="AA14" s="1684">
        <f t="shared" si="3"/>
        <v>1</v>
      </c>
      <c r="AB14" s="1684">
        <f t="shared" si="4"/>
        <v>1</v>
      </c>
      <c r="AC14" s="1684">
        <f t="shared" si="5"/>
        <v>1</v>
      </c>
    </row>
    <row r="15" spans="1:29" ht="71.25">
      <c r="A15" s="1718" t="s">
        <v>2269</v>
      </c>
      <c r="B15" s="2493" t="s">
        <v>2384</v>
      </c>
      <c r="C15" s="1974" t="str">
        <f>估价对象房地状况!C5</f>
        <v>估价对象位于XX商圈，周边办公楼项目较多，入驻率高，办公集聚程度较好</v>
      </c>
      <c r="D15" s="1721">
        <v>100</v>
      </c>
      <c r="E15" s="1724"/>
      <c r="F15" s="1721">
        <f>SUMIF(77:77,E16,78:78)-SUMIF(77:77,C16,78:78)+100</f>
        <v>100</v>
      </c>
      <c r="G15" s="1722"/>
      <c r="H15" s="1721">
        <f>SUMIF(77:77,G16,78:78)-SUMIF(77:77,C16,78:78)+100</f>
        <v>100</v>
      </c>
      <c r="I15" s="1722"/>
      <c r="J15" s="1721">
        <f>SUMIF(77:77,I16,78:78)-SUMIF(77:77,C16,78:78)+100</f>
        <v>100</v>
      </c>
      <c r="K15" s="2473"/>
      <c r="L15" s="2999"/>
      <c r="M15" s="2995"/>
      <c r="N15" s="2995"/>
      <c r="O15" s="2995"/>
      <c r="P15" s="3450" t="s">
        <v>2270</v>
      </c>
      <c r="Q15" s="2913" t="str">
        <f t="shared" si="6"/>
        <v>办公集聚程度</v>
      </c>
      <c r="R15" s="1726" t="s">
        <v>25</v>
      </c>
      <c r="S15" s="1727">
        <f t="shared" si="0"/>
        <v>100</v>
      </c>
      <c r="T15" s="1726" t="s">
        <v>25</v>
      </c>
      <c r="U15" s="1727">
        <f t="shared" si="1"/>
        <v>100</v>
      </c>
      <c r="V15" s="1726" t="s">
        <v>25</v>
      </c>
      <c r="W15" s="1727">
        <f t="shared" si="2"/>
        <v>100</v>
      </c>
      <c r="X15" s="2075"/>
      <c r="Y15" s="3450" t="s">
        <v>2270</v>
      </c>
      <c r="Z15" s="2079" t="str">
        <f t="shared" si="7"/>
        <v>办公集聚程度</v>
      </c>
      <c r="AA15" s="2070">
        <f t="shared" si="3"/>
        <v>1</v>
      </c>
      <c r="AB15" s="2070">
        <f t="shared" si="4"/>
        <v>1</v>
      </c>
      <c r="AC15" s="2070">
        <f t="shared" si="5"/>
        <v>1</v>
      </c>
    </row>
    <row r="16" spans="1:29" ht="15">
      <c r="A16" s="1703"/>
      <c r="B16" s="2494"/>
      <c r="C16" s="1976"/>
      <c r="D16" s="1732"/>
      <c r="E16" s="1731"/>
      <c r="F16" s="1732"/>
      <c r="G16" s="1976"/>
      <c r="H16" s="1736"/>
      <c r="I16" s="1731"/>
      <c r="J16" s="1732"/>
      <c r="K16" s="2474"/>
      <c r="L16" s="2999"/>
      <c r="M16" s="2995"/>
      <c r="N16" s="2995"/>
      <c r="O16" s="2995"/>
      <c r="P16" s="3451"/>
      <c r="Q16" s="2913"/>
      <c r="R16" s="1726"/>
      <c r="S16" s="1727"/>
      <c r="T16" s="1726"/>
      <c r="U16" s="1727"/>
      <c r="V16" s="1726"/>
      <c r="W16" s="1727"/>
      <c r="X16" s="2075"/>
      <c r="Y16" s="3451"/>
      <c r="Z16" s="2079"/>
      <c r="AA16" s="2070">
        <v>1</v>
      </c>
      <c r="AB16" s="2070">
        <v>1</v>
      </c>
      <c r="AC16" s="2070">
        <v>1</v>
      </c>
    </row>
    <row r="17" spans="1:29" ht="85.5">
      <c r="A17" s="1703"/>
      <c r="B17" s="2495" t="s">
        <v>1706</v>
      </c>
      <c r="C17" s="1981" t="str">
        <f>估价对象房地状况!C6</f>
        <v>估价对象周边道路状况、公共交通通达情况、停车便捷程度，综合评价交通便捷度较好</v>
      </c>
      <c r="D17" s="1736">
        <v>100</v>
      </c>
      <c r="E17" s="1742"/>
      <c r="F17" s="1736">
        <f>SUMIF(79:79,E18,80:80)-SUMIF(79:79,C18,80:80)+100</f>
        <v>100</v>
      </c>
      <c r="G17" s="1740"/>
      <c r="H17" s="1743">
        <f>SUMIF(79:79,G18,80:80)-SUMIF(79:79,C18,80:80)+100</f>
        <v>100</v>
      </c>
      <c r="I17" s="1740"/>
      <c r="J17" s="1743">
        <f>SUMIF(79:79,I18,80:80)-SUMIF(79:79,C18,80:80)+100</f>
        <v>100</v>
      </c>
      <c r="K17" s="2473"/>
      <c r="L17" s="2999"/>
      <c r="M17" s="2995"/>
      <c r="N17" s="2995"/>
      <c r="O17" s="2995"/>
      <c r="P17" s="3451"/>
      <c r="Q17" s="2913" t="str">
        <f>B17</f>
        <v>交通便捷度</v>
      </c>
      <c r="R17" s="1726" t="s">
        <v>25</v>
      </c>
      <c r="S17" s="1727">
        <f>F17</f>
        <v>100</v>
      </c>
      <c r="T17" s="1726" t="s">
        <v>25</v>
      </c>
      <c r="U17" s="1727">
        <f>H17</f>
        <v>100</v>
      </c>
      <c r="V17" s="1726" t="s">
        <v>25</v>
      </c>
      <c r="W17" s="1727">
        <f>J17</f>
        <v>100</v>
      </c>
      <c r="X17" s="2075"/>
      <c r="Y17" s="3451"/>
      <c r="Z17" s="2079" t="str">
        <f>Q17</f>
        <v>交通便捷度</v>
      </c>
      <c r="AA17" s="2070">
        <f t="shared" si="3"/>
        <v>1</v>
      </c>
      <c r="AB17" s="2070">
        <f t="shared" si="4"/>
        <v>1</v>
      </c>
      <c r="AC17" s="2070">
        <f t="shared" si="5"/>
        <v>1</v>
      </c>
    </row>
    <row r="18" spans="1:29" ht="15">
      <c r="A18" s="1703"/>
      <c r="B18" s="2496"/>
      <c r="C18" s="1980"/>
      <c r="D18" s="1736"/>
      <c r="E18" s="1747"/>
      <c r="F18" s="1736"/>
      <c r="G18" s="1746"/>
      <c r="H18" s="1732"/>
      <c r="I18" s="1746"/>
      <c r="J18" s="1732"/>
      <c r="K18" s="2474"/>
      <c r="L18" s="2999"/>
      <c r="M18" s="2995"/>
      <c r="N18" s="2995"/>
      <c r="O18" s="2995"/>
      <c r="P18" s="3451"/>
      <c r="Q18" s="2913"/>
      <c r="R18" s="1726"/>
      <c r="S18" s="1727"/>
      <c r="T18" s="1726"/>
      <c r="U18" s="1727"/>
      <c r="V18" s="1726"/>
      <c r="W18" s="1727"/>
      <c r="X18" s="2075"/>
      <c r="Y18" s="3451"/>
      <c r="Z18" s="2079"/>
      <c r="AA18" s="2070">
        <v>1</v>
      </c>
      <c r="AB18" s="2070">
        <v>1</v>
      </c>
      <c r="AC18" s="2070">
        <v>1</v>
      </c>
    </row>
    <row r="19" spans="1:29" ht="42.75">
      <c r="A19" s="1703"/>
      <c r="B19" s="2495" t="s">
        <v>2385</v>
      </c>
      <c r="C19" s="1981" t="str">
        <f>估价对象房地状况!C7</f>
        <v>估价对象所在区域公共配套设施齐备情况</v>
      </c>
      <c r="D19" s="1743">
        <v>100</v>
      </c>
      <c r="E19" s="1750"/>
      <c r="F19" s="1743">
        <f>SUMIF(81:81,E20,82:82)-SUMIF(81:81,C20,82:82)+100</f>
        <v>100</v>
      </c>
      <c r="G19" s="1748"/>
      <c r="H19" s="1736">
        <f>SUMIF(81:81,G20,82:82)-SUMIF(81:81,C20,82:82)+100</f>
        <v>100</v>
      </c>
      <c r="I19" s="1748"/>
      <c r="J19" s="1736">
        <f>SUMIF(81:81,I20,82:82)-SUMIF(81:81,C20,82:82)+100</f>
        <v>100</v>
      </c>
      <c r="K19" s="2473"/>
      <c r="L19" s="2999"/>
      <c r="M19" s="2995"/>
      <c r="N19" s="2995"/>
      <c r="O19" s="2995"/>
      <c r="P19" s="3451"/>
      <c r="Q19" s="2913" t="str">
        <f>B19</f>
        <v>公共配套设施</v>
      </c>
      <c r="R19" s="1726" t="s">
        <v>25</v>
      </c>
      <c r="S19" s="1727">
        <f>F19</f>
        <v>100</v>
      </c>
      <c r="T19" s="1726" t="s">
        <v>25</v>
      </c>
      <c r="U19" s="1727">
        <f>H19</f>
        <v>100</v>
      </c>
      <c r="V19" s="1726" t="s">
        <v>25</v>
      </c>
      <c r="W19" s="1727">
        <f>J19</f>
        <v>100</v>
      </c>
      <c r="X19" s="2075"/>
      <c r="Y19" s="3451"/>
      <c r="Z19" s="2079" t="str">
        <f>Q19</f>
        <v>公共配套设施</v>
      </c>
      <c r="AA19" s="2070">
        <f t="shared" si="3"/>
        <v>1</v>
      </c>
      <c r="AB19" s="2070">
        <f t="shared" si="4"/>
        <v>1</v>
      </c>
      <c r="AC19" s="2070">
        <f t="shared" si="5"/>
        <v>1</v>
      </c>
    </row>
    <row r="20" spans="1:29" ht="15">
      <c r="A20" s="1703"/>
      <c r="B20" s="2496"/>
      <c r="C20" s="1976"/>
      <c r="D20" s="1732"/>
      <c r="E20" s="1735"/>
      <c r="F20" s="1732"/>
      <c r="G20" s="1733"/>
      <c r="H20" s="1732"/>
      <c r="I20" s="1733"/>
      <c r="J20" s="1732"/>
      <c r="K20" s="2474"/>
      <c r="L20" s="2999"/>
      <c r="M20" s="2995"/>
      <c r="N20" s="2995"/>
      <c r="O20" s="2995"/>
      <c r="P20" s="3451"/>
      <c r="Q20" s="2913"/>
      <c r="R20" s="1726"/>
      <c r="S20" s="1727"/>
      <c r="T20" s="1726"/>
      <c r="U20" s="1727"/>
      <c r="V20" s="1726"/>
      <c r="W20" s="1727"/>
      <c r="X20" s="2075"/>
      <c r="Y20" s="3451"/>
      <c r="Z20" s="2079"/>
      <c r="AA20" s="2070">
        <v>1</v>
      </c>
      <c r="AB20" s="2070">
        <v>1</v>
      </c>
      <c r="AC20" s="2070">
        <v>1</v>
      </c>
    </row>
    <row r="21" spans="1:29" ht="28.5">
      <c r="A21" s="1703"/>
      <c r="B21" s="2497" t="s">
        <v>2386</v>
      </c>
      <c r="C21" s="1981" t="str">
        <f>估价对象房地状况!C8</f>
        <v>估价对象所在区域基础设施水平</v>
      </c>
      <c r="D21" s="1743">
        <v>100</v>
      </c>
      <c r="E21" s="1750"/>
      <c r="F21" s="1743">
        <f>SUMIF(83:83,E22,84:84)-SUMIF(83:83,C22,84:84)+100</f>
        <v>100</v>
      </c>
      <c r="G21" s="1748"/>
      <c r="H21" s="1736">
        <f>SUMIF(83:83,G22,84:84)-SUMIF(83:83,C22,84:84)+100</f>
        <v>100</v>
      </c>
      <c r="I21" s="1748"/>
      <c r="J21" s="1736">
        <f>SUMIF(83:83,I22,84:84)-SUMIF(83:83,C22,84:84)+100</f>
        <v>100</v>
      </c>
      <c r="K21" s="2473"/>
      <c r="L21" s="2999"/>
      <c r="M21" s="2995"/>
      <c r="N21" s="2995"/>
      <c r="O21" s="2995"/>
      <c r="P21" s="3451"/>
      <c r="Q21" s="2913" t="str">
        <f>B21</f>
        <v>基础设施水平</v>
      </c>
      <c r="R21" s="1726" t="s">
        <v>25</v>
      </c>
      <c r="S21" s="1727">
        <f>F21</f>
        <v>100</v>
      </c>
      <c r="T21" s="1726" t="s">
        <v>25</v>
      </c>
      <c r="U21" s="1727">
        <f>H21</f>
        <v>100</v>
      </c>
      <c r="V21" s="1726" t="s">
        <v>25</v>
      </c>
      <c r="W21" s="1727">
        <f>J21</f>
        <v>100</v>
      </c>
      <c r="X21" s="2075"/>
      <c r="Y21" s="3451"/>
      <c r="Z21" s="2079" t="str">
        <f>Q21</f>
        <v>基础设施水平</v>
      </c>
      <c r="AA21" s="2070">
        <f t="shared" ref="AA21" si="8">D21/F21</f>
        <v>1</v>
      </c>
      <c r="AB21" s="2070">
        <f t="shared" ref="AB21" si="9">D21/H21</f>
        <v>1</v>
      </c>
      <c r="AC21" s="2070">
        <f t="shared" ref="AC21" si="10">D21/J21</f>
        <v>1</v>
      </c>
    </row>
    <row r="22" spans="1:29" ht="15">
      <c r="A22" s="1703"/>
      <c r="B22" s="2497"/>
      <c r="C22" s="1980"/>
      <c r="D22" s="1732"/>
      <c r="E22" s="1731"/>
      <c r="F22" s="1732"/>
      <c r="G22" s="1976"/>
      <c r="H22" s="1732"/>
      <c r="I22" s="1976"/>
      <c r="J22" s="1732"/>
      <c r="K22" s="2475"/>
      <c r="L22" s="2999"/>
      <c r="M22" s="2995"/>
      <c r="N22" s="2995"/>
      <c r="O22" s="2995"/>
      <c r="P22" s="3451"/>
      <c r="Q22" s="2913"/>
      <c r="R22" s="1726"/>
      <c r="S22" s="1727"/>
      <c r="T22" s="1726"/>
      <c r="U22" s="1727"/>
      <c r="V22" s="1726"/>
      <c r="W22" s="1727"/>
      <c r="X22" s="2075"/>
      <c r="Y22" s="3451"/>
      <c r="Z22" s="2079"/>
      <c r="AA22" s="2070">
        <v>1</v>
      </c>
      <c r="AB22" s="2070">
        <v>1</v>
      </c>
      <c r="AC22" s="2070">
        <v>1</v>
      </c>
    </row>
    <row r="23" spans="1:29" ht="57">
      <c r="A23" s="1703"/>
      <c r="B23" s="2495" t="s">
        <v>2387</v>
      </c>
      <c r="C23" s="1981" t="str">
        <f>估价对象房地状况!C9</f>
        <v>区域自然环境：；人文环境；综合评价环境状况一般</v>
      </c>
      <c r="D23" s="1736">
        <v>100</v>
      </c>
      <c r="E23" s="1742"/>
      <c r="F23" s="1736">
        <f>SUMIF(85:85,E24,86:86)-SUMIF(85:85,C24,86:86)+100</f>
        <v>100</v>
      </c>
      <c r="G23" s="1740"/>
      <c r="H23" s="1736">
        <f>SUMIF(85:85,G24,86:86)-SUMIF(85:85,C24,86:86)+100</f>
        <v>100</v>
      </c>
      <c r="I23" s="1740"/>
      <c r="J23" s="1736">
        <f>SUMIF(85:85,I24,86:86)-SUMIF(85:85,C24,86:86)+100</f>
        <v>100</v>
      </c>
      <c r="K23" s="2473"/>
      <c r="L23" s="2999"/>
      <c r="M23" s="2995"/>
      <c r="N23" s="2995"/>
      <c r="O23" s="2995"/>
      <c r="P23" s="3451"/>
      <c r="Q23" s="2913" t="str">
        <f>B23</f>
        <v>环境质量</v>
      </c>
      <c r="R23" s="1726" t="s">
        <v>25</v>
      </c>
      <c r="S23" s="1727">
        <f>F23</f>
        <v>100</v>
      </c>
      <c r="T23" s="1726" t="s">
        <v>25</v>
      </c>
      <c r="U23" s="1727">
        <f>H23</f>
        <v>100</v>
      </c>
      <c r="V23" s="1726" t="s">
        <v>25</v>
      </c>
      <c r="W23" s="1727">
        <f>J23</f>
        <v>100</v>
      </c>
      <c r="X23" s="2075"/>
      <c r="Y23" s="3451"/>
      <c r="Z23" s="2079" t="str">
        <f>Q23</f>
        <v>环境质量</v>
      </c>
      <c r="AA23" s="2070">
        <f t="shared" si="3"/>
        <v>1</v>
      </c>
      <c r="AB23" s="2070">
        <f t="shared" si="4"/>
        <v>1</v>
      </c>
      <c r="AC23" s="2070">
        <f t="shared" si="5"/>
        <v>1</v>
      </c>
    </row>
    <row r="24" spans="1:29" ht="15">
      <c r="A24" s="1703"/>
      <c r="B24" s="2497"/>
      <c r="C24" s="1976"/>
      <c r="D24" s="1732"/>
      <c r="E24" s="1735"/>
      <c r="F24" s="1732"/>
      <c r="G24" s="1733"/>
      <c r="H24" s="1732"/>
      <c r="I24" s="1733"/>
      <c r="J24" s="1732"/>
      <c r="K24" s="2474"/>
      <c r="L24" s="2999"/>
      <c r="M24" s="2995"/>
      <c r="N24" s="2995"/>
      <c r="O24" s="2995"/>
      <c r="P24" s="3451"/>
      <c r="Q24" s="2913"/>
      <c r="R24" s="1726"/>
      <c r="S24" s="1727"/>
      <c r="T24" s="1726"/>
      <c r="U24" s="1727"/>
      <c r="V24" s="1726"/>
      <c r="W24" s="1727"/>
      <c r="X24" s="2075"/>
      <c r="Y24" s="3451"/>
      <c r="Z24" s="2079"/>
      <c r="AA24" s="2070">
        <v>1</v>
      </c>
      <c r="AB24" s="2070">
        <v>1</v>
      </c>
      <c r="AC24" s="2070">
        <v>1</v>
      </c>
    </row>
    <row r="25" spans="1:29" ht="27">
      <c r="A25" s="1668"/>
      <c r="B25" s="2495" t="s">
        <v>2388</v>
      </c>
      <c r="C25" s="2498"/>
      <c r="D25" s="1712">
        <v>100</v>
      </c>
      <c r="E25" s="1711"/>
      <c r="F25" s="1712">
        <f>SUMIF(87:87,E26,88:88)-SUMIF(87:87,C26,88:88)+100</f>
        <v>100</v>
      </c>
      <c r="G25" s="2498"/>
      <c r="H25" s="1712">
        <f>SUMIF(87:87,G26,88:88)-SUMIF(87:87,C26,88:88)+100</f>
        <v>100</v>
      </c>
      <c r="I25" s="1711"/>
      <c r="J25" s="1712">
        <f>SUMIF(87:87,I26,88:88)-SUMIF(87:87,C26,88:88)+100</f>
        <v>100</v>
      </c>
      <c r="K25" s="2473"/>
      <c r="L25" s="2999"/>
      <c r="M25" s="2995"/>
      <c r="N25" s="2995"/>
      <c r="O25" s="2995"/>
      <c r="P25" s="3451"/>
      <c r="Q25" s="2913" t="str">
        <f>B25</f>
        <v>毗邻道路的类型与等级</v>
      </c>
      <c r="R25" s="1726" t="s">
        <v>25</v>
      </c>
      <c r="S25" s="1727">
        <f>F25</f>
        <v>100</v>
      </c>
      <c r="T25" s="1726" t="s">
        <v>25</v>
      </c>
      <c r="U25" s="1727">
        <f>H25</f>
        <v>100</v>
      </c>
      <c r="V25" s="1726" t="s">
        <v>25</v>
      </c>
      <c r="W25" s="1727">
        <f>J25</f>
        <v>100</v>
      </c>
      <c r="X25" s="2075"/>
      <c r="Y25" s="3451"/>
      <c r="Z25" s="2079" t="str">
        <f>Q25</f>
        <v>毗邻道路的类型与等级</v>
      </c>
      <c r="AA25" s="2070">
        <f t="shared" si="3"/>
        <v>1</v>
      </c>
      <c r="AB25" s="2070">
        <f t="shared" si="4"/>
        <v>1</v>
      </c>
      <c r="AC25" s="2070">
        <f t="shared" si="5"/>
        <v>1</v>
      </c>
    </row>
    <row r="26" spans="1:29" ht="15">
      <c r="A26" s="1668"/>
      <c r="B26" s="2496"/>
      <c r="C26" s="1984"/>
      <c r="D26" s="1712"/>
      <c r="E26" s="1992"/>
      <c r="F26" s="1712"/>
      <c r="G26" s="1984"/>
      <c r="H26" s="1712"/>
      <c r="I26" s="1992"/>
      <c r="J26" s="1712"/>
      <c r="K26" s="2474"/>
      <c r="L26" s="2999"/>
      <c r="M26" s="2995"/>
      <c r="N26" s="2995"/>
      <c r="O26" s="2995"/>
      <c r="P26" s="3451"/>
      <c r="Q26" s="2913"/>
      <c r="R26" s="1726"/>
      <c r="S26" s="1727"/>
      <c r="T26" s="1726"/>
      <c r="U26" s="1727"/>
      <c r="V26" s="1726"/>
      <c r="W26" s="1727"/>
      <c r="X26" s="2075"/>
      <c r="Y26" s="3451"/>
      <c r="Z26" s="2079"/>
      <c r="AA26" s="2070">
        <v>1</v>
      </c>
      <c r="AB26" s="2070">
        <v>1</v>
      </c>
      <c r="AC26" s="2070">
        <v>1</v>
      </c>
    </row>
    <row r="27" spans="1:29" ht="15">
      <c r="A27" s="1703"/>
      <c r="B27" s="2496" t="s">
        <v>2361</v>
      </c>
      <c r="C27" s="1984"/>
      <c r="D27" s="1712">
        <v>100</v>
      </c>
      <c r="E27" s="1992"/>
      <c r="F27" s="1712">
        <f>SUMIF(89:89,E27,90:90)-SUMIF(89:89,C27,90:90)+100</f>
        <v>100</v>
      </c>
      <c r="G27" s="1984"/>
      <c r="H27" s="1712">
        <f>SUMIF(89:89,G27,90:90)-SUMIF(89:89,C27,90:90)+100</f>
        <v>100</v>
      </c>
      <c r="I27" s="1992"/>
      <c r="J27" s="1712">
        <f>SUMIF(89:89,I27,90:90)-SUMIF(89:89,C27,90:90)+100</f>
        <v>100</v>
      </c>
      <c r="K27" s="1993"/>
      <c r="L27" s="2999"/>
      <c r="M27" s="2995"/>
      <c r="N27" s="2995"/>
      <c r="O27" s="2995"/>
      <c r="P27" s="3451"/>
      <c r="Q27" s="2913" t="str">
        <f t="shared" ref="Q27:Q47" si="11">B27</f>
        <v>楼层</v>
      </c>
      <c r="R27" s="1726" t="s">
        <v>25</v>
      </c>
      <c r="S27" s="1727">
        <f>F27</f>
        <v>100</v>
      </c>
      <c r="T27" s="1726" t="s">
        <v>25</v>
      </c>
      <c r="U27" s="1727">
        <f>H27</f>
        <v>100</v>
      </c>
      <c r="V27" s="1726" t="s">
        <v>25</v>
      </c>
      <c r="W27" s="1727">
        <f>J27</f>
        <v>100</v>
      </c>
      <c r="X27" s="2075"/>
      <c r="Y27" s="3451"/>
      <c r="Z27" s="2079" t="str">
        <f>Q27</f>
        <v>楼层</v>
      </c>
      <c r="AA27" s="2070">
        <f t="shared" si="3"/>
        <v>1</v>
      </c>
      <c r="AB27" s="2070">
        <f t="shared" si="4"/>
        <v>1</v>
      </c>
      <c r="AC27" s="2070">
        <f t="shared" si="5"/>
        <v>1</v>
      </c>
    </row>
    <row r="28" spans="1:29" s="1685" customFormat="1" ht="15">
      <c r="A28" s="1706"/>
      <c r="B28" s="2495" t="s">
        <v>2389</v>
      </c>
      <c r="C28" s="2499"/>
      <c r="D28" s="1757">
        <v>100</v>
      </c>
      <c r="E28" s="2477"/>
      <c r="F28" s="1757">
        <f>SUMIF(91:91,E28,92:92)-SUMIF(91:91,C28,92:92)+100</f>
        <v>100</v>
      </c>
      <c r="G28" s="2499"/>
      <c r="H28" s="1757">
        <f>SUMIF(91:91,G28,92:92)-SUMIF(91:91,C28,92:92)+100</f>
        <v>100</v>
      </c>
      <c r="I28" s="2477"/>
      <c r="J28" s="1757">
        <f>SUMIF(91:91,I28,92:92)-SUMIF(91:91,C28,92:92)+100</f>
        <v>100</v>
      </c>
      <c r="K28" s="1993"/>
      <c r="L28" s="2994"/>
      <c r="M28" s="2967"/>
      <c r="N28" s="2967"/>
      <c r="O28" s="2967"/>
      <c r="P28" s="3451"/>
      <c r="Q28" s="2912" t="str">
        <f t="shared" si="11"/>
        <v>朝向</v>
      </c>
      <c r="R28" s="1681" t="s">
        <v>25</v>
      </c>
      <c r="S28" s="1682">
        <f>F28</f>
        <v>100</v>
      </c>
      <c r="T28" s="1681" t="s">
        <v>25</v>
      </c>
      <c r="U28" s="1682">
        <f>H28</f>
        <v>100</v>
      </c>
      <c r="V28" s="1681" t="s">
        <v>25</v>
      </c>
      <c r="W28" s="1682">
        <f>J28</f>
        <v>100</v>
      </c>
      <c r="X28" s="1683"/>
      <c r="Y28" s="3451"/>
      <c r="Z28" s="1694" t="str">
        <f>Q28</f>
        <v>朝向</v>
      </c>
      <c r="AA28" s="2070">
        <f>D28/F28</f>
        <v>1</v>
      </c>
      <c r="AB28" s="2070">
        <f>D28/H28</f>
        <v>1</v>
      </c>
      <c r="AC28" s="2070">
        <f>D28/J28</f>
        <v>1</v>
      </c>
    </row>
    <row r="29" spans="1:29" ht="15">
      <c r="A29" s="1703"/>
      <c r="B29" s="2500">
        <v>111</v>
      </c>
      <c r="C29" s="2498"/>
      <c r="D29" s="1712">
        <v>100</v>
      </c>
      <c r="E29" s="1708"/>
      <c r="F29" s="1712">
        <f>SUMIF(93:93,E29,94:94)-SUMIF(93:93,C29,94:94)+100</f>
        <v>100</v>
      </c>
      <c r="G29" s="2491"/>
      <c r="H29" s="1712">
        <f>SUMIF(93:93,G29,94:94)-SUMIF(93:93,C29,94:94)+100</f>
        <v>100</v>
      </c>
      <c r="I29" s="1708"/>
      <c r="J29" s="1712">
        <f>SUMIF(93:93,I29,94:94)-SUMIF(93:93,C29,94:94)+100</f>
        <v>100</v>
      </c>
      <c r="K29" s="1990"/>
      <c r="L29" s="2999"/>
      <c r="M29" s="2995"/>
      <c r="N29" s="2995"/>
      <c r="O29" s="2995"/>
      <c r="P29" s="3451"/>
      <c r="Q29" s="2913">
        <f t="shared" si="11"/>
        <v>111</v>
      </c>
      <c r="R29" s="1726" t="s">
        <v>25</v>
      </c>
      <c r="S29" s="1727">
        <f t="shared" ref="S29:S47" si="12">F29</f>
        <v>100</v>
      </c>
      <c r="T29" s="1726" t="s">
        <v>25</v>
      </c>
      <c r="U29" s="1727">
        <f t="shared" ref="U29:U47" si="13">H29</f>
        <v>100</v>
      </c>
      <c r="V29" s="1726" t="s">
        <v>25</v>
      </c>
      <c r="W29" s="1727">
        <f t="shared" ref="W29:W47" si="14">J29</f>
        <v>100</v>
      </c>
      <c r="X29" s="2075"/>
      <c r="Y29" s="3451"/>
      <c r="Z29" s="2079">
        <f t="shared" ref="Z29:Z47" si="15">Q29</f>
        <v>111</v>
      </c>
      <c r="AA29" s="2070">
        <f t="shared" si="3"/>
        <v>1</v>
      </c>
      <c r="AB29" s="2070">
        <f t="shared" si="4"/>
        <v>1</v>
      </c>
      <c r="AC29" s="2070">
        <f t="shared" si="5"/>
        <v>1</v>
      </c>
    </row>
    <row r="30" spans="1:29" ht="15">
      <c r="A30" s="1703"/>
      <c r="B30" s="2500">
        <v>111</v>
      </c>
      <c r="C30" s="2498"/>
      <c r="D30" s="1712">
        <v>100</v>
      </c>
      <c r="E30" s="1708"/>
      <c r="F30" s="1712">
        <f>SUMIF(95:95,E30,96:96)-SUMIF(95:95,C30,96:96)+100</f>
        <v>100</v>
      </c>
      <c r="G30" s="2491"/>
      <c r="H30" s="1712">
        <f>SUMIF(95:95,G30,96:96)-SUMIF(95:95,C30,96:96)+100</f>
        <v>100</v>
      </c>
      <c r="I30" s="1708"/>
      <c r="J30" s="1712">
        <f>SUMIF(95:95,I30,96:96)-SUMIF(95:95,C30,96:96)+100</f>
        <v>100</v>
      </c>
      <c r="K30" s="1990"/>
      <c r="L30" s="2999"/>
      <c r="M30" s="2995"/>
      <c r="N30" s="2995"/>
      <c r="O30" s="2995"/>
      <c r="P30" s="3451"/>
      <c r="Q30" s="2913">
        <f t="shared" si="11"/>
        <v>111</v>
      </c>
      <c r="R30" s="1726" t="s">
        <v>25</v>
      </c>
      <c r="S30" s="1727">
        <f t="shared" si="12"/>
        <v>100</v>
      </c>
      <c r="T30" s="1726" t="s">
        <v>25</v>
      </c>
      <c r="U30" s="1727">
        <f t="shared" si="13"/>
        <v>100</v>
      </c>
      <c r="V30" s="1726" t="s">
        <v>25</v>
      </c>
      <c r="W30" s="1727">
        <f t="shared" si="14"/>
        <v>100</v>
      </c>
      <c r="X30" s="2075"/>
      <c r="Y30" s="3451"/>
      <c r="Z30" s="2079">
        <f t="shared" si="15"/>
        <v>111</v>
      </c>
      <c r="AA30" s="2070">
        <f t="shared" si="3"/>
        <v>1</v>
      </c>
      <c r="AB30" s="2070">
        <f t="shared" si="4"/>
        <v>1</v>
      </c>
      <c r="AC30" s="2070">
        <f t="shared" si="5"/>
        <v>1</v>
      </c>
    </row>
    <row r="31" spans="1:29" ht="15">
      <c r="A31" s="1703"/>
      <c r="B31" s="2500">
        <v>111</v>
      </c>
      <c r="C31" s="2498"/>
      <c r="D31" s="1712">
        <v>100</v>
      </c>
      <c r="E31" s="1708"/>
      <c r="F31" s="1712">
        <f>SUMIF(97:97,E31,98:98)-SUMIF(97:97,C31,98:98)+100</f>
        <v>100</v>
      </c>
      <c r="G31" s="2491"/>
      <c r="H31" s="1712">
        <f>SUMIF(97:97,G31,98:98)-SUMIF(97:97,C31,98:98)+100</f>
        <v>100</v>
      </c>
      <c r="I31" s="1708"/>
      <c r="J31" s="1712">
        <f>SUMIF(97:97,I31,98:98)-SUMIF(97:97,C31,98:98)+100</f>
        <v>100</v>
      </c>
      <c r="K31" s="1990"/>
      <c r="L31" s="2999"/>
      <c r="M31" s="2995"/>
      <c r="N31" s="2995"/>
      <c r="O31" s="2995"/>
      <c r="P31" s="3451"/>
      <c r="Q31" s="2913">
        <f t="shared" si="11"/>
        <v>111</v>
      </c>
      <c r="R31" s="1726" t="s">
        <v>25</v>
      </c>
      <c r="S31" s="1727">
        <f t="shared" si="12"/>
        <v>100</v>
      </c>
      <c r="T31" s="1726" t="s">
        <v>25</v>
      </c>
      <c r="U31" s="1727">
        <f t="shared" si="13"/>
        <v>100</v>
      </c>
      <c r="V31" s="1726" t="s">
        <v>25</v>
      </c>
      <c r="W31" s="1727">
        <f t="shared" si="14"/>
        <v>100</v>
      </c>
      <c r="X31" s="2075"/>
      <c r="Y31" s="3451"/>
      <c r="Z31" s="2079">
        <f t="shared" si="15"/>
        <v>111</v>
      </c>
      <c r="AA31" s="2070">
        <f t="shared" si="3"/>
        <v>1</v>
      </c>
      <c r="AB31" s="2070">
        <f t="shared" si="4"/>
        <v>1</v>
      </c>
      <c r="AC31" s="2070">
        <f t="shared" si="5"/>
        <v>1</v>
      </c>
    </row>
    <row r="32" spans="1:29" ht="15.75" thickBot="1">
      <c r="A32" s="1713"/>
      <c r="B32" s="2501">
        <v>111</v>
      </c>
      <c r="C32" s="2502"/>
      <c r="D32" s="1716">
        <v>100</v>
      </c>
      <c r="E32" s="2492"/>
      <c r="F32" s="1716">
        <f>SUMIF(99:99,E32,100:100)-SUMIF(99:99,C32,100:100)+100</f>
        <v>100</v>
      </c>
      <c r="G32" s="2491"/>
      <c r="H32" s="1716">
        <f>SUMIF(99:99,G32,100:100)-SUMIF(99:99,C32,100:100)+100</f>
        <v>100</v>
      </c>
      <c r="I32" s="1708"/>
      <c r="J32" s="1716">
        <f>SUMIF(99:99,I32,100:100)-SUMIF(99:99,C32,100:100)+100</f>
        <v>100</v>
      </c>
      <c r="K32" s="1990"/>
      <c r="L32" s="2999"/>
      <c r="M32" s="2995"/>
      <c r="N32" s="2995"/>
      <c r="O32" s="2995"/>
      <c r="P32" s="3451"/>
      <c r="Q32" s="2913">
        <f t="shared" si="11"/>
        <v>111</v>
      </c>
      <c r="R32" s="1726" t="s">
        <v>25</v>
      </c>
      <c r="S32" s="1727">
        <f t="shared" si="12"/>
        <v>100</v>
      </c>
      <c r="T32" s="1726" t="s">
        <v>25</v>
      </c>
      <c r="U32" s="1727">
        <f t="shared" si="13"/>
        <v>100</v>
      </c>
      <c r="V32" s="1726" t="s">
        <v>25</v>
      </c>
      <c r="W32" s="1727">
        <f t="shared" si="14"/>
        <v>100</v>
      </c>
      <c r="X32" s="2075"/>
      <c r="Y32" s="3451"/>
      <c r="Z32" s="2079">
        <f t="shared" si="15"/>
        <v>111</v>
      </c>
      <c r="AA32" s="2070">
        <f t="shared" si="3"/>
        <v>1</v>
      </c>
      <c r="AB32" s="2070">
        <f t="shared" si="4"/>
        <v>1</v>
      </c>
      <c r="AC32" s="2070">
        <f t="shared" si="5"/>
        <v>1</v>
      </c>
    </row>
    <row r="33" spans="1:29" ht="15">
      <c r="A33" s="1718" t="s">
        <v>2274</v>
      </c>
      <c r="B33" s="1688" t="s">
        <v>2390</v>
      </c>
      <c r="C33" s="2503"/>
      <c r="D33" s="1763">
        <v>100</v>
      </c>
      <c r="E33" s="2503"/>
      <c r="F33" s="1755">
        <f>SUMIF(101:101,E33,102:102)-SUMIF(101:101,C33,102:102)+100</f>
        <v>100</v>
      </c>
      <c r="G33" s="2503"/>
      <c r="H33" s="1712">
        <f>SUMIF(101:101,G33,102:102)-SUMIF(101:101,C33,102:102)+100</f>
        <v>100</v>
      </c>
      <c r="I33" s="2503"/>
      <c r="J33" s="1763">
        <f>SUMIF(101:101,I33,102:102)-SUMIF(101:101,C33,102:102)+100</f>
        <v>100</v>
      </c>
      <c r="K33" s="1993"/>
      <c r="L33" s="2999"/>
      <c r="M33" s="2995"/>
      <c r="N33" s="2995"/>
      <c r="O33" s="2995"/>
      <c r="P33" s="3495" t="s">
        <v>2276</v>
      </c>
      <c r="Q33" s="2913" t="str">
        <f t="shared" si="11"/>
        <v>建筑类型</v>
      </c>
      <c r="R33" s="1726" t="s">
        <v>25</v>
      </c>
      <c r="S33" s="1727">
        <f t="shared" si="12"/>
        <v>100</v>
      </c>
      <c r="T33" s="1726" t="s">
        <v>25</v>
      </c>
      <c r="U33" s="1727">
        <f t="shared" si="13"/>
        <v>100</v>
      </c>
      <c r="V33" s="1726" t="s">
        <v>25</v>
      </c>
      <c r="W33" s="1727">
        <f t="shared" si="14"/>
        <v>100</v>
      </c>
      <c r="X33" s="2075"/>
      <c r="Y33" s="3455" t="s">
        <v>2276</v>
      </c>
      <c r="Z33" s="2079" t="str">
        <f t="shared" si="15"/>
        <v>建筑类型</v>
      </c>
      <c r="AA33" s="2070">
        <f t="shared" si="3"/>
        <v>1</v>
      </c>
      <c r="AB33" s="2070">
        <f t="shared" si="4"/>
        <v>1</v>
      </c>
      <c r="AC33" s="2070">
        <f t="shared" si="5"/>
        <v>1</v>
      </c>
    </row>
    <row r="34" spans="1:29" s="1772" customFormat="1" ht="15">
      <c r="A34" s="1765"/>
      <c r="B34" s="1696" t="s">
        <v>2277</v>
      </c>
      <c r="C34" s="1766"/>
      <c r="D34" s="1698">
        <v>100</v>
      </c>
      <c r="E34" s="1705"/>
      <c r="F34" s="1700" t="e">
        <f>LOOKUP(E34,104:104,105:105)-LOOKUP(C34,104:104,105:105)+100</f>
        <v>#N/A</v>
      </c>
      <c r="G34" s="1704"/>
      <c r="H34" s="1698" t="e">
        <f>LOOKUP(G34,104:104,105:105)-LOOKUP(C34,104:104,105:105)+100</f>
        <v>#N/A</v>
      </c>
      <c r="I34" s="1704"/>
      <c r="J34" s="1698" t="e">
        <f>LOOKUP(I34,104:104,105:105)-LOOKUP(C34,104:104,105:105)+100</f>
        <v>#N/A</v>
      </c>
      <c r="K34" s="1990"/>
      <c r="L34" s="2998"/>
      <c r="M34" s="2060"/>
      <c r="N34" s="2060"/>
      <c r="O34" s="2060"/>
      <c r="P34" s="3455"/>
      <c r="Q34" s="1767" t="str">
        <f t="shared" si="11"/>
        <v>项目建筑规模</v>
      </c>
      <c r="R34" s="1768" t="s">
        <v>25</v>
      </c>
      <c r="S34" s="1769" t="e">
        <f t="shared" si="12"/>
        <v>#N/A</v>
      </c>
      <c r="T34" s="1768" t="s">
        <v>25</v>
      </c>
      <c r="U34" s="1769" t="e">
        <f t="shared" si="13"/>
        <v>#N/A</v>
      </c>
      <c r="V34" s="1768" t="s">
        <v>25</v>
      </c>
      <c r="W34" s="1769" t="e">
        <f t="shared" si="14"/>
        <v>#N/A</v>
      </c>
      <c r="X34" s="1770"/>
      <c r="Y34" s="3455"/>
      <c r="Z34" s="1771" t="str">
        <f t="shared" si="15"/>
        <v>项目建筑规模</v>
      </c>
      <c r="AA34" s="2070" t="e">
        <f t="shared" si="3"/>
        <v>#N/A</v>
      </c>
      <c r="AB34" s="2070" t="e">
        <f t="shared" si="4"/>
        <v>#N/A</v>
      </c>
      <c r="AC34" s="2070" t="e">
        <f t="shared" si="5"/>
        <v>#N/A</v>
      </c>
    </row>
    <row r="35" spans="1:29" ht="15">
      <c r="A35" s="1773"/>
      <c r="B35" s="1696" t="s">
        <v>2278</v>
      </c>
      <c r="C35" s="1753"/>
      <c r="D35" s="1712">
        <v>100</v>
      </c>
      <c r="E35" s="1753"/>
      <c r="F35" s="1755">
        <f>SUMIF(106:106,E35,107:107)-SUMIF(106:106,C35,107:107)+100</f>
        <v>100</v>
      </c>
      <c r="G35" s="1753"/>
      <c r="H35" s="1712">
        <f>SUMIF(106:106,G35,107:107)-SUMIF(106:106,C35,107:107)+100</f>
        <v>100</v>
      </c>
      <c r="I35" s="1753"/>
      <c r="J35" s="1712">
        <f>SUMIF(106:106,I35,107:107)-SUMIF(106:106,C35,107:107)+100</f>
        <v>100</v>
      </c>
      <c r="K35" s="1993"/>
      <c r="L35" s="2999"/>
      <c r="M35" s="2995"/>
      <c r="N35" s="2995"/>
      <c r="O35" s="2995"/>
      <c r="P35" s="3455"/>
      <c r="Q35" s="2913" t="str">
        <f t="shared" si="11"/>
        <v>建筑结构</v>
      </c>
      <c r="R35" s="1726" t="s">
        <v>25</v>
      </c>
      <c r="S35" s="1727">
        <f t="shared" si="12"/>
        <v>100</v>
      </c>
      <c r="T35" s="1726" t="s">
        <v>25</v>
      </c>
      <c r="U35" s="1727">
        <f t="shared" si="13"/>
        <v>100</v>
      </c>
      <c r="V35" s="1726" t="s">
        <v>25</v>
      </c>
      <c r="W35" s="1727">
        <f t="shared" si="14"/>
        <v>100</v>
      </c>
      <c r="X35" s="2075"/>
      <c r="Y35" s="3455"/>
      <c r="Z35" s="2079" t="str">
        <f t="shared" si="15"/>
        <v>建筑结构</v>
      </c>
      <c r="AA35" s="2070">
        <f t="shared" si="3"/>
        <v>1</v>
      </c>
      <c r="AB35" s="2070">
        <f t="shared" si="4"/>
        <v>1</v>
      </c>
      <c r="AC35" s="2070">
        <f t="shared" si="5"/>
        <v>1</v>
      </c>
    </row>
    <row r="36" spans="1:29" ht="15">
      <c r="A36" s="1773"/>
      <c r="B36" s="1696" t="s">
        <v>2363</v>
      </c>
      <c r="C36" s="1753"/>
      <c r="D36" s="1712">
        <v>100</v>
      </c>
      <c r="E36" s="1753"/>
      <c r="F36" s="1755">
        <f>SUMIF(108:108,E36,109:109)-SUMIF(108:108,C36,109:109)+100</f>
        <v>100</v>
      </c>
      <c r="G36" s="1753"/>
      <c r="H36" s="1712">
        <f>SUMIF(108:108,G36,109:109)-SUMIF(108:108,C36,109:109)+100</f>
        <v>100</v>
      </c>
      <c r="I36" s="1753"/>
      <c r="J36" s="1712">
        <f>SUMIF(108:108,I36,109:109)-SUMIF(108:108,C36,109:109)+100</f>
        <v>100</v>
      </c>
      <c r="K36" s="1993"/>
      <c r="L36" s="2999"/>
      <c r="M36" s="2995"/>
      <c r="N36" s="2995"/>
      <c r="O36" s="2995"/>
      <c r="P36" s="3455"/>
      <c r="Q36" s="2913" t="str">
        <f t="shared" si="11"/>
        <v>公共部分装修</v>
      </c>
      <c r="R36" s="1726" t="s">
        <v>25</v>
      </c>
      <c r="S36" s="1727">
        <f t="shared" si="12"/>
        <v>100</v>
      </c>
      <c r="T36" s="1726" t="s">
        <v>25</v>
      </c>
      <c r="U36" s="1727">
        <f t="shared" si="13"/>
        <v>100</v>
      </c>
      <c r="V36" s="1726" t="s">
        <v>25</v>
      </c>
      <c r="W36" s="1727">
        <f t="shared" si="14"/>
        <v>100</v>
      </c>
      <c r="X36" s="2075"/>
      <c r="Y36" s="3455"/>
      <c r="Z36" s="2079" t="str">
        <f t="shared" si="15"/>
        <v>公共部分装修</v>
      </c>
      <c r="AA36" s="2070">
        <f t="shared" si="3"/>
        <v>1</v>
      </c>
      <c r="AB36" s="2070">
        <f t="shared" si="4"/>
        <v>1</v>
      </c>
      <c r="AC36" s="2070">
        <f t="shared" si="5"/>
        <v>1</v>
      </c>
    </row>
    <row r="37" spans="1:29" ht="15">
      <c r="A37" s="1773"/>
      <c r="B37" s="1696" t="s">
        <v>2364</v>
      </c>
      <c r="C37" s="1777"/>
      <c r="D37" s="1712">
        <v>100</v>
      </c>
      <c r="E37" s="1777"/>
      <c r="F37" s="1755" t="e">
        <f>LOOKUP(E37,111:111,112:112)-LOOKUP(C37,111:111,112:112)+100</f>
        <v>#N/A</v>
      </c>
      <c r="G37" s="1777"/>
      <c r="H37" s="1755" t="e">
        <f>LOOKUP(G37,111:111,112:112)-LOOKUP(C37,111:111,112:112)+100</f>
        <v>#N/A</v>
      </c>
      <c r="I37" s="1777"/>
      <c r="J37" s="1712" t="e">
        <f>LOOKUP(I37,111:111,112:112)-LOOKUP(C37,111:111,112:112)+100</f>
        <v>#N/A</v>
      </c>
      <c r="K37" s="1993"/>
      <c r="L37" s="2999"/>
      <c r="M37" s="2995"/>
      <c r="N37" s="2995"/>
      <c r="O37" s="2995"/>
      <c r="P37" s="3455"/>
      <c r="Q37" s="2913" t="str">
        <f t="shared" si="11"/>
        <v>成新度</v>
      </c>
      <c r="R37" s="1726" t="s">
        <v>25</v>
      </c>
      <c r="S37" s="1727" t="e">
        <f t="shared" si="12"/>
        <v>#N/A</v>
      </c>
      <c r="T37" s="1726" t="s">
        <v>25</v>
      </c>
      <c r="U37" s="1727" t="e">
        <f t="shared" si="13"/>
        <v>#N/A</v>
      </c>
      <c r="V37" s="1726" t="s">
        <v>25</v>
      </c>
      <c r="W37" s="1727" t="e">
        <f t="shared" si="14"/>
        <v>#N/A</v>
      </c>
      <c r="X37" s="2075"/>
      <c r="Y37" s="3455"/>
      <c r="Z37" s="2079" t="str">
        <f t="shared" si="15"/>
        <v>成新度</v>
      </c>
      <c r="AA37" s="2070" t="e">
        <f t="shared" si="3"/>
        <v>#N/A</v>
      </c>
      <c r="AB37" s="2070" t="e">
        <f t="shared" si="4"/>
        <v>#N/A</v>
      </c>
      <c r="AC37" s="2070" t="e">
        <f t="shared" si="5"/>
        <v>#N/A</v>
      </c>
    </row>
    <row r="38" spans="1:29" s="1685" customFormat="1" ht="15">
      <c r="A38" s="1776"/>
      <c r="B38" s="1696" t="s">
        <v>2391</v>
      </c>
      <c r="C38" s="1753"/>
      <c r="D38" s="1698">
        <v>100</v>
      </c>
      <c r="E38" s="1753"/>
      <c r="F38" s="1755">
        <f>SUMIF(113:113,E38,114:114)-SUMIF(113:113,C38,114:114)+100</f>
        <v>100</v>
      </c>
      <c r="G38" s="1753"/>
      <c r="H38" s="1712">
        <f>SUMIF(113:113,G38,114:114)-SUMIF(113:113,C38,114:114)+100</f>
        <v>100</v>
      </c>
      <c r="I38" s="1753"/>
      <c r="J38" s="1712">
        <f>SUMIF(113:113,I38,114:114)-SUMIF(113:113,C38,114:114)+100</f>
        <v>100</v>
      </c>
      <c r="K38" s="1993"/>
      <c r="L38" s="2994"/>
      <c r="M38" s="2967"/>
      <c r="N38" s="2967"/>
      <c r="O38" s="2967"/>
      <c r="P38" s="3455"/>
      <c r="Q38" s="2912" t="str">
        <f t="shared" si="11"/>
        <v>写字楼等级</v>
      </c>
      <c r="R38" s="1681" t="s">
        <v>25</v>
      </c>
      <c r="S38" s="1682">
        <f t="shared" si="12"/>
        <v>100</v>
      </c>
      <c r="T38" s="1681" t="s">
        <v>25</v>
      </c>
      <c r="U38" s="1682">
        <f t="shared" si="13"/>
        <v>100</v>
      </c>
      <c r="V38" s="1681" t="s">
        <v>25</v>
      </c>
      <c r="W38" s="1682">
        <f t="shared" si="14"/>
        <v>100</v>
      </c>
      <c r="X38" s="1683"/>
      <c r="Y38" s="3455"/>
      <c r="Z38" s="1694" t="str">
        <f t="shared" si="15"/>
        <v>写字楼等级</v>
      </c>
      <c r="AA38" s="1684">
        <f t="shared" si="3"/>
        <v>1</v>
      </c>
      <c r="AB38" s="1684">
        <f t="shared" si="4"/>
        <v>1</v>
      </c>
      <c r="AC38" s="1684">
        <f t="shared" si="5"/>
        <v>1</v>
      </c>
    </row>
    <row r="39" spans="1:29" ht="15">
      <c r="A39" s="1773"/>
      <c r="B39" s="1696" t="s">
        <v>2392</v>
      </c>
      <c r="C39" s="1753"/>
      <c r="D39" s="1712">
        <v>100</v>
      </c>
      <c r="E39" s="1753"/>
      <c r="F39" s="1755">
        <f>SUMIF(115:115,E39,116:116)-SUMIF(115:115,C39,116:116)+100</f>
        <v>100</v>
      </c>
      <c r="G39" s="1753"/>
      <c r="H39" s="1712">
        <f>SUMIF(115:115,G39,116:116)-SUMIF(115:115,C39,116:116)+100</f>
        <v>100</v>
      </c>
      <c r="I39" s="1753"/>
      <c r="J39" s="1712">
        <f>SUMIF(115:115,I39,116:116)-SUMIF(115:115,C39,116:116)+100</f>
        <v>100</v>
      </c>
      <c r="K39" s="1993"/>
      <c r="L39" s="2999"/>
      <c r="M39" s="2995"/>
      <c r="N39" s="2995"/>
      <c r="O39" s="2995"/>
      <c r="P39" s="3455" t="s">
        <v>2276</v>
      </c>
      <c r="Q39" s="2913" t="str">
        <f t="shared" si="11"/>
        <v>物业管理</v>
      </c>
      <c r="R39" s="1726" t="s">
        <v>25</v>
      </c>
      <c r="S39" s="1727">
        <f t="shared" si="12"/>
        <v>100</v>
      </c>
      <c r="T39" s="1726" t="s">
        <v>25</v>
      </c>
      <c r="U39" s="1727">
        <f t="shared" si="13"/>
        <v>100</v>
      </c>
      <c r="V39" s="1726" t="s">
        <v>25</v>
      </c>
      <c r="W39" s="1727">
        <f t="shared" si="14"/>
        <v>100</v>
      </c>
      <c r="X39" s="2075"/>
      <c r="Y39" s="3455" t="s">
        <v>2276</v>
      </c>
      <c r="Z39" s="2079" t="str">
        <f t="shared" si="15"/>
        <v>物业管理</v>
      </c>
      <c r="AA39" s="2070">
        <f t="shared" si="3"/>
        <v>1</v>
      </c>
      <c r="AB39" s="2070">
        <f t="shared" si="4"/>
        <v>1</v>
      </c>
      <c r="AC39" s="2070">
        <f t="shared" si="5"/>
        <v>1</v>
      </c>
    </row>
    <row r="40" spans="1:29" ht="15">
      <c r="A40" s="1773"/>
      <c r="B40" s="1696" t="s">
        <v>2365</v>
      </c>
      <c r="C40" s="1753"/>
      <c r="D40" s="1712">
        <v>100</v>
      </c>
      <c r="E40" s="1753"/>
      <c r="F40" s="1755">
        <f>SUMIF(117:117,E40,118:118)-SUMIF(117:117,C40,118:118)+100</f>
        <v>100</v>
      </c>
      <c r="G40" s="1753"/>
      <c r="H40" s="1712">
        <f>SUMIF(117:117,G40,118:118)-SUMIF(117:117,C40,118:118)+100</f>
        <v>100</v>
      </c>
      <c r="I40" s="1753"/>
      <c r="J40" s="1712">
        <f>SUMIF(117:117,I40,118:118)-SUMIF(117:117,C40,118:118)+100</f>
        <v>100</v>
      </c>
      <c r="K40" s="1993"/>
      <c r="L40" s="2999"/>
      <c r="M40" s="2995"/>
      <c r="N40" s="2995"/>
      <c r="O40" s="2995"/>
      <c r="P40" s="3455"/>
      <c r="Q40" s="2913" t="str">
        <f t="shared" si="11"/>
        <v>市政基础设施</v>
      </c>
      <c r="R40" s="1726" t="s">
        <v>25</v>
      </c>
      <c r="S40" s="1727">
        <f t="shared" si="12"/>
        <v>100</v>
      </c>
      <c r="T40" s="1726" t="s">
        <v>25</v>
      </c>
      <c r="U40" s="1727">
        <f t="shared" si="13"/>
        <v>100</v>
      </c>
      <c r="V40" s="1726" t="s">
        <v>25</v>
      </c>
      <c r="W40" s="1727">
        <f t="shared" si="14"/>
        <v>100</v>
      </c>
      <c r="X40" s="2075"/>
      <c r="Y40" s="3455"/>
      <c r="Z40" s="2079" t="str">
        <f t="shared" si="15"/>
        <v>市政基础设施</v>
      </c>
      <c r="AA40" s="2070">
        <f t="shared" si="3"/>
        <v>1</v>
      </c>
      <c r="AB40" s="2070">
        <f t="shared" si="4"/>
        <v>1</v>
      </c>
      <c r="AC40" s="2070">
        <f t="shared" si="5"/>
        <v>1</v>
      </c>
    </row>
    <row r="41" spans="1:29" ht="15">
      <c r="A41" s="1773"/>
      <c r="B41" s="1696" t="s">
        <v>2367</v>
      </c>
      <c r="C41" s="1992"/>
      <c r="D41" s="1712">
        <v>100</v>
      </c>
      <c r="E41" s="1992"/>
      <c r="F41" s="1755">
        <f>SUMIF(119:119,E41,120:120)-SUMIF(119:119,C41,120:120)+100</f>
        <v>100</v>
      </c>
      <c r="G41" s="1992"/>
      <c r="H41" s="1712">
        <f>SUMIF(119:119,G41,120:120)-SUMIF(119:119,C41,120:120)+100</f>
        <v>100</v>
      </c>
      <c r="I41" s="1992"/>
      <c r="J41" s="1712">
        <f>SUMIF(119:119,I41,120:120)-SUMIF(119:119,C41,120:120)+100</f>
        <v>100</v>
      </c>
      <c r="K41" s="1993"/>
      <c r="L41" s="2999"/>
      <c r="M41" s="2995"/>
      <c r="N41" s="2995"/>
      <c r="O41" s="2995"/>
      <c r="P41" s="3455"/>
      <c r="Q41" s="2913" t="str">
        <f t="shared" si="11"/>
        <v>层高</v>
      </c>
      <c r="R41" s="1726" t="s">
        <v>25</v>
      </c>
      <c r="S41" s="1727">
        <f t="shared" si="12"/>
        <v>100</v>
      </c>
      <c r="T41" s="1726" t="s">
        <v>25</v>
      </c>
      <c r="U41" s="1727">
        <f t="shared" si="13"/>
        <v>100</v>
      </c>
      <c r="V41" s="1726" t="s">
        <v>25</v>
      </c>
      <c r="W41" s="1727">
        <f t="shared" si="14"/>
        <v>100</v>
      </c>
      <c r="X41" s="2075"/>
      <c r="Y41" s="3455"/>
      <c r="Z41" s="2079" t="str">
        <f t="shared" si="15"/>
        <v>层高</v>
      </c>
      <c r="AA41" s="2070">
        <f t="shared" si="3"/>
        <v>1</v>
      </c>
      <c r="AB41" s="2070">
        <f t="shared" si="4"/>
        <v>1</v>
      </c>
      <c r="AC41" s="2070">
        <f t="shared" si="5"/>
        <v>1</v>
      </c>
    </row>
    <row r="42" spans="1:29" s="1772" customFormat="1" ht="15">
      <c r="A42" s="1765"/>
      <c r="B42" s="2071" t="s">
        <v>2393</v>
      </c>
      <c r="C42" s="1711"/>
      <c r="D42" s="1712">
        <v>100</v>
      </c>
      <c r="E42" s="1711"/>
      <c r="F42" s="1755">
        <f>SUMIF(121:121,E42,122:122)-SUMIF(121:121,C42,122:122)+100</f>
        <v>100</v>
      </c>
      <c r="G42" s="1711"/>
      <c r="H42" s="1712">
        <f>SUMIF(121:121,G42,122:122)-SUMIF(121:121,C42,122:122)+100</f>
        <v>100</v>
      </c>
      <c r="I42" s="1711"/>
      <c r="J42" s="1712">
        <f>SUMIF(121:121,I42,122:122)-SUMIF(121:121,C42,122:122)+100</f>
        <v>100</v>
      </c>
      <c r="K42" s="1990"/>
      <c r="L42" s="2998"/>
      <c r="M42" s="2060"/>
      <c r="N42" s="2060"/>
      <c r="O42" s="2060"/>
      <c r="P42" s="3455"/>
      <c r="Q42" s="1767" t="str">
        <f t="shared" si="11"/>
        <v>单套建筑面积</v>
      </c>
      <c r="R42" s="1768" t="s">
        <v>25</v>
      </c>
      <c r="S42" s="1769">
        <f t="shared" si="12"/>
        <v>100</v>
      </c>
      <c r="T42" s="1768" t="s">
        <v>25</v>
      </c>
      <c r="U42" s="1769">
        <f t="shared" si="13"/>
        <v>100</v>
      </c>
      <c r="V42" s="1768" t="s">
        <v>25</v>
      </c>
      <c r="W42" s="1769">
        <f t="shared" si="14"/>
        <v>100</v>
      </c>
      <c r="X42" s="1770"/>
      <c r="Y42" s="3455"/>
      <c r="Z42" s="1771" t="str">
        <f t="shared" si="15"/>
        <v>单套建筑面积</v>
      </c>
      <c r="AA42" s="2070">
        <f t="shared" si="3"/>
        <v>1</v>
      </c>
      <c r="AB42" s="2070">
        <f t="shared" si="4"/>
        <v>1</v>
      </c>
      <c r="AC42" s="2070">
        <f t="shared" si="5"/>
        <v>1</v>
      </c>
    </row>
    <row r="43" spans="1:29" ht="15">
      <c r="A43" s="1773"/>
      <c r="B43" s="1696" t="s">
        <v>2370</v>
      </c>
      <c r="C43" s="1753"/>
      <c r="D43" s="1712">
        <v>100</v>
      </c>
      <c r="E43" s="1753"/>
      <c r="F43" s="1755">
        <f>SUMIF(123:123,E43,124:124)-SUMIF(123:123,C43,124:124)+100</f>
        <v>100</v>
      </c>
      <c r="G43" s="1753"/>
      <c r="H43" s="1712">
        <f>SUMIF(123:123,G43,124:124)-SUMIF(123:123,C43,124:124)+100</f>
        <v>100</v>
      </c>
      <c r="I43" s="1753"/>
      <c r="J43" s="1712">
        <f>SUMIF(123:123,I43,124:124)-SUMIF(123:123,C43,124:124)+100</f>
        <v>100</v>
      </c>
      <c r="K43" s="1993"/>
      <c r="L43" s="2999"/>
      <c r="M43" s="2995"/>
      <c r="N43" s="2995"/>
      <c r="O43" s="2995"/>
      <c r="P43" s="3455"/>
      <c r="Q43" s="2913" t="str">
        <f t="shared" si="11"/>
        <v>内部装修</v>
      </c>
      <c r="R43" s="1726" t="s">
        <v>25</v>
      </c>
      <c r="S43" s="1727">
        <f t="shared" si="12"/>
        <v>100</v>
      </c>
      <c r="T43" s="1726" t="s">
        <v>25</v>
      </c>
      <c r="U43" s="1727">
        <f t="shared" si="13"/>
        <v>100</v>
      </c>
      <c r="V43" s="1726" t="s">
        <v>25</v>
      </c>
      <c r="W43" s="1727">
        <f t="shared" si="14"/>
        <v>100</v>
      </c>
      <c r="X43" s="2075"/>
      <c r="Y43" s="3455"/>
      <c r="Z43" s="2079" t="str">
        <f t="shared" si="15"/>
        <v>内部装修</v>
      </c>
      <c r="AA43" s="2070">
        <f t="shared" si="3"/>
        <v>1</v>
      </c>
      <c r="AB43" s="2070">
        <f t="shared" si="4"/>
        <v>1</v>
      </c>
      <c r="AC43" s="2070">
        <f t="shared" si="5"/>
        <v>1</v>
      </c>
    </row>
    <row r="44" spans="1:29" ht="15">
      <c r="A44" s="1773"/>
      <c r="B44" s="1696" t="s">
        <v>2287</v>
      </c>
      <c r="C44" s="1753"/>
      <c r="D44" s="1712">
        <v>100</v>
      </c>
      <c r="E44" s="1756"/>
      <c r="F44" s="1755">
        <f>SUMIF(125:125,E44,126:126)-SUMIF(125:125,C44,126:126)+100</f>
        <v>100</v>
      </c>
      <c r="G44" s="1756"/>
      <c r="H44" s="1712">
        <f>SUMIF(125:125,G44,126:126)-SUMIF(125:125,C44,126:126)+100</f>
        <v>100</v>
      </c>
      <c r="I44" s="1756"/>
      <c r="J44" s="1712">
        <f>SUMIF(125:125,I44,126:126)-SUMIF(125:125,C44,126:126)+100</f>
        <v>100</v>
      </c>
      <c r="K44" s="1993"/>
      <c r="L44" s="2999"/>
      <c r="M44" s="2995"/>
      <c r="N44" s="2995"/>
      <c r="O44" s="2995"/>
      <c r="P44" s="3455"/>
      <c r="Q44" s="2913" t="str">
        <f t="shared" si="11"/>
        <v>内部装修维护情况</v>
      </c>
      <c r="R44" s="1726" t="s">
        <v>25</v>
      </c>
      <c r="S44" s="1727">
        <f t="shared" si="12"/>
        <v>100</v>
      </c>
      <c r="T44" s="1726" t="s">
        <v>25</v>
      </c>
      <c r="U44" s="1727">
        <f t="shared" si="13"/>
        <v>100</v>
      </c>
      <c r="V44" s="1726" t="s">
        <v>25</v>
      </c>
      <c r="W44" s="1727">
        <f t="shared" si="14"/>
        <v>100</v>
      </c>
      <c r="X44" s="2075"/>
      <c r="Y44" s="3455"/>
      <c r="Z44" s="2079" t="str">
        <f t="shared" si="15"/>
        <v>内部装修维护情况</v>
      </c>
      <c r="AA44" s="2070">
        <f t="shared" si="3"/>
        <v>1</v>
      </c>
      <c r="AB44" s="2070">
        <f t="shared" si="4"/>
        <v>1</v>
      </c>
      <c r="AC44" s="2070">
        <f t="shared" si="5"/>
        <v>1</v>
      </c>
    </row>
    <row r="45" spans="1:29" s="1685" customFormat="1" ht="15">
      <c r="A45" s="1776"/>
      <c r="B45" s="1761">
        <v>111</v>
      </c>
      <c r="C45" s="1766"/>
      <c r="D45" s="1698">
        <v>100</v>
      </c>
      <c r="E45" s="1708"/>
      <c r="F45" s="1700">
        <f>SUMIF(127:127,E45,128:128)-SUMIF(127:127,C45,128:128)+100</f>
        <v>100</v>
      </c>
      <c r="G45" s="1708"/>
      <c r="H45" s="1698">
        <f>SUMIF(127:127,G45,128:128)-SUMIF(127:127,C45,128:128)+100</f>
        <v>100</v>
      </c>
      <c r="I45" s="1708"/>
      <c r="J45" s="1698">
        <f>SUMIF(127:127,I45,128:128)-SUMIF(127:127,C45,128:128)+100</f>
        <v>100</v>
      </c>
      <c r="K45" s="1990"/>
      <c r="L45" s="2994"/>
      <c r="M45" s="2967"/>
      <c r="N45" s="2967"/>
      <c r="O45" s="2967"/>
      <c r="P45" s="3455"/>
      <c r="Q45" s="2912">
        <f t="shared" si="11"/>
        <v>111</v>
      </c>
      <c r="R45" s="1681" t="s">
        <v>25</v>
      </c>
      <c r="S45" s="1682">
        <f t="shared" si="12"/>
        <v>100</v>
      </c>
      <c r="T45" s="1681" t="s">
        <v>25</v>
      </c>
      <c r="U45" s="1682">
        <f t="shared" si="13"/>
        <v>100</v>
      </c>
      <c r="V45" s="1681" t="s">
        <v>25</v>
      </c>
      <c r="W45" s="1682">
        <f t="shared" si="14"/>
        <v>100</v>
      </c>
      <c r="X45" s="1683"/>
      <c r="Y45" s="3455"/>
      <c r="Z45" s="1694">
        <f t="shared" si="15"/>
        <v>111</v>
      </c>
      <c r="AA45" s="1684">
        <f t="shared" si="3"/>
        <v>1</v>
      </c>
      <c r="AB45" s="1684">
        <f t="shared" si="4"/>
        <v>1</v>
      </c>
      <c r="AC45" s="1684">
        <f t="shared" si="5"/>
        <v>1</v>
      </c>
    </row>
    <row r="46" spans="1:29" ht="15">
      <c r="A46" s="1773"/>
      <c r="B46" s="1761">
        <v>111</v>
      </c>
      <c r="C46" s="1711"/>
      <c r="D46" s="1712">
        <v>100</v>
      </c>
      <c r="E46" s="1708"/>
      <c r="F46" s="1755">
        <f>SUMIF(129:129,E46,130:130)-SUMIF(129:129,C46,130:130)+100</f>
        <v>100</v>
      </c>
      <c r="G46" s="1708"/>
      <c r="H46" s="1712">
        <f>SUMIF(129:129,G46,130:130)-SUMIF(129:129,C46,130:130)+100</f>
        <v>100</v>
      </c>
      <c r="I46" s="1708"/>
      <c r="J46" s="1712">
        <f>SUMIF(129:129,I46,130:130)-SUMIF(129:129,C46,130:130)+100</f>
        <v>100</v>
      </c>
      <c r="K46" s="1990"/>
      <c r="L46" s="2999"/>
      <c r="M46" s="2995"/>
      <c r="N46" s="2995"/>
      <c r="O46" s="2995"/>
      <c r="P46" s="3455"/>
      <c r="Q46" s="2913">
        <f t="shared" si="11"/>
        <v>111</v>
      </c>
      <c r="R46" s="1726" t="s">
        <v>25</v>
      </c>
      <c r="S46" s="1727">
        <f t="shared" si="12"/>
        <v>100</v>
      </c>
      <c r="T46" s="1726" t="s">
        <v>25</v>
      </c>
      <c r="U46" s="1727">
        <f t="shared" si="13"/>
        <v>100</v>
      </c>
      <c r="V46" s="1726" t="s">
        <v>25</v>
      </c>
      <c r="W46" s="1727">
        <f t="shared" si="14"/>
        <v>100</v>
      </c>
      <c r="X46" s="2075"/>
      <c r="Y46" s="3455"/>
      <c r="Z46" s="2079">
        <f t="shared" si="15"/>
        <v>111</v>
      </c>
      <c r="AA46" s="2070">
        <f t="shared" si="3"/>
        <v>1</v>
      </c>
      <c r="AB46" s="2070">
        <f t="shared" si="4"/>
        <v>1</v>
      </c>
      <c r="AC46" s="2070">
        <f t="shared" si="5"/>
        <v>1</v>
      </c>
    </row>
    <row r="47" spans="1:29" ht="15.75" thickBot="1">
      <c r="A47" s="1781"/>
      <c r="B47" s="1714">
        <v>111</v>
      </c>
      <c r="C47" s="1715"/>
      <c r="D47" s="1716">
        <v>100</v>
      </c>
      <c r="E47" s="1708"/>
      <c r="F47" s="1717">
        <f>SUMIF(131:131,E47,132:132)-SUMIF(131:131,C47,132:132)+100</f>
        <v>100</v>
      </c>
      <c r="G47" s="1708"/>
      <c r="H47" s="1716">
        <f>SUMIF(131:131,G47,132:132)-SUMIF(131:131,C47,132:132)+100</f>
        <v>100</v>
      </c>
      <c r="I47" s="1708"/>
      <c r="J47" s="1716">
        <f>SUMIF(131:131,I47,132:132)-SUMIF(131:131,C47,132:132)+100</f>
        <v>100</v>
      </c>
      <c r="K47" s="1990"/>
      <c r="L47" s="2999"/>
      <c r="M47" s="2995"/>
      <c r="N47" s="2995"/>
      <c r="O47" s="2995"/>
      <c r="P47" s="3456"/>
      <c r="Q47" s="2913">
        <f t="shared" si="11"/>
        <v>111</v>
      </c>
      <c r="R47" s="1726" t="s">
        <v>25</v>
      </c>
      <c r="S47" s="1727">
        <f t="shared" si="12"/>
        <v>100</v>
      </c>
      <c r="T47" s="1726" t="s">
        <v>25</v>
      </c>
      <c r="U47" s="1727">
        <f t="shared" si="13"/>
        <v>100</v>
      </c>
      <c r="V47" s="1726" t="s">
        <v>25</v>
      </c>
      <c r="W47" s="1727">
        <f t="shared" si="14"/>
        <v>100</v>
      </c>
      <c r="X47" s="2075"/>
      <c r="Y47" s="3456"/>
      <c r="Z47" s="2079">
        <f t="shared" si="15"/>
        <v>111</v>
      </c>
      <c r="AA47" s="2070">
        <f t="shared" si="3"/>
        <v>1</v>
      </c>
      <c r="AB47" s="2070">
        <f t="shared" si="4"/>
        <v>1</v>
      </c>
      <c r="AC47" s="2070">
        <f t="shared" si="5"/>
        <v>1</v>
      </c>
    </row>
    <row r="48" spans="1:29" ht="15">
      <c r="A48" s="1782" t="s">
        <v>2288</v>
      </c>
      <c r="B48" s="1783"/>
      <c r="C48" s="1784" t="s">
        <v>1</v>
      </c>
      <c r="D48" s="1785"/>
      <c r="E48" s="1786"/>
      <c r="F48" s="1787"/>
      <c r="G48" s="1788"/>
      <c r="H48" s="1789"/>
      <c r="I48" s="1786"/>
      <c r="J48" s="1789"/>
      <c r="K48" s="2014"/>
      <c r="L48" s="3000"/>
      <c r="M48" s="2995"/>
      <c r="N48" s="2995"/>
      <c r="O48" s="2995"/>
      <c r="P48" s="3447" t="str">
        <f>A48</f>
        <v>成交单价（元/平方米）</v>
      </c>
      <c r="Q48" s="3447"/>
      <c r="R48" s="3443">
        <f>E48</f>
        <v>0</v>
      </c>
      <c r="S48" s="3443"/>
      <c r="T48" s="3443">
        <f>G48</f>
        <v>0</v>
      </c>
      <c r="U48" s="3443"/>
      <c r="V48" s="3443">
        <f>I48</f>
        <v>0</v>
      </c>
      <c r="W48" s="3443"/>
      <c r="X48" s="1792"/>
      <c r="Y48" s="2074"/>
      <c r="Z48" s="1792"/>
      <c r="AA48" s="1792"/>
      <c r="AB48" s="1792"/>
      <c r="AC48" s="1792"/>
    </row>
    <row r="49" spans="1:29" ht="15.75" thickBot="1">
      <c r="A49" s="1794" t="s">
        <v>2371</v>
      </c>
      <c r="B49" s="1795"/>
      <c r="C49" s="1796" t="e">
        <f>R50</f>
        <v>#DIV/0!</v>
      </c>
      <c r="D49" s="1797" t="s">
        <v>2745</v>
      </c>
      <c r="E49" s="1798" t="e">
        <f>R49</f>
        <v>#DIV/0!</v>
      </c>
      <c r="F49" s="1799"/>
      <c r="G49" s="1796" t="e">
        <f>T49</f>
        <v>#DIV/0!</v>
      </c>
      <c r="H49" s="1799"/>
      <c r="I49" s="1798" t="e">
        <f>V49</f>
        <v>#DIV/0!</v>
      </c>
      <c r="J49" s="1799"/>
      <c r="K49" s="2511">
        <f>F49+H49+J49</f>
        <v>0</v>
      </c>
      <c r="L49" s="3000"/>
      <c r="M49" s="2995"/>
      <c r="N49" s="2995"/>
      <c r="O49" s="2995"/>
      <c r="P49" s="3447" t="str">
        <f>A49</f>
        <v>比较价值（元/平方米）</v>
      </c>
      <c r="Q49" s="3447"/>
      <c r="R49" s="3443" t="e">
        <f>IF(E1="售价",ROUND(PRODUCT(R48,AA7:AA47),0),ROUND(PRODUCT(R48,AA7:AA47),1))</f>
        <v>#DIV/0!</v>
      </c>
      <c r="S49" s="3443"/>
      <c r="T49" s="3443" t="e">
        <f>IF(E1="售价",ROUND(PRODUCT(T48,AB7:AB47),0),ROUND(PRODUCT(T48,AB7:AB47),1))</f>
        <v>#DIV/0!</v>
      </c>
      <c r="U49" s="3443"/>
      <c r="V49" s="3443" t="e">
        <f>IF(E1="售价",ROUND(PRODUCT(V48,AC7:AC47),0),ROUND(PRODUCT(V48,AC7:AC47),1))</f>
        <v>#DIV/0!</v>
      </c>
      <c r="W49" s="3443"/>
      <c r="X49" s="1792"/>
      <c r="Y49" s="1792"/>
      <c r="Z49" s="1792"/>
      <c r="AA49" s="1792"/>
      <c r="AB49" s="1792"/>
      <c r="AC49" s="1792"/>
    </row>
    <row r="50" spans="1:29" ht="15.75" thickBot="1">
      <c r="A50" s="1800" t="s">
        <v>2394</v>
      </c>
      <c r="B50" s="1801"/>
      <c r="C50" s="1803" t="e">
        <f>R50</f>
        <v>#DIV/0!</v>
      </c>
      <c r="D50" s="1803"/>
      <c r="E50" s="1803"/>
      <c r="F50" s="1803"/>
      <c r="G50" s="1803"/>
      <c r="H50" s="1803"/>
      <c r="I50" s="1803"/>
      <c r="J50" s="1803"/>
      <c r="K50" s="2019"/>
      <c r="L50" s="3000"/>
      <c r="M50" s="2995"/>
      <c r="N50" s="2995"/>
      <c r="O50" s="2995"/>
      <c r="P50" s="3444" t="str">
        <f>A50</f>
        <v>估价对象XX用房的比较价值（楼面单价，元/平方米）</v>
      </c>
      <c r="Q50" s="3445"/>
      <c r="R50" s="3446" t="e">
        <f>IF(E1="售价",ROUND(IF(D49="简单平均",AVERAGE(R49:V49),R49*F49+T49*H49+V49*J49),0),ROUND(IF(D49="简单平均",AVERAGE(R49:V49),R49*F49+T49*H49+V49*J49),1))</f>
        <v>#DIV/0!</v>
      </c>
      <c r="S50" s="3446"/>
      <c r="T50" s="3446"/>
      <c r="U50" s="3446"/>
      <c r="V50" s="3446"/>
      <c r="W50" s="3446"/>
      <c r="X50" s="1792"/>
      <c r="Y50" s="1792"/>
      <c r="Z50" s="1792"/>
      <c r="AA50" s="1792"/>
      <c r="AB50" s="1792"/>
      <c r="AC50" s="1792"/>
    </row>
    <row r="51" spans="1:29">
      <c r="G51" s="3004"/>
    </row>
    <row r="53" spans="1:29" ht="13.5" customHeight="1">
      <c r="C53" s="383" t="s">
        <v>2373</v>
      </c>
      <c r="D53" s="1808"/>
      <c r="E53" s="1809" t="e">
        <f>IF(E48&lt;E49,E49/E48-1,E48/E49-1)</f>
        <v>#DIV/0!</v>
      </c>
      <c r="F53" s="1810" t="e">
        <f>IF(OR(E53&gt;=0.3,E53&lt;=-0.3),"超过30%","")</f>
        <v>#DIV/0!</v>
      </c>
      <c r="G53" s="1809" t="e">
        <f>IF(G48&lt;G49,G49/G48-1,G48/G49-1)</f>
        <v>#DIV/0!</v>
      </c>
      <c r="H53" s="1810" t="e">
        <f>IF(OR(G53&gt;=0.3,G53&lt;=-0.3),"超过30%","")</f>
        <v>#DIV/0!</v>
      </c>
      <c r="I53" s="1809" t="e">
        <f>IF(I48&lt;I49,I49/I48-1,I48/I49-1)</f>
        <v>#DIV/0!</v>
      </c>
      <c r="J53" s="1810" t="e">
        <f>IF(OR(I53&gt;=0.3,I53&lt;=-0.3),"超过30%","")</f>
        <v>#DIV/0!</v>
      </c>
    </row>
    <row r="54" spans="1:29" ht="13.5" customHeight="1">
      <c r="C54" s="383" t="s">
        <v>2374</v>
      </c>
      <c r="D54" s="1811"/>
      <c r="E54" s="1809" t="e">
        <f>IF(E49&lt;G49,G49/E49-1,E49/G49-1)</f>
        <v>#DIV/0!</v>
      </c>
      <c r="F54" s="1810" t="e">
        <f>IF(OR(E54&gt;=0.2,E54&lt;=-0.2),"超过20%","")</f>
        <v>#DIV/0!</v>
      </c>
      <c r="G54" s="1809" t="e">
        <f>IF(G49&lt;I49,I49/G49-1,G49/I49-1)</f>
        <v>#DIV/0!</v>
      </c>
      <c r="H54" s="1810" t="e">
        <f>IF(OR(G54&gt;=0.2,G54&lt;=-0.2),"超过20%","")</f>
        <v>#DIV/0!</v>
      </c>
      <c r="I54" s="1809" t="e">
        <f>IF(I49&lt;E49,E49/I49-1,I49/E49-1)</f>
        <v>#DIV/0!</v>
      </c>
      <c r="J54" s="1810" t="e">
        <f>IF(OR(I54&gt;=0.2,I54&lt;=-0.2),"超过20%","")</f>
        <v>#DIV/0!</v>
      </c>
    </row>
    <row r="55" spans="1:29" s="1814" customFormat="1" ht="13.5" customHeight="1">
      <c r="C55" s="383" t="s">
        <v>2375</v>
      </c>
      <c r="D55" s="1811"/>
      <c r="E55" s="1809" t="e">
        <f>IF(E48&lt;G48,G48/E48-1,E48/G48-1)</f>
        <v>#DIV/0!</v>
      </c>
      <c r="F55" s="1810" t="e">
        <f>IF(OR(E55&gt;=0.3,E55&lt;=-0.3),"超过30%","")</f>
        <v>#DIV/0!</v>
      </c>
      <c r="G55" s="1809" t="e">
        <f>IF(G48&lt;I48,I48/G48-1,G48/I48-1)</f>
        <v>#DIV/0!</v>
      </c>
      <c r="H55" s="1810" t="e">
        <f>IF(OR(G55&gt;=0.3,G55&lt;=-0.3),"超过30%","")</f>
        <v>#DIV/0!</v>
      </c>
      <c r="I55" s="1809" t="e">
        <f>IF(I48&lt;E48,E48/I48-1,I48/E48-1)</f>
        <v>#DIV/0!</v>
      </c>
      <c r="J55" s="1810" t="e">
        <f>IF(OR(I55&gt;=0.3,I55&lt;=-0.3),"超过30%","")</f>
        <v>#DIV/0!</v>
      </c>
      <c r="K55" s="3007"/>
      <c r="L55" s="3001"/>
    </row>
    <row r="56" spans="1:29" s="1814" customFormat="1">
      <c r="B56" s="3005"/>
      <c r="C56" s="3006"/>
      <c r="K56" s="3007"/>
      <c r="L56" s="3001"/>
    </row>
    <row r="57" spans="1:29">
      <c r="B57" s="3005"/>
      <c r="C57" s="3006"/>
    </row>
    <row r="58" spans="1:29" ht="21.75" thickBot="1">
      <c r="A58" s="1817" t="s">
        <v>2376</v>
      </c>
      <c r="B58" s="1792"/>
      <c r="C58" s="1818"/>
      <c r="D58" s="1818"/>
      <c r="E58" s="1818"/>
      <c r="F58" s="1818"/>
      <c r="G58" s="1818"/>
      <c r="H58" s="1818"/>
      <c r="I58" s="1818"/>
      <c r="J58" s="1818"/>
      <c r="K58" s="1819"/>
      <c r="L58" s="1820"/>
      <c r="M58" s="1818"/>
      <c r="N58" s="3003"/>
      <c r="O58" s="3003"/>
      <c r="P58" s="2046"/>
      <c r="Q58" s="1822"/>
    </row>
    <row r="59" spans="1:29" s="1828" customFormat="1" ht="15">
      <c r="A59" s="1823" t="s">
        <v>2258</v>
      </c>
      <c r="B59" s="1824"/>
      <c r="C59" s="1825" t="str">
        <f>YEAR(C7)&amp;"-"&amp;MONTH(C7)</f>
        <v>2021-5</v>
      </c>
      <c r="D59" s="1826">
        <f>EDATE(C59,-1)</f>
        <v>44287</v>
      </c>
      <c r="E59" s="1826">
        <f t="shared" ref="E59:O59" si="16">EDATE(D59,-1)</f>
        <v>44256</v>
      </c>
      <c r="F59" s="1826">
        <f t="shared" si="16"/>
        <v>44228</v>
      </c>
      <c r="G59" s="1826">
        <f t="shared" si="16"/>
        <v>44197</v>
      </c>
      <c r="H59" s="1826">
        <f t="shared" si="16"/>
        <v>44166</v>
      </c>
      <c r="I59" s="1826">
        <f t="shared" si="16"/>
        <v>44136</v>
      </c>
      <c r="J59" s="1826">
        <f t="shared" si="16"/>
        <v>44105</v>
      </c>
      <c r="K59" s="1826">
        <f t="shared" si="16"/>
        <v>44075</v>
      </c>
      <c r="L59" s="1826">
        <f t="shared" si="16"/>
        <v>44044</v>
      </c>
      <c r="M59" s="1826">
        <f t="shared" si="16"/>
        <v>44013</v>
      </c>
      <c r="N59" s="1826">
        <f t="shared" si="16"/>
        <v>43983</v>
      </c>
      <c r="O59" s="1826">
        <f t="shared" si="16"/>
        <v>43952</v>
      </c>
      <c r="P59" s="2504"/>
    </row>
    <row r="60" spans="1:29" s="1685" customFormat="1" ht="15">
      <c r="A60" s="1829"/>
      <c r="B60" s="1830"/>
      <c r="C60" s="1831">
        <v>100</v>
      </c>
      <c r="D60" s="1832"/>
      <c r="E60" s="1832"/>
      <c r="F60" s="1832"/>
      <c r="G60" s="1832"/>
      <c r="H60" s="1832"/>
      <c r="I60" s="1832"/>
      <c r="J60" s="1832"/>
      <c r="K60" s="1832"/>
      <c r="L60" s="1832"/>
      <c r="M60" s="1833"/>
      <c r="N60" s="1832"/>
      <c r="O60" s="1846"/>
      <c r="P60" s="1822"/>
    </row>
    <row r="61" spans="1:29" s="1685" customFormat="1" ht="15.75" thickBot="1">
      <c r="A61" s="1835" t="s">
        <v>2296</v>
      </c>
      <c r="B61" s="1836"/>
      <c r="C61" s="1837"/>
      <c r="D61" s="1838"/>
      <c r="E61" s="1838"/>
      <c r="F61" s="1838"/>
      <c r="G61" s="1838"/>
      <c r="H61" s="1838"/>
      <c r="I61" s="1838"/>
      <c r="J61" s="1838"/>
      <c r="K61" s="1838"/>
      <c r="L61" s="1838"/>
      <c r="M61" s="1839"/>
      <c r="N61" s="1838"/>
      <c r="O61" s="2505"/>
      <c r="P61" s="1822"/>
      <c r="Q61" s="1822"/>
    </row>
    <row r="62" spans="1:29" s="1685" customFormat="1" ht="15">
      <c r="A62" s="1840" t="s">
        <v>2260</v>
      </c>
      <c r="B62" s="1830"/>
      <c r="C62" s="1841" t="s">
        <v>2261</v>
      </c>
      <c r="D62" s="409"/>
      <c r="E62" s="409"/>
      <c r="F62" s="409"/>
      <c r="G62" s="409"/>
      <c r="H62" s="409"/>
      <c r="I62" s="409"/>
      <c r="J62" s="409"/>
      <c r="K62" s="409"/>
      <c r="L62" s="409"/>
      <c r="M62" s="1842"/>
      <c r="N62" s="3012"/>
      <c r="O62" s="3012"/>
      <c r="P62" s="2057"/>
      <c r="Q62" s="1822"/>
    </row>
    <row r="63" spans="1:29" s="1685" customFormat="1" ht="15.75" thickBot="1">
      <c r="A63" s="1840"/>
      <c r="B63" s="1830"/>
      <c r="C63" s="1845">
        <v>100</v>
      </c>
      <c r="D63" s="1832"/>
      <c r="E63" s="1832"/>
      <c r="F63" s="1832"/>
      <c r="G63" s="1832"/>
      <c r="H63" s="1832"/>
      <c r="I63" s="1832"/>
      <c r="J63" s="1832"/>
      <c r="K63" s="1832"/>
      <c r="L63" s="1832"/>
      <c r="M63" s="1846"/>
      <c r="N63" s="3012"/>
      <c r="O63" s="3012"/>
      <c r="P63" s="1822"/>
      <c r="Q63" s="1822"/>
    </row>
    <row r="64" spans="1:29">
      <c r="A64" s="1847" t="s">
        <v>2299</v>
      </c>
      <c r="B64" s="1848" t="s">
        <v>2264</v>
      </c>
      <c r="C64" s="1849">
        <f>C9</f>
        <v>0</v>
      </c>
      <c r="D64" s="1850"/>
      <c r="E64" s="1850"/>
      <c r="F64" s="1850"/>
      <c r="G64" s="1850"/>
      <c r="H64" s="1850"/>
      <c r="I64" s="1850"/>
      <c r="J64" s="1850"/>
      <c r="K64" s="417"/>
      <c r="L64" s="417"/>
      <c r="M64" s="1851"/>
      <c r="N64" s="3013"/>
      <c r="O64" s="3013"/>
      <c r="P64" s="2058"/>
      <c r="Q64" s="1822"/>
    </row>
    <row r="65" spans="1:17" ht="15.75" thickBot="1">
      <c r="A65" s="1854"/>
      <c r="B65" s="1855"/>
      <c r="C65" s="1856">
        <v>100</v>
      </c>
      <c r="D65" s="1856"/>
      <c r="E65" s="1856"/>
      <c r="F65" s="1856"/>
      <c r="G65" s="1856"/>
      <c r="H65" s="1856"/>
      <c r="I65" s="1856"/>
      <c r="J65" s="1856"/>
      <c r="K65" s="1856"/>
      <c r="L65" s="1856"/>
      <c r="M65" s="1857"/>
      <c r="N65" s="3014"/>
      <c r="O65" s="3014"/>
      <c r="P65" s="2058"/>
      <c r="Q65" s="1822"/>
    </row>
    <row r="66" spans="1:17" ht="27.75" thickTop="1">
      <c r="A66" s="1854"/>
      <c r="B66" s="1859" t="s">
        <v>2267</v>
      </c>
      <c r="C66" s="1860" t="s">
        <v>2300</v>
      </c>
      <c r="D66" s="1860" t="s">
        <v>2301</v>
      </c>
      <c r="E66" s="1860" t="s">
        <v>2302</v>
      </c>
      <c r="F66" s="1860" t="s">
        <v>2303</v>
      </c>
      <c r="G66" s="1860" t="s">
        <v>2304</v>
      </c>
      <c r="H66" s="1860" t="s">
        <v>2305</v>
      </c>
      <c r="I66" s="1860" t="s">
        <v>2306</v>
      </c>
      <c r="J66" s="1860"/>
      <c r="K66" s="428"/>
      <c r="L66" s="428"/>
      <c r="M66" s="1861"/>
      <c r="N66" s="3013"/>
      <c r="O66" s="3013"/>
      <c r="P66" s="2058"/>
      <c r="Q66" s="1822"/>
    </row>
    <row r="67" spans="1:17" ht="15.75" thickBot="1">
      <c r="A67" s="1854"/>
      <c r="B67" s="1862"/>
      <c r="C67" s="1863" t="s">
        <v>36</v>
      </c>
      <c r="D67" s="1863" t="s">
        <v>37</v>
      </c>
      <c r="E67" s="1863">
        <v>100</v>
      </c>
      <c r="F67" s="1863">
        <f>E67-$K10</f>
        <v>100</v>
      </c>
      <c r="G67" s="1863">
        <f>F67-$K10</f>
        <v>100</v>
      </c>
      <c r="H67" s="1863">
        <f>G67-$K10</f>
        <v>100</v>
      </c>
      <c r="I67" s="1863">
        <f>H67-$K10</f>
        <v>100</v>
      </c>
      <c r="J67" s="1863"/>
      <c r="K67" s="1863"/>
      <c r="L67" s="1863"/>
      <c r="M67" s="1864"/>
      <c r="N67" s="3014"/>
      <c r="O67" s="3014"/>
      <c r="P67" s="2058"/>
      <c r="Q67" s="1822"/>
    </row>
    <row r="68" spans="1:17" ht="15.75" thickTop="1">
      <c r="A68" s="1854"/>
      <c r="B68" s="1865" t="s">
        <v>2268</v>
      </c>
      <c r="C68" s="1866" t="str">
        <f>C69&amp;"（含）"&amp;"-"&amp;D69</f>
        <v>（含）-</v>
      </c>
      <c r="D68" s="1866" t="str">
        <f t="shared" ref="D68:L68" si="17">D69&amp;"（含）"&amp;"-"&amp;E69</f>
        <v>（含）-</v>
      </c>
      <c r="E68" s="1866" t="str">
        <f t="shared" si="17"/>
        <v>（含）-</v>
      </c>
      <c r="F68" s="1866" t="str">
        <f t="shared" si="17"/>
        <v>（含）-</v>
      </c>
      <c r="G68" s="1866" t="str">
        <f t="shared" si="17"/>
        <v>（含）-</v>
      </c>
      <c r="H68" s="1866" t="str">
        <f t="shared" si="17"/>
        <v>（含）-</v>
      </c>
      <c r="I68" s="1866" t="str">
        <f t="shared" si="17"/>
        <v>（含）-</v>
      </c>
      <c r="J68" s="1866" t="str">
        <f t="shared" si="17"/>
        <v>（含）-</v>
      </c>
      <c r="K68" s="1866" t="str">
        <f t="shared" si="17"/>
        <v>（含）-</v>
      </c>
      <c r="L68" s="1866" t="str">
        <f t="shared" si="17"/>
        <v>（含）-</v>
      </c>
      <c r="M68" s="1732" t="str">
        <f>M69&amp;"（含）"&amp;"-"&amp;P69</f>
        <v>（含）-</v>
      </c>
      <c r="N68" s="3014"/>
      <c r="O68" s="3014"/>
      <c r="P68" s="2058"/>
      <c r="Q68" s="1822"/>
    </row>
    <row r="69" spans="1:17" ht="15">
      <c r="A69" s="1854"/>
      <c r="B69" s="1867"/>
      <c r="C69" s="1868"/>
      <c r="D69" s="1868"/>
      <c r="E69" s="1868"/>
      <c r="F69" s="1868"/>
      <c r="G69" s="1868"/>
      <c r="H69" s="1868"/>
      <c r="I69" s="1868"/>
      <c r="J69" s="1868"/>
      <c r="K69" s="438"/>
      <c r="L69" s="438"/>
      <c r="M69" s="1869"/>
      <c r="N69" s="3013"/>
      <c r="O69" s="3013"/>
      <c r="P69" s="2058"/>
      <c r="Q69" s="1822"/>
    </row>
    <row r="70" spans="1:17" ht="15.75" thickBot="1">
      <c r="A70" s="1854"/>
      <c r="B70" s="1855"/>
      <c r="C70" s="1863">
        <v>100</v>
      </c>
      <c r="D70" s="1863">
        <f t="shared" ref="D70:M70" si="18">C70-$K11</f>
        <v>100</v>
      </c>
      <c r="E70" s="1863">
        <f t="shared" si="18"/>
        <v>100</v>
      </c>
      <c r="F70" s="1863">
        <f t="shared" si="18"/>
        <v>100</v>
      </c>
      <c r="G70" s="1863">
        <f t="shared" si="18"/>
        <v>100</v>
      </c>
      <c r="H70" s="1863">
        <f t="shared" si="18"/>
        <v>100</v>
      </c>
      <c r="I70" s="1863">
        <f t="shared" si="18"/>
        <v>100</v>
      </c>
      <c r="J70" s="1863">
        <f t="shared" si="18"/>
        <v>100</v>
      </c>
      <c r="K70" s="1863">
        <f t="shared" si="18"/>
        <v>100</v>
      </c>
      <c r="L70" s="1863">
        <f t="shared" si="18"/>
        <v>100</v>
      </c>
      <c r="M70" s="1864">
        <f t="shared" si="18"/>
        <v>100</v>
      </c>
      <c r="N70" s="3014"/>
      <c r="O70" s="3014"/>
      <c r="P70" s="2058"/>
      <c r="Q70" s="1822"/>
    </row>
    <row r="71" spans="1:17" s="1772" customFormat="1" ht="15.75" thickTop="1">
      <c r="A71" s="1870"/>
      <c r="B71" s="1859">
        <f>B12</f>
        <v>111</v>
      </c>
      <c r="C71" s="468"/>
      <c r="D71" s="468"/>
      <c r="E71" s="468"/>
      <c r="F71" s="468"/>
      <c r="G71" s="468"/>
      <c r="H71" s="443"/>
      <c r="I71" s="443"/>
      <c r="J71" s="443"/>
      <c r="K71" s="443"/>
      <c r="L71" s="443"/>
      <c r="M71" s="1871"/>
      <c r="N71" s="3015"/>
      <c r="O71" s="3015"/>
      <c r="P71" s="2059"/>
      <c r="Q71" s="1874"/>
    </row>
    <row r="72" spans="1:17" s="1772" customFormat="1" ht="15.75" thickBot="1">
      <c r="A72" s="1870"/>
      <c r="B72" s="1862"/>
      <c r="C72" s="1875"/>
      <c r="D72" s="1856"/>
      <c r="E72" s="1856"/>
      <c r="F72" s="1856"/>
      <c r="G72" s="1856"/>
      <c r="H72" s="1856"/>
      <c r="I72" s="1856"/>
      <c r="J72" s="1856"/>
      <c r="K72" s="1856"/>
      <c r="L72" s="1856"/>
      <c r="M72" s="1857"/>
      <c r="N72" s="3014"/>
      <c r="O72" s="3014"/>
      <c r="P72" s="2059"/>
      <c r="Q72" s="1874"/>
    </row>
    <row r="73" spans="1:17" s="1772" customFormat="1" ht="15.75" thickTop="1">
      <c r="A73" s="1870"/>
      <c r="B73" s="1859">
        <f>B13</f>
        <v>111</v>
      </c>
      <c r="C73" s="468"/>
      <c r="D73" s="468"/>
      <c r="E73" s="468"/>
      <c r="F73" s="468"/>
      <c r="G73" s="468"/>
      <c r="H73" s="443"/>
      <c r="I73" s="443"/>
      <c r="J73" s="443"/>
      <c r="K73" s="443"/>
      <c r="L73" s="443"/>
      <c r="M73" s="1871"/>
      <c r="N73" s="3015"/>
      <c r="O73" s="3015"/>
      <c r="P73" s="2060"/>
      <c r="Q73" s="1877"/>
    </row>
    <row r="74" spans="1:17" s="1772" customFormat="1" ht="15.75" thickBot="1">
      <c r="A74" s="1870"/>
      <c r="B74" s="1862"/>
      <c r="C74" s="1875"/>
      <c r="D74" s="1875"/>
      <c r="E74" s="1875"/>
      <c r="F74" s="1875"/>
      <c r="G74" s="1875"/>
      <c r="H74" s="1878"/>
      <c r="I74" s="1878"/>
      <c r="J74" s="1878"/>
      <c r="K74" s="1878"/>
      <c r="L74" s="1878"/>
      <c r="M74" s="1879"/>
      <c r="N74" s="3015"/>
      <c r="O74" s="3015"/>
      <c r="P74" s="2059"/>
      <c r="Q74" s="1874"/>
    </row>
    <row r="75" spans="1:17" s="1772" customFormat="1" ht="15.75" thickTop="1">
      <c r="A75" s="1870"/>
      <c r="B75" s="1865">
        <f>B14</f>
        <v>111</v>
      </c>
      <c r="C75" s="409"/>
      <c r="D75" s="409"/>
      <c r="E75" s="409"/>
      <c r="F75" s="409"/>
      <c r="G75" s="409"/>
      <c r="H75" s="453"/>
      <c r="I75" s="453"/>
      <c r="J75" s="453"/>
      <c r="K75" s="453"/>
      <c r="L75" s="453"/>
      <c r="M75" s="1880"/>
      <c r="N75" s="3015"/>
      <c r="O75" s="3015"/>
      <c r="P75" s="2059"/>
      <c r="Q75" s="1874"/>
    </row>
    <row r="76" spans="1:17" s="1772" customFormat="1" ht="15.75" thickBot="1">
      <c r="A76" s="1881"/>
      <c r="B76" s="1882"/>
      <c r="C76" s="1883"/>
      <c r="D76" s="1883"/>
      <c r="E76" s="1883"/>
      <c r="F76" s="1883"/>
      <c r="G76" s="1883"/>
      <c r="H76" s="1884"/>
      <c r="I76" s="1884"/>
      <c r="J76" s="1884"/>
      <c r="K76" s="1884"/>
      <c r="L76" s="1884"/>
      <c r="M76" s="1885"/>
      <c r="N76" s="3015"/>
      <c r="O76" s="3015"/>
      <c r="P76" s="2059"/>
      <c r="Q76" s="1874"/>
    </row>
    <row r="77" spans="1:17">
      <c r="A77" s="1847" t="s">
        <v>2269</v>
      </c>
      <c r="B77" s="1848" t="s">
        <v>2395</v>
      </c>
      <c r="C77" s="1886" t="s">
        <v>2308</v>
      </c>
      <c r="D77" s="1886" t="s">
        <v>2309</v>
      </c>
      <c r="E77" s="1886" t="s">
        <v>2310</v>
      </c>
      <c r="F77" s="1886" t="s">
        <v>2311</v>
      </c>
      <c r="G77" s="1886" t="s">
        <v>2312</v>
      </c>
      <c r="H77" s="1849"/>
      <c r="I77" s="1849"/>
      <c r="J77" s="1849"/>
      <c r="K77" s="463"/>
      <c r="L77" s="463"/>
      <c r="M77" s="1887"/>
      <c r="N77" s="3013"/>
      <c r="O77" s="3013"/>
      <c r="P77" s="2058"/>
      <c r="Q77" s="1822"/>
    </row>
    <row r="78" spans="1:17" ht="15.75" thickBot="1">
      <c r="A78" s="1854"/>
      <c r="B78" s="1862"/>
      <c r="C78" s="1863">
        <v>100</v>
      </c>
      <c r="D78" s="1863">
        <f>C78-$K15</f>
        <v>100</v>
      </c>
      <c r="E78" s="1863">
        <f>D78-$K15</f>
        <v>100</v>
      </c>
      <c r="F78" s="1863">
        <f>E78-$K15</f>
        <v>100</v>
      </c>
      <c r="G78" s="1863">
        <f>F78-$K15</f>
        <v>100</v>
      </c>
      <c r="H78" s="1863"/>
      <c r="I78" s="1863"/>
      <c r="J78" s="1863"/>
      <c r="K78" s="1863"/>
      <c r="L78" s="1863"/>
      <c r="M78" s="1864"/>
      <c r="N78" s="3014"/>
      <c r="O78" s="3014"/>
      <c r="P78" s="2058"/>
      <c r="Q78" s="1822"/>
    </row>
    <row r="79" spans="1:17" ht="15.75" thickTop="1">
      <c r="A79" s="1854"/>
      <c r="B79" s="1859" t="s">
        <v>2313</v>
      </c>
      <c r="C79" s="579" t="s">
        <v>2308</v>
      </c>
      <c r="D79" s="579" t="s">
        <v>2309</v>
      </c>
      <c r="E79" s="579" t="s">
        <v>2310</v>
      </c>
      <c r="F79" s="579" t="s">
        <v>2311</v>
      </c>
      <c r="G79" s="579" t="s">
        <v>2312</v>
      </c>
      <c r="H79" s="1860"/>
      <c r="I79" s="1860"/>
      <c r="J79" s="1860"/>
      <c r="K79" s="428"/>
      <c r="L79" s="428"/>
      <c r="M79" s="1861"/>
      <c r="N79" s="3013"/>
      <c r="O79" s="3013"/>
      <c r="P79" s="2058"/>
      <c r="Q79" s="1822"/>
    </row>
    <row r="80" spans="1:17" ht="15.75" thickBot="1">
      <c r="A80" s="1854"/>
      <c r="B80" s="1862"/>
      <c r="C80" s="1863">
        <v>100</v>
      </c>
      <c r="D80" s="1863">
        <f>C80-$K17</f>
        <v>100</v>
      </c>
      <c r="E80" s="1863">
        <f>D80-$K17</f>
        <v>100</v>
      </c>
      <c r="F80" s="1863">
        <f>E80-$K17</f>
        <v>100</v>
      </c>
      <c r="G80" s="1863">
        <f>F80-$K17</f>
        <v>100</v>
      </c>
      <c r="H80" s="1863"/>
      <c r="I80" s="1863"/>
      <c r="J80" s="1863"/>
      <c r="K80" s="1863"/>
      <c r="L80" s="1863"/>
      <c r="M80" s="1864"/>
      <c r="N80" s="3014"/>
      <c r="O80" s="3014"/>
      <c r="P80" s="2058"/>
      <c r="Q80" s="1822"/>
    </row>
    <row r="81" spans="1:17" ht="15.75" thickTop="1">
      <c r="A81" s="1854"/>
      <c r="B81" s="1859" t="s">
        <v>2314</v>
      </c>
      <c r="C81" s="579" t="s">
        <v>2308</v>
      </c>
      <c r="D81" s="579" t="s">
        <v>2309</v>
      </c>
      <c r="E81" s="579" t="s">
        <v>2310</v>
      </c>
      <c r="F81" s="579" t="s">
        <v>2311</v>
      </c>
      <c r="G81" s="579" t="s">
        <v>2312</v>
      </c>
      <c r="H81" s="1860"/>
      <c r="I81" s="1860"/>
      <c r="J81" s="1860"/>
      <c r="K81" s="428"/>
      <c r="L81" s="428"/>
      <c r="M81" s="1861"/>
      <c r="N81" s="3013"/>
      <c r="O81" s="3013"/>
      <c r="P81" s="2058"/>
      <c r="Q81" s="1822"/>
    </row>
    <row r="82" spans="1:17" ht="15.75" thickBot="1">
      <c r="A82" s="1854"/>
      <c r="B82" s="1862"/>
      <c r="C82" s="1863">
        <v>100</v>
      </c>
      <c r="D82" s="1863">
        <f>C82-$K19</f>
        <v>100</v>
      </c>
      <c r="E82" s="1863">
        <f>D82-$K19</f>
        <v>100</v>
      </c>
      <c r="F82" s="1863">
        <f>E82-$K19</f>
        <v>100</v>
      </c>
      <c r="G82" s="1863">
        <f>F82-$K19</f>
        <v>100</v>
      </c>
      <c r="H82" s="1863"/>
      <c r="I82" s="1863"/>
      <c r="J82" s="1863"/>
      <c r="K82" s="1863"/>
      <c r="L82" s="1863"/>
      <c r="M82" s="1864"/>
      <c r="N82" s="3014"/>
      <c r="O82" s="3014"/>
      <c r="P82" s="2058"/>
      <c r="Q82" s="1822"/>
    </row>
    <row r="83" spans="1:17" ht="15.75" thickTop="1">
      <c r="A83" s="1854"/>
      <c r="B83" s="1865" t="s">
        <v>2357</v>
      </c>
      <c r="C83" s="1860" t="s">
        <v>2315</v>
      </c>
      <c r="D83" s="1860" t="s">
        <v>2316</v>
      </c>
      <c r="E83" s="1860" t="s">
        <v>2317</v>
      </c>
      <c r="F83" s="1860" t="s">
        <v>2318</v>
      </c>
      <c r="G83" s="1860" t="s">
        <v>2319</v>
      </c>
      <c r="H83" s="1860"/>
      <c r="I83" s="1860"/>
      <c r="J83" s="1860"/>
      <c r="K83" s="1860"/>
      <c r="L83" s="1860"/>
      <c r="M83" s="1888"/>
      <c r="N83" s="3014"/>
      <c r="O83" s="3014"/>
      <c r="P83" s="2058"/>
      <c r="Q83" s="1822"/>
    </row>
    <row r="84" spans="1:17" ht="15.75" thickBot="1">
      <c r="A84" s="1854"/>
      <c r="B84" s="1865"/>
      <c r="C84" s="1863">
        <v>100</v>
      </c>
      <c r="D84" s="1863">
        <f>C84-$K21</f>
        <v>100</v>
      </c>
      <c r="E84" s="1863">
        <f>D84-$K21</f>
        <v>100</v>
      </c>
      <c r="F84" s="1863">
        <f>E84-$K21</f>
        <v>100</v>
      </c>
      <c r="G84" s="1863">
        <f>F84-$K21</f>
        <v>100</v>
      </c>
      <c r="H84" s="1889"/>
      <c r="I84" s="1889"/>
      <c r="J84" s="1889"/>
      <c r="K84" s="1889"/>
      <c r="L84" s="1889"/>
      <c r="M84" s="1736"/>
      <c r="N84" s="3014"/>
      <c r="O84" s="3014"/>
      <c r="P84" s="2058"/>
      <c r="Q84" s="1822"/>
    </row>
    <row r="85" spans="1:17" ht="15.75" thickTop="1">
      <c r="A85" s="1854"/>
      <c r="B85" s="1859" t="s">
        <v>2396</v>
      </c>
      <c r="C85" s="579" t="s">
        <v>2308</v>
      </c>
      <c r="D85" s="579" t="s">
        <v>2309</v>
      </c>
      <c r="E85" s="579" t="s">
        <v>2310</v>
      </c>
      <c r="F85" s="579" t="s">
        <v>2311</v>
      </c>
      <c r="G85" s="579" t="s">
        <v>2312</v>
      </c>
      <c r="H85" s="1860"/>
      <c r="I85" s="1860"/>
      <c r="J85" s="1860"/>
      <c r="K85" s="428"/>
      <c r="L85" s="428"/>
      <c r="M85" s="1861"/>
      <c r="N85" s="3013"/>
      <c r="O85" s="3013"/>
      <c r="P85" s="2058"/>
      <c r="Q85" s="1822"/>
    </row>
    <row r="86" spans="1:17" ht="15.75" thickBot="1">
      <c r="A86" s="1854"/>
      <c r="B86" s="1862"/>
      <c r="C86" s="1863">
        <v>100</v>
      </c>
      <c r="D86" s="1863">
        <f>C86-$K23</f>
        <v>100</v>
      </c>
      <c r="E86" s="1863">
        <f>D86-$K23</f>
        <v>100</v>
      </c>
      <c r="F86" s="1863">
        <f>E86-$K23</f>
        <v>100</v>
      </c>
      <c r="G86" s="1863">
        <f>F86-$K23</f>
        <v>100</v>
      </c>
      <c r="H86" s="1863"/>
      <c r="I86" s="1863"/>
      <c r="J86" s="1863"/>
      <c r="K86" s="1863"/>
      <c r="L86" s="1863"/>
      <c r="M86" s="1864"/>
      <c r="N86" s="3014"/>
      <c r="O86" s="3014"/>
      <c r="P86" s="2058"/>
      <c r="Q86" s="1822"/>
    </row>
    <row r="87" spans="1:17" s="1685" customFormat="1" ht="27.75" thickTop="1">
      <c r="A87" s="1890"/>
      <c r="B87" s="1859" t="s">
        <v>2397</v>
      </c>
      <c r="C87" s="468"/>
      <c r="D87" s="468"/>
      <c r="E87" s="468"/>
      <c r="F87" s="468"/>
      <c r="G87" s="468"/>
      <c r="H87" s="468"/>
      <c r="I87" s="468"/>
      <c r="J87" s="468"/>
      <c r="K87" s="468"/>
      <c r="L87" s="468"/>
      <c r="M87" s="1891"/>
      <c r="N87" s="3012"/>
      <c r="O87" s="3012"/>
      <c r="P87" s="2058"/>
      <c r="Q87" s="1822"/>
    </row>
    <row r="88" spans="1:17" s="1685" customFormat="1" ht="15.75" thickBot="1">
      <c r="A88" s="1890"/>
      <c r="B88" s="1862"/>
      <c r="C88" s="1892">
        <v>100</v>
      </c>
      <c r="D88" s="1863">
        <f t="shared" ref="D88:M88" si="19">C88-$K25</f>
        <v>100</v>
      </c>
      <c r="E88" s="1863">
        <f t="shared" si="19"/>
        <v>100</v>
      </c>
      <c r="F88" s="1863">
        <f t="shared" si="19"/>
        <v>100</v>
      </c>
      <c r="G88" s="1863">
        <f t="shared" si="19"/>
        <v>100</v>
      </c>
      <c r="H88" s="1863">
        <f t="shared" si="19"/>
        <v>100</v>
      </c>
      <c r="I88" s="1863">
        <f t="shared" si="19"/>
        <v>100</v>
      </c>
      <c r="J88" s="1863">
        <f t="shared" si="19"/>
        <v>100</v>
      </c>
      <c r="K88" s="1863">
        <f t="shared" si="19"/>
        <v>100</v>
      </c>
      <c r="L88" s="1863">
        <f t="shared" si="19"/>
        <v>100</v>
      </c>
      <c r="M88" s="1863">
        <f t="shared" si="19"/>
        <v>100</v>
      </c>
      <c r="N88" s="3014"/>
      <c r="O88" s="3014"/>
      <c r="P88" s="2058"/>
      <c r="Q88" s="1822"/>
    </row>
    <row r="89" spans="1:17" s="1685" customFormat="1" ht="15.75" thickTop="1">
      <c r="A89" s="1890"/>
      <c r="B89" s="1859" t="str">
        <f>B27</f>
        <v>楼层</v>
      </c>
      <c r="C89" s="468"/>
      <c r="D89" s="468"/>
      <c r="E89" s="468"/>
      <c r="F89" s="1893"/>
      <c r="G89" s="468"/>
      <c r="H89" s="468"/>
      <c r="I89" s="468"/>
      <c r="J89" s="468"/>
      <c r="K89" s="468"/>
      <c r="L89" s="468"/>
      <c r="M89" s="1891"/>
      <c r="N89" s="3012"/>
      <c r="O89" s="3012"/>
      <c r="P89" s="2058"/>
      <c r="Q89" s="1822"/>
    </row>
    <row r="90" spans="1:17" s="1685" customFormat="1" ht="15.75" thickBot="1">
      <c r="A90" s="1890"/>
      <c r="B90" s="1862"/>
      <c r="C90" s="1892">
        <v>100</v>
      </c>
      <c r="D90" s="1863">
        <f>C90-$K27</f>
        <v>100</v>
      </c>
      <c r="E90" s="1863">
        <f t="shared" ref="E90:M90" si="20">D90-$K27</f>
        <v>100</v>
      </c>
      <c r="F90" s="1863">
        <f t="shared" si="20"/>
        <v>100</v>
      </c>
      <c r="G90" s="1863">
        <f t="shared" si="20"/>
        <v>100</v>
      </c>
      <c r="H90" s="1863">
        <f t="shared" si="20"/>
        <v>100</v>
      </c>
      <c r="I90" s="1863">
        <f t="shared" si="20"/>
        <v>100</v>
      </c>
      <c r="J90" s="1863">
        <f t="shared" si="20"/>
        <v>100</v>
      </c>
      <c r="K90" s="1863">
        <f t="shared" si="20"/>
        <v>100</v>
      </c>
      <c r="L90" s="1863">
        <f t="shared" si="20"/>
        <v>100</v>
      </c>
      <c r="M90" s="1863">
        <f t="shared" si="20"/>
        <v>100</v>
      </c>
      <c r="N90" s="3014"/>
      <c r="O90" s="3014"/>
      <c r="P90" s="2058"/>
      <c r="Q90" s="1822"/>
    </row>
    <row r="91" spans="1:17" s="1772" customFormat="1" ht="15.75" thickTop="1">
      <c r="A91" s="1870"/>
      <c r="B91" s="1859" t="str">
        <f>B28</f>
        <v>朝向</v>
      </c>
      <c r="C91" s="468"/>
      <c r="D91" s="468"/>
      <c r="E91" s="468"/>
      <c r="F91" s="468"/>
      <c r="G91" s="468"/>
      <c r="H91" s="443"/>
      <c r="I91" s="443"/>
      <c r="J91" s="443"/>
      <c r="K91" s="443"/>
      <c r="L91" s="443"/>
      <c r="M91" s="1871"/>
      <c r="N91" s="3015"/>
      <c r="O91" s="3015"/>
      <c r="P91" s="2059"/>
      <c r="Q91" s="1874"/>
    </row>
    <row r="92" spans="1:17" s="1772" customFormat="1" ht="15.75" thickBot="1">
      <c r="A92" s="1870"/>
      <c r="B92" s="1862"/>
      <c r="C92" s="1892">
        <v>100</v>
      </c>
      <c r="D92" s="1863">
        <f t="shared" ref="D92:M92" si="21">C92-$K28</f>
        <v>100</v>
      </c>
      <c r="E92" s="1863">
        <f t="shared" si="21"/>
        <v>100</v>
      </c>
      <c r="F92" s="1863">
        <f t="shared" si="21"/>
        <v>100</v>
      </c>
      <c r="G92" s="1863">
        <f t="shared" si="21"/>
        <v>100</v>
      </c>
      <c r="H92" s="1863">
        <f t="shared" si="21"/>
        <v>100</v>
      </c>
      <c r="I92" s="1863">
        <f t="shared" si="21"/>
        <v>100</v>
      </c>
      <c r="J92" s="1863">
        <f t="shared" si="21"/>
        <v>100</v>
      </c>
      <c r="K92" s="1863">
        <f t="shared" si="21"/>
        <v>100</v>
      </c>
      <c r="L92" s="1863">
        <f t="shared" si="21"/>
        <v>100</v>
      </c>
      <c r="M92" s="1863">
        <f t="shared" si="21"/>
        <v>100</v>
      </c>
      <c r="N92" s="3015"/>
      <c r="O92" s="3015"/>
      <c r="P92" s="2059"/>
      <c r="Q92" s="1874"/>
    </row>
    <row r="93" spans="1:17" ht="15.75" thickTop="1">
      <c r="A93" s="1854"/>
      <c r="B93" s="1859">
        <f>B29</f>
        <v>111</v>
      </c>
      <c r="C93" s="468"/>
      <c r="D93" s="468"/>
      <c r="E93" s="468"/>
      <c r="F93" s="468"/>
      <c r="G93" s="468"/>
      <c r="H93" s="468"/>
      <c r="I93" s="468"/>
      <c r="J93" s="468"/>
      <c r="K93" s="468"/>
      <c r="L93" s="468"/>
      <c r="M93" s="1891"/>
      <c r="N93" s="3013"/>
      <c r="O93" s="3013"/>
      <c r="P93" s="2058"/>
      <c r="Q93" s="1822"/>
    </row>
    <row r="94" spans="1:17" ht="15.75" thickBot="1">
      <c r="A94" s="1854"/>
      <c r="B94" s="1862"/>
      <c r="C94" s="1875"/>
      <c r="D94" s="1856"/>
      <c r="E94" s="1856"/>
      <c r="F94" s="1856"/>
      <c r="G94" s="1856"/>
      <c r="H94" s="1856"/>
      <c r="I94" s="1856"/>
      <c r="J94" s="1856"/>
      <c r="K94" s="1856"/>
      <c r="L94" s="1856"/>
      <c r="M94" s="1857"/>
      <c r="N94" s="3014"/>
      <c r="O94" s="3014"/>
      <c r="P94" s="2058"/>
      <c r="Q94" s="1822"/>
    </row>
    <row r="95" spans="1:17" ht="15.75" thickTop="1">
      <c r="A95" s="1854"/>
      <c r="B95" s="1859">
        <f>B30</f>
        <v>111</v>
      </c>
      <c r="C95" s="468"/>
      <c r="D95" s="468"/>
      <c r="E95" s="468"/>
      <c r="F95" s="468"/>
      <c r="G95" s="1578"/>
      <c r="H95" s="1578"/>
      <c r="I95" s="1578"/>
      <c r="J95" s="1578"/>
      <c r="K95" s="473"/>
      <c r="L95" s="473"/>
      <c r="M95" s="1894"/>
      <c r="N95" s="3013"/>
      <c r="O95" s="3013"/>
      <c r="P95" s="2058"/>
      <c r="Q95" s="1822"/>
    </row>
    <row r="96" spans="1:17" ht="15.75" thickBot="1">
      <c r="A96" s="1854"/>
      <c r="B96" s="1862"/>
      <c r="C96" s="1875"/>
      <c r="D96" s="1875"/>
      <c r="E96" s="1875"/>
      <c r="F96" s="1875"/>
      <c r="G96" s="1856"/>
      <c r="H96" s="1856"/>
      <c r="I96" s="1856"/>
      <c r="J96" s="1856"/>
      <c r="K96" s="1856"/>
      <c r="L96" s="1856"/>
      <c r="M96" s="1857"/>
      <c r="N96" s="3014"/>
      <c r="O96" s="3014"/>
      <c r="P96" s="2058"/>
      <c r="Q96" s="1822"/>
    </row>
    <row r="97" spans="1:17" ht="15.75" thickTop="1">
      <c r="A97" s="1854"/>
      <c r="B97" s="1859">
        <f>B31</f>
        <v>111</v>
      </c>
      <c r="C97" s="468"/>
      <c r="D97" s="468"/>
      <c r="E97" s="468"/>
      <c r="F97" s="468"/>
      <c r="G97" s="1578"/>
      <c r="H97" s="1578"/>
      <c r="I97" s="1578"/>
      <c r="J97" s="1578"/>
      <c r="K97" s="473"/>
      <c r="L97" s="473"/>
      <c r="M97" s="1894"/>
      <c r="N97" s="3013"/>
      <c r="O97" s="3013"/>
      <c r="P97" s="2058"/>
      <c r="Q97" s="1822"/>
    </row>
    <row r="98" spans="1:17" ht="15.75" thickBot="1">
      <c r="A98" s="1854"/>
      <c r="B98" s="1862"/>
      <c r="C98" s="1875"/>
      <c r="D98" s="1856"/>
      <c r="E98" s="1856"/>
      <c r="F98" s="1856"/>
      <c r="G98" s="1856"/>
      <c r="H98" s="1856"/>
      <c r="I98" s="1856"/>
      <c r="J98" s="1856"/>
      <c r="K98" s="1856"/>
      <c r="L98" s="1856"/>
      <c r="M98" s="1857"/>
      <c r="N98" s="3014"/>
      <c r="O98" s="3014"/>
      <c r="P98" s="2058"/>
      <c r="Q98" s="1822"/>
    </row>
    <row r="99" spans="1:17" ht="15.75" thickTop="1">
      <c r="A99" s="1854"/>
      <c r="B99" s="1865">
        <f>B32</f>
        <v>111</v>
      </c>
      <c r="C99" s="409"/>
      <c r="D99" s="409"/>
      <c r="E99" s="409"/>
      <c r="F99" s="409"/>
      <c r="G99" s="1895"/>
      <c r="H99" s="1895"/>
      <c r="I99" s="1895"/>
      <c r="J99" s="1895"/>
      <c r="K99" s="477"/>
      <c r="L99" s="477"/>
      <c r="M99" s="1896"/>
      <c r="N99" s="3013"/>
      <c r="O99" s="3013"/>
      <c r="P99" s="2058"/>
      <c r="Q99" s="1822"/>
    </row>
    <row r="100" spans="1:17" ht="15.75" thickBot="1">
      <c r="A100" s="1897"/>
      <c r="B100" s="1882"/>
      <c r="C100" s="1883"/>
      <c r="D100" s="1883"/>
      <c r="E100" s="1883"/>
      <c r="F100" s="1883"/>
      <c r="G100" s="1898"/>
      <c r="H100" s="1898"/>
      <c r="I100" s="1898"/>
      <c r="J100" s="1898"/>
      <c r="K100" s="1898"/>
      <c r="L100" s="1898"/>
      <c r="M100" s="1899"/>
      <c r="N100" s="3014"/>
      <c r="O100" s="3014"/>
      <c r="P100" s="2058"/>
      <c r="Q100" s="1822"/>
    </row>
    <row r="101" spans="1:17">
      <c r="A101" s="1847" t="s">
        <v>2274</v>
      </c>
      <c r="B101" s="1848" t="s">
        <v>2323</v>
      </c>
      <c r="C101" s="1850"/>
      <c r="D101" s="1850"/>
      <c r="E101" s="1850"/>
      <c r="F101" s="1850"/>
      <c r="G101" s="1850"/>
      <c r="H101" s="1850"/>
      <c r="I101" s="1850"/>
      <c r="J101" s="1850"/>
      <c r="K101" s="417"/>
      <c r="L101" s="417"/>
      <c r="M101" s="1851"/>
      <c r="N101" s="3013"/>
      <c r="O101" s="3013"/>
      <c r="P101" s="2058"/>
      <c r="Q101" s="1822"/>
    </row>
    <row r="102" spans="1:17" ht="15.75" thickBot="1">
      <c r="A102" s="1854"/>
      <c r="B102" s="1862"/>
      <c r="C102" s="1863">
        <v>100</v>
      </c>
      <c r="D102" s="1863">
        <f t="shared" ref="D102:M102" si="22">C102-$K33</f>
        <v>100</v>
      </c>
      <c r="E102" s="1863">
        <f t="shared" si="22"/>
        <v>100</v>
      </c>
      <c r="F102" s="1863">
        <f t="shared" si="22"/>
        <v>100</v>
      </c>
      <c r="G102" s="1863">
        <f t="shared" si="22"/>
        <v>100</v>
      </c>
      <c r="H102" s="1863">
        <f t="shared" si="22"/>
        <v>100</v>
      </c>
      <c r="I102" s="1863">
        <f t="shared" si="22"/>
        <v>100</v>
      </c>
      <c r="J102" s="1863">
        <f t="shared" si="22"/>
        <v>100</v>
      </c>
      <c r="K102" s="1863">
        <f t="shared" si="22"/>
        <v>100</v>
      </c>
      <c r="L102" s="1863">
        <f t="shared" si="22"/>
        <v>100</v>
      </c>
      <c r="M102" s="1864">
        <f t="shared" si="22"/>
        <v>100</v>
      </c>
      <c r="N102" s="3014"/>
      <c r="O102" s="3014"/>
      <c r="P102" s="2058"/>
      <c r="Q102" s="1822"/>
    </row>
    <row r="103" spans="1:17" ht="15.75" thickTop="1">
      <c r="A103" s="1854"/>
      <c r="B103" s="1859" t="s">
        <v>2324</v>
      </c>
      <c r="C103" s="579" t="str">
        <f>C104&amp;"(含)"&amp;"-"&amp;D104</f>
        <v>(含)-</v>
      </c>
      <c r="D103" s="579" t="str">
        <f t="shared" ref="D103:L103" si="23">D104&amp;"(含)"&amp;"-"&amp;E104</f>
        <v>(含)-</v>
      </c>
      <c r="E103" s="579" t="str">
        <f t="shared" si="23"/>
        <v>(含)-</v>
      </c>
      <c r="F103" s="579" t="str">
        <f t="shared" si="23"/>
        <v>(含)-</v>
      </c>
      <c r="G103" s="579" t="str">
        <f t="shared" si="23"/>
        <v>(含)-</v>
      </c>
      <c r="H103" s="579" t="str">
        <f t="shared" si="23"/>
        <v>(含)-</v>
      </c>
      <c r="I103" s="579" t="str">
        <f t="shared" si="23"/>
        <v>(含)-</v>
      </c>
      <c r="J103" s="579" t="str">
        <f t="shared" si="23"/>
        <v>(含)-</v>
      </c>
      <c r="K103" s="579" t="str">
        <f t="shared" si="23"/>
        <v>(含)-</v>
      </c>
      <c r="L103" s="579" t="str">
        <f t="shared" si="23"/>
        <v>(含)-</v>
      </c>
      <c r="M103" s="2061" t="str">
        <f>M104&amp;"(含)"&amp;"-"&amp;P104</f>
        <v>(含)-</v>
      </c>
      <c r="N103" s="3012"/>
      <c r="O103" s="3012"/>
      <c r="P103" s="2058"/>
      <c r="Q103" s="1822"/>
    </row>
    <row r="104" spans="1:17" s="1772" customFormat="1">
      <c r="A104" s="1900"/>
      <c r="B104" s="1901"/>
      <c r="C104" s="1902"/>
      <c r="D104" s="1902"/>
      <c r="E104" s="1902"/>
      <c r="F104" s="1902"/>
      <c r="G104" s="1902"/>
      <c r="H104" s="1902"/>
      <c r="I104" s="1902"/>
      <c r="J104" s="485"/>
      <c r="K104" s="485"/>
      <c r="L104" s="485"/>
      <c r="M104" s="1903"/>
      <c r="N104" s="3015"/>
      <c r="O104" s="3015"/>
      <c r="P104" s="2059"/>
      <c r="Q104" s="1874"/>
    </row>
    <row r="105" spans="1:17" s="1772" customFormat="1" ht="15.75" thickBot="1">
      <c r="A105" s="1870"/>
      <c r="B105" s="1862"/>
      <c r="C105" s="1875"/>
      <c r="D105" s="1856"/>
      <c r="E105" s="1856"/>
      <c r="F105" s="1856"/>
      <c r="G105" s="1856"/>
      <c r="H105" s="1856"/>
      <c r="I105" s="1856"/>
      <c r="J105" s="1856"/>
      <c r="K105" s="1856"/>
      <c r="L105" s="1856"/>
      <c r="M105" s="1857"/>
      <c r="N105" s="3014"/>
      <c r="O105" s="3014"/>
      <c r="P105" s="2059"/>
      <c r="Q105" s="1874"/>
    </row>
    <row r="106" spans="1:17" ht="15" thickTop="1">
      <c r="A106" s="1904"/>
      <c r="B106" s="1859" t="s">
        <v>2325</v>
      </c>
      <c r="C106" s="468"/>
      <c r="D106" s="468"/>
      <c r="E106" s="1578"/>
      <c r="F106" s="1578"/>
      <c r="G106" s="1578"/>
      <c r="H106" s="1578"/>
      <c r="I106" s="1578"/>
      <c r="J106" s="1578"/>
      <c r="K106" s="473"/>
      <c r="L106" s="473"/>
      <c r="M106" s="1894"/>
      <c r="N106" s="3013"/>
      <c r="O106" s="3013"/>
      <c r="P106" s="2058"/>
      <c r="Q106" s="1822"/>
    </row>
    <row r="107" spans="1:17" ht="15.75" thickBot="1">
      <c r="A107" s="1854"/>
      <c r="B107" s="1862"/>
      <c r="C107" s="1863">
        <v>100</v>
      </c>
      <c r="D107" s="1863">
        <f t="shared" ref="D107:M107" si="24">C107-$K35</f>
        <v>100</v>
      </c>
      <c r="E107" s="1863">
        <f t="shared" si="24"/>
        <v>100</v>
      </c>
      <c r="F107" s="1863">
        <f t="shared" si="24"/>
        <v>100</v>
      </c>
      <c r="G107" s="1863">
        <f t="shared" si="24"/>
        <v>100</v>
      </c>
      <c r="H107" s="1863">
        <f t="shared" si="24"/>
        <v>100</v>
      </c>
      <c r="I107" s="1863">
        <f t="shared" si="24"/>
        <v>100</v>
      </c>
      <c r="J107" s="1863">
        <f t="shared" si="24"/>
        <v>100</v>
      </c>
      <c r="K107" s="1863">
        <f t="shared" si="24"/>
        <v>100</v>
      </c>
      <c r="L107" s="1863">
        <f t="shared" si="24"/>
        <v>100</v>
      </c>
      <c r="M107" s="1864">
        <f t="shared" si="24"/>
        <v>100</v>
      </c>
      <c r="N107" s="3014"/>
      <c r="O107" s="3014"/>
      <c r="P107" s="2058"/>
      <c r="Q107" s="1822"/>
    </row>
    <row r="108" spans="1:17" ht="15" thickTop="1">
      <c r="A108" s="1904"/>
      <c r="B108" s="1859" t="s">
        <v>2327</v>
      </c>
      <c r="C108" s="468"/>
      <c r="D108" s="468"/>
      <c r="E108" s="468"/>
      <c r="F108" s="1578"/>
      <c r="G108" s="1578"/>
      <c r="H108" s="1578"/>
      <c r="I108" s="1578"/>
      <c r="J108" s="1578"/>
      <c r="K108" s="473"/>
      <c r="L108" s="473"/>
      <c r="M108" s="1894"/>
      <c r="N108" s="3013"/>
      <c r="O108" s="3013"/>
      <c r="P108" s="2058"/>
      <c r="Q108" s="1822"/>
    </row>
    <row r="109" spans="1:17" ht="15.75" thickBot="1">
      <c r="A109" s="1854"/>
      <c r="B109" s="1862"/>
      <c r="C109" s="1863">
        <v>100</v>
      </c>
      <c r="D109" s="1863">
        <f t="shared" ref="D109:M109" si="25">C109-$K36</f>
        <v>100</v>
      </c>
      <c r="E109" s="1863">
        <f t="shared" si="25"/>
        <v>100</v>
      </c>
      <c r="F109" s="1863">
        <f t="shared" si="25"/>
        <v>100</v>
      </c>
      <c r="G109" s="1863">
        <f t="shared" si="25"/>
        <v>100</v>
      </c>
      <c r="H109" s="1863">
        <f t="shared" si="25"/>
        <v>100</v>
      </c>
      <c r="I109" s="1863">
        <f t="shared" si="25"/>
        <v>100</v>
      </c>
      <c r="J109" s="1863">
        <f t="shared" si="25"/>
        <v>100</v>
      </c>
      <c r="K109" s="1863">
        <f t="shared" si="25"/>
        <v>100</v>
      </c>
      <c r="L109" s="1863">
        <f t="shared" si="25"/>
        <v>100</v>
      </c>
      <c r="M109" s="1864">
        <f t="shared" si="25"/>
        <v>100</v>
      </c>
      <c r="N109" s="3014"/>
      <c r="O109" s="3014"/>
      <c r="P109" s="2058"/>
      <c r="Q109" s="1822"/>
    </row>
    <row r="110" spans="1:17" ht="15" thickTop="1">
      <c r="A110" s="1904"/>
      <c r="B110" s="1859" t="s">
        <v>2328</v>
      </c>
      <c r="C110" s="579" t="str">
        <f>C111&amp;"(含)"&amp;"-"&amp;D111</f>
        <v>0.5(含)-0.6</v>
      </c>
      <c r="D110" s="579" t="str">
        <f>D111&amp;"(含)"&amp;"-"&amp;E111</f>
        <v>0.6(含)-0.7</v>
      </c>
      <c r="E110" s="579" t="str">
        <f>E111&amp;"(含)"&amp;"-"&amp;F111</f>
        <v>0.7(含)-0.8</v>
      </c>
      <c r="F110" s="579" t="str">
        <f>F111&amp;"(含)"&amp;"-"&amp;G111</f>
        <v>0.8(含)-0.9</v>
      </c>
      <c r="G110" s="579" t="str">
        <f>G111&amp;"(含)"&amp;"-"&amp;H111</f>
        <v>0.9(含)-1</v>
      </c>
      <c r="H110" s="579"/>
      <c r="I110" s="1578"/>
      <c r="J110" s="1578"/>
      <c r="K110" s="473"/>
      <c r="L110" s="473"/>
      <c r="M110" s="1894"/>
      <c r="N110" s="3013"/>
      <c r="O110" s="3013"/>
      <c r="P110" s="2058"/>
      <c r="Q110" s="1822"/>
    </row>
    <row r="111" spans="1:17">
      <c r="A111" s="1904"/>
      <c r="B111" s="1865"/>
      <c r="C111" s="1906">
        <v>0.5</v>
      </c>
      <c r="D111" s="1906">
        <v>0.6</v>
      </c>
      <c r="E111" s="1906">
        <v>0.7</v>
      </c>
      <c r="F111" s="1906">
        <v>0.8</v>
      </c>
      <c r="G111" s="1906">
        <v>0.9</v>
      </c>
      <c r="H111" s="1906">
        <v>1</v>
      </c>
      <c r="I111" s="2484"/>
      <c r="J111" s="2484"/>
      <c r="K111" s="508"/>
      <c r="L111" s="508"/>
      <c r="M111" s="2485"/>
      <c r="N111" s="3013"/>
      <c r="O111" s="3013"/>
      <c r="P111" s="2058"/>
      <c r="Q111" s="1822"/>
    </row>
    <row r="112" spans="1:17" ht="15.75" thickBot="1">
      <c r="A112" s="1854"/>
      <c r="B112" s="1862"/>
      <c r="C112" s="1892">
        <v>100</v>
      </c>
      <c r="D112" s="1863">
        <f>C112+$K37</f>
        <v>100</v>
      </c>
      <c r="E112" s="1863">
        <f t="shared" ref="E112:M112" si="26">D112+$K37</f>
        <v>100</v>
      </c>
      <c r="F112" s="1863">
        <f t="shared" si="26"/>
        <v>100</v>
      </c>
      <c r="G112" s="1863">
        <f t="shared" si="26"/>
        <v>100</v>
      </c>
      <c r="H112" s="1863">
        <f t="shared" si="26"/>
        <v>100</v>
      </c>
      <c r="I112" s="1863">
        <f t="shared" si="26"/>
        <v>100</v>
      </c>
      <c r="J112" s="1863">
        <f t="shared" si="26"/>
        <v>100</v>
      </c>
      <c r="K112" s="1863">
        <f t="shared" si="26"/>
        <v>100</v>
      </c>
      <c r="L112" s="1863">
        <f t="shared" si="26"/>
        <v>100</v>
      </c>
      <c r="M112" s="1863">
        <f t="shared" si="26"/>
        <v>100</v>
      </c>
      <c r="N112" s="3014"/>
      <c r="O112" s="3014"/>
      <c r="P112" s="2058"/>
      <c r="Q112" s="1822"/>
    </row>
    <row r="113" spans="1:17" s="1772" customFormat="1" ht="15" thickTop="1">
      <c r="A113" s="1900"/>
      <c r="B113" s="1859" t="s">
        <v>2398</v>
      </c>
      <c r="C113" s="468"/>
      <c r="D113" s="468"/>
      <c r="E113" s="468"/>
      <c r="F113" s="468"/>
      <c r="G113" s="468"/>
      <c r="H113" s="1578"/>
      <c r="I113" s="1578"/>
      <c r="J113" s="1578"/>
      <c r="K113" s="473"/>
      <c r="L113" s="473"/>
      <c r="M113" s="1894"/>
      <c r="N113" s="3015"/>
      <c r="O113" s="3015"/>
      <c r="P113" s="2059"/>
      <c r="Q113" s="1874"/>
    </row>
    <row r="114" spans="1:17" s="1772" customFormat="1" ht="15.75" thickBot="1">
      <c r="A114" s="1870"/>
      <c r="B114" s="1862"/>
      <c r="C114" s="1863">
        <v>100</v>
      </c>
      <c r="D114" s="1863">
        <f>C114-$K38</f>
        <v>100</v>
      </c>
      <c r="E114" s="1863">
        <f t="shared" ref="E114:M114" si="27">D114-$K38</f>
        <v>100</v>
      </c>
      <c r="F114" s="1863">
        <f t="shared" si="27"/>
        <v>100</v>
      </c>
      <c r="G114" s="1863">
        <f t="shared" si="27"/>
        <v>100</v>
      </c>
      <c r="H114" s="1863">
        <f t="shared" si="27"/>
        <v>100</v>
      </c>
      <c r="I114" s="1863">
        <f t="shared" si="27"/>
        <v>100</v>
      </c>
      <c r="J114" s="1863">
        <f t="shared" si="27"/>
        <v>100</v>
      </c>
      <c r="K114" s="1863">
        <f t="shared" si="27"/>
        <v>100</v>
      </c>
      <c r="L114" s="1863">
        <f t="shared" si="27"/>
        <v>100</v>
      </c>
      <c r="M114" s="1863">
        <f t="shared" si="27"/>
        <v>100</v>
      </c>
      <c r="N114" s="3015"/>
      <c r="O114" s="3015"/>
      <c r="P114" s="2059"/>
      <c r="Q114" s="1874"/>
    </row>
    <row r="115" spans="1:17" ht="15" thickTop="1">
      <c r="A115" s="1904"/>
      <c r="B115" s="1859" t="s">
        <v>2329</v>
      </c>
      <c r="C115" s="468"/>
      <c r="D115" s="468"/>
      <c r="E115" s="1578"/>
      <c r="F115" s="1578"/>
      <c r="G115" s="1578"/>
      <c r="H115" s="1578"/>
      <c r="I115" s="1578"/>
      <c r="J115" s="1578"/>
      <c r="K115" s="473"/>
      <c r="L115" s="473"/>
      <c r="M115" s="1894"/>
      <c r="N115" s="3013"/>
      <c r="O115" s="3013"/>
      <c r="P115" s="2058"/>
      <c r="Q115" s="1822"/>
    </row>
    <row r="116" spans="1:17" ht="15.75" thickBot="1">
      <c r="A116" s="1854"/>
      <c r="B116" s="1862"/>
      <c r="C116" s="1863">
        <v>100</v>
      </c>
      <c r="D116" s="1863">
        <f t="shared" ref="D116:M116" si="28">C116-$K39</f>
        <v>100</v>
      </c>
      <c r="E116" s="1863">
        <f t="shared" si="28"/>
        <v>100</v>
      </c>
      <c r="F116" s="1863">
        <f t="shared" si="28"/>
        <v>100</v>
      </c>
      <c r="G116" s="1863">
        <f t="shared" si="28"/>
        <v>100</v>
      </c>
      <c r="H116" s="1863">
        <f t="shared" si="28"/>
        <v>100</v>
      </c>
      <c r="I116" s="1863">
        <f t="shared" si="28"/>
        <v>100</v>
      </c>
      <c r="J116" s="1863">
        <f t="shared" si="28"/>
        <v>100</v>
      </c>
      <c r="K116" s="1863">
        <f t="shared" si="28"/>
        <v>100</v>
      </c>
      <c r="L116" s="1863">
        <f t="shared" si="28"/>
        <v>100</v>
      </c>
      <c r="M116" s="1864">
        <f t="shared" si="28"/>
        <v>100</v>
      </c>
      <c r="N116" s="3014"/>
      <c r="O116" s="3014"/>
      <c r="P116" s="2058"/>
      <c r="Q116" s="1822"/>
    </row>
    <row r="117" spans="1:17" ht="15" thickTop="1">
      <c r="A117" s="1904"/>
      <c r="B117" s="1859" t="s">
        <v>2330</v>
      </c>
      <c r="C117" s="468"/>
      <c r="D117" s="468"/>
      <c r="E117" s="468"/>
      <c r="F117" s="468"/>
      <c r="G117" s="468"/>
      <c r="H117" s="1578"/>
      <c r="I117" s="1578"/>
      <c r="J117" s="1578"/>
      <c r="K117" s="473"/>
      <c r="L117" s="473"/>
      <c r="M117" s="1894"/>
      <c r="N117" s="3013"/>
      <c r="O117" s="3013"/>
      <c r="P117" s="2058"/>
      <c r="Q117" s="1822"/>
    </row>
    <row r="118" spans="1:17" ht="15.75" thickBot="1">
      <c r="A118" s="1854"/>
      <c r="B118" s="1862"/>
      <c r="C118" s="1863">
        <v>100</v>
      </c>
      <c r="D118" s="1863">
        <f>C118-$K40</f>
        <v>100</v>
      </c>
      <c r="E118" s="1863">
        <f>D118-$K40</f>
        <v>100</v>
      </c>
      <c r="F118" s="1863">
        <f>E118-$K40</f>
        <v>100</v>
      </c>
      <c r="G118" s="1863">
        <f>F118-$K40</f>
        <v>100</v>
      </c>
      <c r="H118" s="1863"/>
      <c r="I118" s="1863"/>
      <c r="J118" s="1863"/>
      <c r="K118" s="1863"/>
      <c r="L118" s="1863"/>
      <c r="M118" s="1864"/>
      <c r="N118" s="3014"/>
      <c r="O118" s="3014"/>
      <c r="P118" s="2058"/>
      <c r="Q118" s="1822"/>
    </row>
    <row r="119" spans="1:17" ht="15" thickTop="1">
      <c r="A119" s="1904"/>
      <c r="B119" s="2506" t="s">
        <v>2399</v>
      </c>
      <c r="C119" s="1578"/>
      <c r="D119" s="1578"/>
      <c r="E119" s="1578"/>
      <c r="F119" s="1578"/>
      <c r="G119" s="1578"/>
      <c r="H119" s="1578"/>
      <c r="I119" s="1578"/>
      <c r="J119" s="1578"/>
      <c r="K119" s="1578"/>
      <c r="L119" s="1578"/>
      <c r="M119" s="2507"/>
      <c r="N119" s="3014"/>
      <c r="O119" s="3014"/>
      <c r="P119" s="2508"/>
      <c r="Q119" s="2509"/>
    </row>
    <row r="120" spans="1:17" ht="15.75" thickBot="1">
      <c r="A120" s="1854"/>
      <c r="B120" s="1862"/>
      <c r="C120" s="1892">
        <v>100</v>
      </c>
      <c r="D120" s="1863">
        <f>C120-$K41</f>
        <v>100</v>
      </c>
      <c r="E120" s="1863">
        <f t="shared" ref="E120:M120" si="29">D120-$K41</f>
        <v>100</v>
      </c>
      <c r="F120" s="1863">
        <f t="shared" si="29"/>
        <v>100</v>
      </c>
      <c r="G120" s="1863">
        <f t="shared" si="29"/>
        <v>100</v>
      </c>
      <c r="H120" s="1863">
        <f t="shared" si="29"/>
        <v>100</v>
      </c>
      <c r="I120" s="1863">
        <f t="shared" si="29"/>
        <v>100</v>
      </c>
      <c r="J120" s="1863">
        <f t="shared" si="29"/>
        <v>100</v>
      </c>
      <c r="K120" s="1863">
        <f t="shared" si="29"/>
        <v>100</v>
      </c>
      <c r="L120" s="1863">
        <f t="shared" si="29"/>
        <v>100</v>
      </c>
      <c r="M120" s="1863">
        <f t="shared" si="29"/>
        <v>100</v>
      </c>
      <c r="N120" s="3014"/>
      <c r="O120" s="3014"/>
      <c r="P120" s="2058"/>
      <c r="Q120" s="1822"/>
    </row>
    <row r="121" spans="1:17" s="1772" customFormat="1" ht="15" thickTop="1">
      <c r="A121" s="1900"/>
      <c r="B121" s="1859" t="s">
        <v>2381</v>
      </c>
      <c r="C121" s="468"/>
      <c r="D121" s="468"/>
      <c r="E121" s="468"/>
      <c r="F121" s="1578"/>
      <c r="G121" s="443"/>
      <c r="H121" s="443"/>
      <c r="I121" s="443"/>
      <c r="J121" s="443"/>
      <c r="K121" s="443"/>
      <c r="L121" s="443"/>
      <c r="M121" s="1871"/>
      <c r="N121" s="3015"/>
      <c r="O121" s="3015"/>
      <c r="P121" s="2059"/>
      <c r="Q121" s="1874"/>
    </row>
    <row r="122" spans="1:17" s="1772" customFormat="1" ht="15.75" thickBot="1">
      <c r="A122" s="1870"/>
      <c r="B122" s="1855"/>
      <c r="C122" s="1875"/>
      <c r="D122" s="1875"/>
      <c r="E122" s="1875"/>
      <c r="F122" s="1875"/>
      <c r="G122" s="1875"/>
      <c r="H122" s="1875"/>
      <c r="I122" s="1875"/>
      <c r="J122" s="1875"/>
      <c r="K122" s="1875"/>
      <c r="L122" s="1875"/>
      <c r="M122" s="1875"/>
      <c r="N122" s="3015"/>
      <c r="O122" s="3015"/>
      <c r="P122" s="2059"/>
      <c r="Q122" s="1874"/>
    </row>
    <row r="123" spans="1:17" ht="15" thickTop="1">
      <c r="A123" s="1904"/>
      <c r="B123" s="1859" t="s">
        <v>2332</v>
      </c>
      <c r="C123" s="468"/>
      <c r="D123" s="468"/>
      <c r="E123" s="468"/>
      <c r="F123" s="1578"/>
      <c r="G123" s="1578"/>
      <c r="H123" s="1578"/>
      <c r="I123" s="1578"/>
      <c r="J123" s="1578"/>
      <c r="K123" s="473"/>
      <c r="L123" s="473"/>
      <c r="M123" s="1894"/>
      <c r="N123" s="3013"/>
      <c r="O123" s="3013"/>
      <c r="P123" s="2058"/>
      <c r="Q123" s="1822"/>
    </row>
    <row r="124" spans="1:17" ht="15.75" thickBot="1">
      <c r="A124" s="1854"/>
      <c r="B124" s="1862"/>
      <c r="C124" s="1863">
        <v>100</v>
      </c>
      <c r="D124" s="1863">
        <f t="shared" ref="D124:M124" si="30">C124-$K43</f>
        <v>100</v>
      </c>
      <c r="E124" s="1863">
        <f t="shared" si="30"/>
        <v>100</v>
      </c>
      <c r="F124" s="1863">
        <f t="shared" si="30"/>
        <v>100</v>
      </c>
      <c r="G124" s="1863">
        <f t="shared" si="30"/>
        <v>100</v>
      </c>
      <c r="H124" s="1863">
        <f t="shared" si="30"/>
        <v>100</v>
      </c>
      <c r="I124" s="1863">
        <f t="shared" si="30"/>
        <v>100</v>
      </c>
      <c r="J124" s="1863">
        <f t="shared" si="30"/>
        <v>100</v>
      </c>
      <c r="K124" s="1863">
        <f t="shared" si="30"/>
        <v>100</v>
      </c>
      <c r="L124" s="1863">
        <f t="shared" si="30"/>
        <v>100</v>
      </c>
      <c r="M124" s="1864">
        <f t="shared" si="30"/>
        <v>100</v>
      </c>
      <c r="N124" s="3014"/>
      <c r="O124" s="3014"/>
      <c r="P124" s="2058"/>
      <c r="Q124" s="1822"/>
    </row>
    <row r="125" spans="1:17" ht="15" thickTop="1">
      <c r="A125" s="1904"/>
      <c r="B125" s="1859" t="s">
        <v>2333</v>
      </c>
      <c r="C125" s="579" t="s">
        <v>2308</v>
      </c>
      <c r="D125" s="579" t="s">
        <v>2309</v>
      </c>
      <c r="E125" s="579" t="s">
        <v>2310</v>
      </c>
      <c r="F125" s="579" t="s">
        <v>2311</v>
      </c>
      <c r="G125" s="579" t="s">
        <v>2312</v>
      </c>
      <c r="H125" s="1860"/>
      <c r="I125" s="1860"/>
      <c r="J125" s="1860"/>
      <c r="K125" s="428"/>
      <c r="L125" s="428"/>
      <c r="M125" s="1861"/>
      <c r="N125" s="3013"/>
      <c r="O125" s="3013"/>
      <c r="P125" s="2059"/>
      <c r="Q125" s="1822"/>
    </row>
    <row r="126" spans="1:17" ht="15.75" thickBot="1">
      <c r="A126" s="1854"/>
      <c r="B126" s="1862"/>
      <c r="C126" s="1863">
        <v>100</v>
      </c>
      <c r="D126" s="1863">
        <f>C126-$K44</f>
        <v>100</v>
      </c>
      <c r="E126" s="1863">
        <f>D126-$K44</f>
        <v>100</v>
      </c>
      <c r="F126" s="1863">
        <f>E126-$K44</f>
        <v>100</v>
      </c>
      <c r="G126" s="1863">
        <f>F126-$K44</f>
        <v>100</v>
      </c>
      <c r="H126" s="1863"/>
      <c r="I126" s="1863"/>
      <c r="J126" s="1863"/>
      <c r="K126" s="1863"/>
      <c r="L126" s="1863"/>
      <c r="M126" s="1864"/>
      <c r="N126" s="3014"/>
      <c r="O126" s="3014"/>
      <c r="P126" s="2058"/>
      <c r="Q126" s="1822"/>
    </row>
    <row r="127" spans="1:17" s="1772" customFormat="1" ht="15" thickTop="1">
      <c r="A127" s="1900"/>
      <c r="B127" s="1859">
        <f>B45</f>
        <v>111</v>
      </c>
      <c r="C127" s="468"/>
      <c r="D127" s="468"/>
      <c r="E127" s="468"/>
      <c r="F127" s="468"/>
      <c r="G127" s="468"/>
      <c r="H127" s="443"/>
      <c r="I127" s="443"/>
      <c r="J127" s="443"/>
      <c r="K127" s="443"/>
      <c r="L127" s="443"/>
      <c r="M127" s="1871"/>
      <c r="N127" s="3015"/>
      <c r="O127" s="3015"/>
      <c r="P127" s="2059"/>
      <c r="Q127" s="1874"/>
    </row>
    <row r="128" spans="1:17" s="1772" customFormat="1" ht="15.75" thickBot="1">
      <c r="A128" s="1870"/>
      <c r="B128" s="1862"/>
      <c r="C128" s="1875"/>
      <c r="D128" s="1856"/>
      <c r="E128" s="1856"/>
      <c r="F128" s="1856"/>
      <c r="G128" s="1875"/>
      <c r="H128" s="1878"/>
      <c r="I128" s="1878"/>
      <c r="J128" s="1878"/>
      <c r="K128" s="1878"/>
      <c r="L128" s="1878"/>
      <c r="M128" s="1879"/>
      <c r="N128" s="3015"/>
      <c r="O128" s="3015"/>
      <c r="P128" s="2059"/>
      <c r="Q128" s="1874"/>
    </row>
    <row r="129" spans="1:17" ht="15" thickTop="1">
      <c r="A129" s="1904"/>
      <c r="B129" s="1859">
        <f>B46</f>
        <v>111</v>
      </c>
      <c r="C129" s="468"/>
      <c r="D129" s="468"/>
      <c r="E129" s="468"/>
      <c r="F129" s="468"/>
      <c r="G129" s="1578"/>
      <c r="H129" s="1578"/>
      <c r="I129" s="1578"/>
      <c r="J129" s="1578"/>
      <c r="K129" s="473"/>
      <c r="L129" s="473"/>
      <c r="M129" s="1894"/>
      <c r="N129" s="3013"/>
      <c r="O129" s="3013"/>
      <c r="P129" s="2058"/>
      <c r="Q129" s="1822"/>
    </row>
    <row r="130" spans="1:17" ht="15.75" thickBot="1">
      <c r="A130" s="1854"/>
      <c r="B130" s="1862"/>
      <c r="C130" s="1875"/>
      <c r="D130" s="1875"/>
      <c r="E130" s="1875"/>
      <c r="F130" s="1875"/>
      <c r="G130" s="1856"/>
      <c r="H130" s="1856"/>
      <c r="I130" s="1856"/>
      <c r="J130" s="1856"/>
      <c r="K130" s="1856"/>
      <c r="L130" s="1856"/>
      <c r="M130" s="1857"/>
      <c r="N130" s="3014"/>
      <c r="O130" s="3014"/>
      <c r="P130" s="2058"/>
      <c r="Q130" s="1822"/>
    </row>
    <row r="131" spans="1:17" ht="15" thickTop="1">
      <c r="A131" s="1904"/>
      <c r="B131" s="1865">
        <f>B47</f>
        <v>111</v>
      </c>
      <c r="C131" s="409"/>
      <c r="D131" s="409"/>
      <c r="E131" s="409"/>
      <c r="F131" s="409"/>
      <c r="G131" s="1895"/>
      <c r="H131" s="1895"/>
      <c r="I131" s="1895"/>
      <c r="J131" s="1895"/>
      <c r="K131" s="409"/>
      <c r="L131" s="409"/>
      <c r="M131" s="1896"/>
      <c r="N131" s="3013"/>
      <c r="O131" s="3013"/>
      <c r="P131" s="2058"/>
      <c r="Q131" s="1822"/>
    </row>
    <row r="132" spans="1:17" ht="15.75" thickBot="1">
      <c r="A132" s="2510"/>
      <c r="B132" s="1882"/>
      <c r="C132" s="1883"/>
      <c r="D132" s="1883"/>
      <c r="E132" s="1883"/>
      <c r="F132" s="1883"/>
      <c r="G132" s="1898"/>
      <c r="H132" s="1898"/>
      <c r="I132" s="1898"/>
      <c r="J132" s="1898"/>
      <c r="K132" s="1898"/>
      <c r="L132" s="1898"/>
      <c r="M132" s="1899"/>
      <c r="N132" s="3014"/>
      <c r="O132" s="3014"/>
      <c r="P132" s="2058"/>
      <c r="Q132" s="1822"/>
    </row>
  </sheetData>
  <sheetProtection password="CEE9"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2"/>
    <mergeCell ref="Y15:Y32"/>
    <mergeCell ref="Y9:Y14"/>
    <mergeCell ref="Y7:Z7"/>
    <mergeCell ref="P33:P47"/>
    <mergeCell ref="Y33:Y47"/>
    <mergeCell ref="P48:Q48"/>
    <mergeCell ref="R48:S48"/>
    <mergeCell ref="T48:U48"/>
    <mergeCell ref="V48:W48"/>
    <mergeCell ref="P49:Q49"/>
    <mergeCell ref="R49:S49"/>
    <mergeCell ref="T49:U49"/>
    <mergeCell ref="V49:W49"/>
    <mergeCell ref="P50:Q50"/>
    <mergeCell ref="R50:W50"/>
  </mergeCells>
  <phoneticPr fontId="26" type="noConversion"/>
  <conditionalFormatting sqref="F53 H53">
    <cfRule type="containsText" dxfId="115" priority="20" stopIfTrue="1" operator="containsText" text="超过">
      <formula>NOT(ISERROR(SEARCH("超过",F53)))</formula>
    </cfRule>
  </conditionalFormatting>
  <conditionalFormatting sqref="H55">
    <cfRule type="containsText" dxfId="114" priority="19" stopIfTrue="1" operator="containsText" text="超过">
      <formula>NOT(ISERROR(SEARCH("超过",H55)))</formula>
    </cfRule>
  </conditionalFormatting>
  <conditionalFormatting sqref="F55">
    <cfRule type="containsText" dxfId="113" priority="18" stopIfTrue="1" operator="containsText" text="超过">
      <formula>NOT(ISERROR(SEARCH("超过",F55)))</formula>
    </cfRule>
  </conditionalFormatting>
  <conditionalFormatting sqref="F54 H54">
    <cfRule type="containsText" dxfId="112" priority="17" stopIfTrue="1" operator="containsText" text="超过">
      <formula>NOT(ISERROR(SEARCH("超过",F54)))</formula>
    </cfRule>
  </conditionalFormatting>
  <conditionalFormatting sqref="E53">
    <cfRule type="expression" dxfId="111" priority="16" stopIfTrue="1">
      <formula>$F$53="超过30%"</formula>
    </cfRule>
  </conditionalFormatting>
  <conditionalFormatting sqref="E54">
    <cfRule type="expression" dxfId="110" priority="15" stopIfTrue="1">
      <formula>$F$54="超过20%"</formula>
    </cfRule>
  </conditionalFormatting>
  <conditionalFormatting sqref="E55">
    <cfRule type="expression" dxfId="109" priority="14" stopIfTrue="1">
      <formula>$F$55="超过30%"</formula>
    </cfRule>
  </conditionalFormatting>
  <conditionalFormatting sqref="G55">
    <cfRule type="expression" dxfId="108" priority="13" stopIfTrue="1">
      <formula>$H$55="超过30%"</formula>
    </cfRule>
  </conditionalFormatting>
  <conditionalFormatting sqref="G53">
    <cfRule type="expression" dxfId="107" priority="12" stopIfTrue="1">
      <formula>$H$53="超过30%"</formula>
    </cfRule>
  </conditionalFormatting>
  <conditionalFormatting sqref="G54">
    <cfRule type="expression" dxfId="106" priority="11" stopIfTrue="1">
      <formula>$H$54="超过20%"</formula>
    </cfRule>
  </conditionalFormatting>
  <conditionalFormatting sqref="J53">
    <cfRule type="containsText" dxfId="105" priority="10" stopIfTrue="1" operator="containsText" text="超过">
      <formula>NOT(ISERROR(SEARCH("超过",J53)))</formula>
    </cfRule>
  </conditionalFormatting>
  <conditionalFormatting sqref="J55">
    <cfRule type="containsText" dxfId="104" priority="9" stopIfTrue="1" operator="containsText" text="超过">
      <formula>NOT(ISERROR(SEARCH("超过",J55)))</formula>
    </cfRule>
  </conditionalFormatting>
  <conditionalFormatting sqref="J54">
    <cfRule type="containsText" dxfId="103" priority="8" stopIfTrue="1" operator="containsText" text="超过">
      <formula>NOT(ISERROR(SEARCH("超过",J54)))</formula>
    </cfRule>
  </conditionalFormatting>
  <conditionalFormatting sqref="I53">
    <cfRule type="expression" dxfId="102" priority="7" stopIfTrue="1">
      <formula>$J$53="超过30%"</formula>
    </cfRule>
  </conditionalFormatting>
  <conditionalFormatting sqref="I54">
    <cfRule type="expression" dxfId="101" priority="6" stopIfTrue="1">
      <formula>$J$53+$J$54="超过20%"</formula>
    </cfRule>
  </conditionalFormatting>
  <conditionalFormatting sqref="I55">
    <cfRule type="expression" dxfId="100" priority="5" stopIfTrue="1">
      <formula>$J$55="超过30%"</formula>
    </cfRule>
  </conditionalFormatting>
  <conditionalFormatting sqref="F49">
    <cfRule type="expression" dxfId="99" priority="4">
      <formula>$D$49="简单平均"</formula>
    </cfRule>
  </conditionalFormatting>
  <conditionalFormatting sqref="H49">
    <cfRule type="expression" dxfId="98" priority="3">
      <formula>$D$49="简单平均"</formula>
    </cfRule>
  </conditionalFormatting>
  <conditionalFormatting sqref="J49">
    <cfRule type="expression" dxfId="97" priority="2">
      <formula>$D$49="简单平均"</formula>
    </cfRule>
  </conditionalFormatting>
  <conditionalFormatting sqref="F7:F47 H7:H47 J7:J47">
    <cfRule type="cellIs" dxfId="96" priority="1" operator="notEqual">
      <formula>100</formula>
    </cfRule>
  </conditionalFormatting>
  <dataValidations count="25">
    <dataValidation type="list" allowBlank="1" showInputMessage="1" showErrorMessage="1" sqref="C35 E35 G35 I35">
      <formula1>办公建筑结构</formula1>
    </dataValidation>
    <dataValidation type="list" allowBlank="1" showInputMessage="1" showErrorMessage="1" sqref="E24 G24 I24 C24">
      <formula1>环境</formula1>
    </dataValidation>
    <dataValidation type="list" allowBlank="1" showInputMessage="1" showErrorMessage="1" sqref="E18 G18 I18 C18">
      <formula1>交通便捷度</formula1>
    </dataValidation>
    <dataValidation type="list" allowBlank="1" showInputMessage="1" showErrorMessage="1" sqref="E20 G20 C20 I20">
      <formula1>公共配套设施</formula1>
    </dataValidation>
    <dataValidation type="list" allowBlank="1" showInputMessage="1" showErrorMessage="1" sqref="C44 E44 G44 I44">
      <formula1>内部装修维护情况</formula1>
    </dataValidation>
    <dataValidation type="list" allowBlank="1" showInputMessage="1" showErrorMessage="1" sqref="C10 E10 G10 I10">
      <formula1>土地年限区间</formula1>
    </dataValidation>
    <dataValidation type="list" allowBlank="1" showInputMessage="1" showErrorMessage="1" sqref="E9 G9 I9">
      <formula1>办公用途</formula1>
    </dataValidation>
    <dataValidation type="list" allowBlank="1" showInputMessage="1" showErrorMessage="1" sqref="C16 E16 G16 I16">
      <formula1>办公集聚程度</formula1>
    </dataValidation>
    <dataValidation type="list" allowBlank="1" showInputMessage="1" showErrorMessage="1" sqref="G26 C26 E26 I26">
      <formula1>办公道路级别</formula1>
    </dataValidation>
    <dataValidation type="list" allowBlank="1" showInputMessage="1" showErrorMessage="1" sqref="C28 E28 G28 I28">
      <formula1>办公朝向</formula1>
    </dataValidation>
    <dataValidation type="list" allowBlank="1" showInputMessage="1" showErrorMessage="1" sqref="C27 E27 G27 I27">
      <formula1>办公楼层</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8 E8 G8 I8">
      <formula1>办公交易情况</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9">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92D050"/>
    <pageSetUpPr fitToPage="1"/>
  </sheetPr>
  <dimension ref="A1:AC113"/>
  <sheetViews>
    <sheetView view="pageBreakPreview" zoomScale="70" zoomScaleNormal="60" zoomScaleSheetLayoutView="70" workbookViewId="0">
      <selection activeCell="O29" sqref="O29"/>
    </sheetView>
  </sheetViews>
  <sheetFormatPr defaultColWidth="9" defaultRowHeight="14.25"/>
  <cols>
    <col min="1" max="1" width="10.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4.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1229" customFormat="1" ht="28.5" customHeight="1" thickBot="1">
      <c r="A1" s="1220" t="s">
        <v>2241</v>
      </c>
      <c r="B1" s="1226" t="s">
        <v>2400</v>
      </c>
      <c r="C1" s="1218"/>
      <c r="D1" s="1231"/>
      <c r="E1" s="1559"/>
      <c r="F1" s="1232" t="s">
        <v>2243</v>
      </c>
      <c r="G1" s="1231"/>
      <c r="H1" s="1231"/>
      <c r="I1" s="1231"/>
      <c r="J1" s="1231"/>
      <c r="K1" s="1233"/>
      <c r="L1" s="1225"/>
      <c r="M1" s="1226"/>
      <c r="N1" s="1226"/>
      <c r="O1" s="1226"/>
      <c r="P1" s="1227"/>
      <c r="Q1" s="1227"/>
      <c r="R1" s="1227"/>
      <c r="S1" s="1227"/>
      <c r="T1" s="1227"/>
      <c r="U1" s="1227"/>
      <c r="V1" s="1227"/>
      <c r="W1" s="1227"/>
      <c r="X1" s="1227"/>
      <c r="Y1" s="1227"/>
      <c r="Z1" s="1227"/>
      <c r="AA1" s="1227"/>
      <c r="AB1" s="1227"/>
      <c r="AC1" s="1228"/>
    </row>
    <row r="2" spans="1:29" s="291" customFormat="1" ht="28.5" customHeight="1" thickTop="1">
      <c r="A2" s="1219" t="s">
        <v>1914</v>
      </c>
      <c r="B2" s="1217" t="e">
        <f ca="1">IF(D2="——",IF(C2="元",ROUND(C43*D3,0),ROUND(C43*D3/10000,0)),IF(C2="元",ROUND(C43*D3,0),ROUND(C43*D3/10000,0))-E2)</f>
        <v>#DIV/0!</v>
      </c>
      <c r="C2" s="79" t="str">
        <f>'数据-取费表'!B3</f>
        <v>万元</v>
      </c>
      <c r="D2" s="1560"/>
      <c r="E2" s="1579" t="e">
        <f ca="1">SUMIF(INDIRECT("'"&amp;G2&amp;"'"&amp;"!A:A"),"承租人权益价值",INDIRECT("'"&amp;G2&amp;"'"&amp;"!c:c"))</f>
        <v>#REF!</v>
      </c>
      <c r="F2" s="1561" t="str">
        <f>C2</f>
        <v>万元</v>
      </c>
      <c r="G2" s="1562"/>
      <c r="H2" s="3017"/>
      <c r="I2" s="3017"/>
      <c r="J2" s="3017"/>
      <c r="K2" s="3017"/>
      <c r="L2" s="3018"/>
      <c r="M2" s="3019"/>
      <c r="N2" s="3019"/>
      <c r="O2" s="3019"/>
      <c r="P2" s="625"/>
      <c r="Q2" s="625"/>
      <c r="R2" s="625"/>
      <c r="S2" s="625"/>
      <c r="T2" s="625"/>
      <c r="U2" s="625"/>
      <c r="V2" s="625"/>
      <c r="W2" s="625"/>
      <c r="X2" s="625"/>
      <c r="Y2" s="625"/>
      <c r="Z2" s="625"/>
      <c r="AA2" s="625"/>
      <c r="AB2" s="625"/>
      <c r="AC2" s="639"/>
    </row>
    <row r="3" spans="1:29" s="291" customFormat="1" ht="28.5" customHeight="1" thickBot="1">
      <c r="A3" s="83" t="s">
        <v>1915</v>
      </c>
      <c r="B3" s="495" t="e">
        <f ca="1">ROUND(IF(D2="——",C43,IF(C2="万元",B2*10000/D3,B2/D3)),0)</f>
        <v>#DIV/0!</v>
      </c>
      <c r="C3" s="293" t="s">
        <v>2244</v>
      </c>
      <c r="D3" s="292">
        <f>IF(C1="仅计算典型户型",'数据-取费表'!E5,'数据-取费表'!B5)</f>
        <v>841.27</v>
      </c>
      <c r="E3" s="3017"/>
      <c r="F3" s="3020"/>
      <c r="G3" s="3017"/>
      <c r="H3" s="3017"/>
      <c r="I3" s="3017"/>
      <c r="J3" s="3017"/>
      <c r="K3" s="3021"/>
      <c r="L3" s="3018"/>
      <c r="M3" s="3019"/>
      <c r="N3" s="3019"/>
      <c r="O3" s="3019"/>
      <c r="P3" s="625"/>
      <c r="Q3" s="625"/>
      <c r="R3" s="625"/>
      <c r="S3" s="625"/>
      <c r="T3" s="625"/>
      <c r="U3" s="625"/>
      <c r="V3" s="625"/>
      <c r="W3" s="625"/>
      <c r="X3" s="625"/>
      <c r="Y3" s="625"/>
      <c r="Z3" s="625"/>
      <c r="AA3" s="625"/>
      <c r="AB3" s="644"/>
      <c r="AC3" s="639"/>
    </row>
    <row r="4" spans="1:29" ht="15">
      <c r="A4" s="294" t="s">
        <v>2245</v>
      </c>
      <c r="B4" s="295"/>
      <c r="C4" s="3519" t="s">
        <v>2246</v>
      </c>
      <c r="D4" s="3520"/>
      <c r="E4" s="3521" t="s">
        <v>2247</v>
      </c>
      <c r="F4" s="3522"/>
      <c r="G4" s="3519" t="s">
        <v>2248</v>
      </c>
      <c r="H4" s="3520"/>
      <c r="I4" s="3519" t="s">
        <v>2249</v>
      </c>
      <c r="J4" s="3520"/>
      <c r="K4" s="496" t="s">
        <v>2250</v>
      </c>
      <c r="L4" s="3022"/>
      <c r="M4" s="3023"/>
      <c r="N4" s="3023"/>
      <c r="O4" s="3023"/>
      <c r="P4" s="3523" t="s">
        <v>2251</v>
      </c>
      <c r="Q4" s="3524"/>
      <c r="R4" s="3506" t="s">
        <v>2247</v>
      </c>
      <c r="S4" s="3507"/>
      <c r="T4" s="3506" t="s">
        <v>2248</v>
      </c>
      <c r="U4" s="3507"/>
      <c r="V4" s="3529" t="s">
        <v>2249</v>
      </c>
      <c r="W4" s="3529"/>
      <c r="X4" s="1335"/>
      <c r="Y4" s="3506" t="s">
        <v>2251</v>
      </c>
      <c r="Z4" s="3507"/>
      <c r="AA4" s="3516" t="s">
        <v>2247</v>
      </c>
      <c r="AB4" s="3517" t="s">
        <v>2248</v>
      </c>
      <c r="AC4" s="3516" t="s">
        <v>2249</v>
      </c>
    </row>
    <row r="5" spans="1:29" ht="15">
      <c r="A5" s="297"/>
      <c r="B5" s="298"/>
      <c r="C5" s="3532" t="s">
        <v>2252</v>
      </c>
      <c r="D5" s="3533"/>
      <c r="E5" s="3530" t="s">
        <v>2253</v>
      </c>
      <c r="F5" s="3531"/>
      <c r="G5" s="3532" t="s">
        <v>2254</v>
      </c>
      <c r="H5" s="3533"/>
      <c r="I5" s="3532" t="s">
        <v>2255</v>
      </c>
      <c r="J5" s="3533"/>
      <c r="K5" s="496"/>
      <c r="L5" s="3022"/>
      <c r="M5" s="3023"/>
      <c r="N5" s="3023"/>
      <c r="O5" s="3023"/>
      <c r="P5" s="3525"/>
      <c r="Q5" s="3526"/>
      <c r="R5" s="3508"/>
      <c r="S5" s="3509"/>
      <c r="T5" s="3508"/>
      <c r="U5" s="3509"/>
      <c r="V5" s="3529"/>
      <c r="W5" s="3529"/>
      <c r="X5" s="1335"/>
      <c r="Y5" s="3508"/>
      <c r="Z5" s="3509"/>
      <c r="AA5" s="3517"/>
      <c r="AB5" s="3517"/>
      <c r="AC5" s="3517"/>
    </row>
    <row r="6" spans="1:29" ht="15.75" thickBot="1">
      <c r="A6" s="299"/>
      <c r="B6" s="300"/>
      <c r="C6" s="3534" t="s">
        <v>2256</v>
      </c>
      <c r="D6" s="3535"/>
      <c r="E6" s="3536" t="s">
        <v>2256</v>
      </c>
      <c r="F6" s="3537"/>
      <c r="G6" s="3534" t="s">
        <v>2256</v>
      </c>
      <c r="H6" s="3535"/>
      <c r="I6" s="3534" t="s">
        <v>2256</v>
      </c>
      <c r="J6" s="3535"/>
      <c r="K6" s="496" t="s">
        <v>2257</v>
      </c>
      <c r="L6" s="3022"/>
      <c r="M6" s="3023"/>
      <c r="N6" s="3023"/>
      <c r="O6" s="3023"/>
      <c r="P6" s="3527"/>
      <c r="Q6" s="3528"/>
      <c r="R6" s="3508"/>
      <c r="S6" s="3509"/>
      <c r="T6" s="3510"/>
      <c r="U6" s="3511"/>
      <c r="V6" s="3529"/>
      <c r="W6" s="3529"/>
      <c r="X6" s="1335"/>
      <c r="Y6" s="3510"/>
      <c r="Z6" s="3511"/>
      <c r="AA6" s="3518"/>
      <c r="AB6" s="3518"/>
      <c r="AC6" s="3518"/>
    </row>
    <row r="7" spans="1:29" s="25" customFormat="1" ht="15.75" thickBot="1">
      <c r="A7" s="301" t="s">
        <v>2258</v>
      </c>
      <c r="B7" s="302"/>
      <c r="C7" s="303">
        <f>'数据-取费表'!B2</f>
        <v>44334</v>
      </c>
      <c r="D7" s="304">
        <v>100</v>
      </c>
      <c r="E7" s="305"/>
      <c r="F7" s="306">
        <f>SUMIF(52:52,YEAR(E7)&amp;"-"&amp;MONTH(E7),53:53)</f>
        <v>0</v>
      </c>
      <c r="G7" s="305"/>
      <c r="H7" s="304">
        <f>SUMIF(52:52,YEAR(G7)&amp;"-"&amp;MONTH(G7),53:53)</f>
        <v>0</v>
      </c>
      <c r="I7" s="305"/>
      <c r="J7" s="304">
        <f>SUMIF(52:52,YEAR(I7)&amp;"-"&amp;MONTH(I7),53:53)</f>
        <v>0</v>
      </c>
      <c r="K7" s="497"/>
      <c r="L7" s="3024"/>
      <c r="M7" s="3025"/>
      <c r="N7" s="3025"/>
      <c r="O7" s="3025"/>
      <c r="P7" s="3504" t="s">
        <v>2259</v>
      </c>
      <c r="Q7" s="3512"/>
      <c r="R7" s="627" t="s">
        <v>25</v>
      </c>
      <c r="S7" s="628">
        <f t="shared" ref="S7:S15" si="0">F7</f>
        <v>0</v>
      </c>
      <c r="T7" s="627" t="s">
        <v>25</v>
      </c>
      <c r="U7" s="628">
        <f t="shared" ref="U7:U15" si="1">H7</f>
        <v>0</v>
      </c>
      <c r="V7" s="627" t="s">
        <v>25</v>
      </c>
      <c r="W7" s="628">
        <f t="shared" ref="W7:W15" si="2">J7</f>
        <v>0</v>
      </c>
      <c r="X7" s="629"/>
      <c r="Y7" s="3504" t="s">
        <v>2259</v>
      </c>
      <c r="Z7" s="3505"/>
      <c r="AA7" s="630" t="e">
        <f>D7/F7</f>
        <v>#DIV/0!</v>
      </c>
      <c r="AB7" s="630" t="e">
        <f>D7/H7</f>
        <v>#DIV/0!</v>
      </c>
      <c r="AC7" s="630" t="e">
        <f>D7/J7</f>
        <v>#DIV/0!</v>
      </c>
    </row>
    <row r="8" spans="1:29" s="25" customFormat="1" ht="15.75" thickBot="1">
      <c r="A8" s="301" t="s">
        <v>2260</v>
      </c>
      <c r="B8" s="302"/>
      <c r="C8" s="307" t="s">
        <v>2884</v>
      </c>
      <c r="D8" s="304">
        <v>100</v>
      </c>
      <c r="E8" s="307"/>
      <c r="F8" s="306">
        <f>SUMIF(55:55,E8,56:56)-SUMIF(55:55,C8,56:56)+100</f>
        <v>0</v>
      </c>
      <c r="G8" s="307"/>
      <c r="H8" s="304">
        <f>SUMIF(55:55,G8,56:56)-SUMIF(55:55,C8,56:56)+100</f>
        <v>0</v>
      </c>
      <c r="I8" s="307"/>
      <c r="J8" s="304">
        <f>SUMIF(55:55,I8,56:56)-SUMIF(55:55,C8,56:56)+100</f>
        <v>0</v>
      </c>
      <c r="K8" s="497"/>
      <c r="L8" s="3024"/>
      <c r="M8" s="3025"/>
      <c r="N8" s="3025"/>
      <c r="O8" s="3025"/>
      <c r="P8" s="3504" t="s">
        <v>2262</v>
      </c>
      <c r="Q8" s="3505"/>
      <c r="R8" s="627" t="s">
        <v>25</v>
      </c>
      <c r="S8" s="628">
        <f t="shared" si="0"/>
        <v>0</v>
      </c>
      <c r="T8" s="627" t="s">
        <v>25</v>
      </c>
      <c r="U8" s="628">
        <f t="shared" si="1"/>
        <v>0</v>
      </c>
      <c r="V8" s="627" t="s">
        <v>25</v>
      </c>
      <c r="W8" s="628">
        <f t="shared" si="2"/>
        <v>0</v>
      </c>
      <c r="X8" s="629"/>
      <c r="Y8" s="3504" t="s">
        <v>2262</v>
      </c>
      <c r="Z8" s="3505"/>
      <c r="AA8" s="630" t="e">
        <f t="shared" ref="AA8:AA40" si="3">D8/F8</f>
        <v>#DIV/0!</v>
      </c>
      <c r="AB8" s="630" t="e">
        <f t="shared" ref="AB8:AB40" si="4">D8/H8</f>
        <v>#DIV/0!</v>
      </c>
      <c r="AC8" s="630" t="e">
        <f t="shared" ref="AC8:AC40" si="5">D8/J8</f>
        <v>#DIV/0!</v>
      </c>
    </row>
    <row r="9" spans="1:29" s="25" customFormat="1">
      <c r="A9" s="308" t="s">
        <v>2263</v>
      </c>
      <c r="B9" s="24" t="s">
        <v>2264</v>
      </c>
      <c r="C9" s="309"/>
      <c r="D9" s="28">
        <v>100</v>
      </c>
      <c r="E9" s="311"/>
      <c r="F9" s="28">
        <f>SUMIF(57:57,E9,58:58)-SUMIF(57:57,C9,58:58)+100</f>
        <v>100</v>
      </c>
      <c r="G9" s="310"/>
      <c r="H9" s="28">
        <f>SUMIF(57:57,G9,58:58)-SUMIF(57:57,C9,58:58)+100</f>
        <v>100</v>
      </c>
      <c r="I9" s="310"/>
      <c r="J9" s="28">
        <f>SUMIF(57:57,I9,58:58)-SUMIF(57:57,C9,58:58)+100</f>
        <v>100</v>
      </c>
      <c r="K9" s="497"/>
      <c r="L9" s="3024"/>
      <c r="M9" s="3025"/>
      <c r="N9" s="3025"/>
      <c r="O9" s="3026"/>
      <c r="P9" s="3496" t="s">
        <v>2265</v>
      </c>
      <c r="Q9" s="1327" t="str">
        <f t="shared" ref="Q9:Q15" si="6">B9</f>
        <v>用途</v>
      </c>
      <c r="R9" s="627" t="s">
        <v>25</v>
      </c>
      <c r="S9" s="628">
        <f t="shared" si="0"/>
        <v>100</v>
      </c>
      <c r="T9" s="627" t="s">
        <v>25</v>
      </c>
      <c r="U9" s="628">
        <f t="shared" si="1"/>
        <v>100</v>
      </c>
      <c r="V9" s="627" t="s">
        <v>25</v>
      </c>
      <c r="W9" s="628">
        <f t="shared" si="2"/>
        <v>100</v>
      </c>
      <c r="X9" s="629"/>
      <c r="Y9" s="3515" t="s">
        <v>2266</v>
      </c>
      <c r="Z9" s="19" t="str">
        <f t="shared" ref="Z9:Z15" si="7">Q9</f>
        <v>用途</v>
      </c>
      <c r="AA9" s="630">
        <f t="shared" si="3"/>
        <v>1</v>
      </c>
      <c r="AB9" s="630">
        <f t="shared" si="4"/>
        <v>1</v>
      </c>
      <c r="AC9" s="630">
        <f t="shared" si="5"/>
        <v>1</v>
      </c>
    </row>
    <row r="10" spans="1:29" s="317" customFormat="1" ht="27">
      <c r="A10" s="312"/>
      <c r="B10" s="313" t="s">
        <v>2267</v>
      </c>
      <c r="C10" s="314"/>
      <c r="D10" s="29">
        <v>100</v>
      </c>
      <c r="E10" s="314"/>
      <c r="F10" s="29">
        <f>SUMIF(59:59,E10,60:60)-SUMIF(59:59,C10,60:60)+100</f>
        <v>100</v>
      </c>
      <c r="G10" s="315"/>
      <c r="H10" s="29">
        <f>SUMIF(59:59,G10,60:60)-SUMIF(59:59,C10,60:60)+100</f>
        <v>100</v>
      </c>
      <c r="I10" s="314"/>
      <c r="J10" s="29">
        <f>SUMIF(59:59,I10,60:60)-SUMIF(59:59,C10,60:60)+100</f>
        <v>100</v>
      </c>
      <c r="K10" s="498"/>
      <c r="L10" s="3027"/>
      <c r="M10" s="3028"/>
      <c r="N10" s="3028"/>
      <c r="O10" s="3029"/>
      <c r="P10" s="3496"/>
      <c r="Q10" s="1327" t="str">
        <f t="shared" si="6"/>
        <v>土地使用年限（年）</v>
      </c>
      <c r="R10" s="627" t="s">
        <v>25</v>
      </c>
      <c r="S10" s="628">
        <f t="shared" si="0"/>
        <v>100</v>
      </c>
      <c r="T10" s="627" t="s">
        <v>25</v>
      </c>
      <c r="U10" s="628">
        <f t="shared" si="1"/>
        <v>100</v>
      </c>
      <c r="V10" s="627" t="s">
        <v>25</v>
      </c>
      <c r="W10" s="628">
        <f t="shared" si="2"/>
        <v>100</v>
      </c>
      <c r="X10" s="629"/>
      <c r="Y10" s="3515"/>
      <c r="Z10" s="19" t="str">
        <f t="shared" si="7"/>
        <v>土地使用年限（年）</v>
      </c>
      <c r="AA10" s="630">
        <f t="shared" si="3"/>
        <v>1</v>
      </c>
      <c r="AB10" s="630">
        <f t="shared" si="4"/>
        <v>1</v>
      </c>
      <c r="AC10" s="630">
        <f t="shared" si="5"/>
        <v>1</v>
      </c>
    </row>
    <row r="11" spans="1:29" ht="15">
      <c r="A11" s="318"/>
      <c r="B11" s="313" t="s">
        <v>2268</v>
      </c>
      <c r="C11" s="319"/>
      <c r="D11" s="29">
        <v>100</v>
      </c>
      <c r="E11" s="319"/>
      <c r="F11" s="29" t="e">
        <f>LOOKUP(E11,62:62,63:63)-LOOKUP(C11,62:62,63:63)+100</f>
        <v>#N/A</v>
      </c>
      <c r="G11" s="320"/>
      <c r="H11" s="29" t="e">
        <f>LOOKUP(G11,62:62,63:63)-LOOKUP(C11,62:62,63:63)+100</f>
        <v>#N/A</v>
      </c>
      <c r="I11" s="319"/>
      <c r="J11" s="29" t="e">
        <f>LOOKUP(I11,62:62,63:63)-LOOKUP(C11,62:62,63:63)+100</f>
        <v>#N/A</v>
      </c>
      <c r="K11" s="498"/>
      <c r="L11" s="3030"/>
      <c r="M11" s="3023"/>
      <c r="N11" s="3023"/>
      <c r="O11" s="3031"/>
      <c r="P11" s="3496"/>
      <c r="Q11" s="1327" t="str">
        <f t="shared" si="6"/>
        <v>容积率</v>
      </c>
      <c r="R11" s="627" t="s">
        <v>25</v>
      </c>
      <c r="S11" s="628" t="e">
        <f t="shared" si="0"/>
        <v>#N/A</v>
      </c>
      <c r="T11" s="627" t="s">
        <v>25</v>
      </c>
      <c r="U11" s="628" t="e">
        <f t="shared" si="1"/>
        <v>#N/A</v>
      </c>
      <c r="V11" s="627" t="s">
        <v>25</v>
      </c>
      <c r="W11" s="628" t="e">
        <f t="shared" si="2"/>
        <v>#N/A</v>
      </c>
      <c r="X11" s="629"/>
      <c r="Y11" s="3515"/>
      <c r="Z11" s="19" t="str">
        <f t="shared" si="7"/>
        <v>容积率</v>
      </c>
      <c r="AA11" s="630" t="e">
        <f t="shared" si="3"/>
        <v>#N/A</v>
      </c>
      <c r="AB11" s="630" t="e">
        <f t="shared" si="4"/>
        <v>#N/A</v>
      </c>
      <c r="AC11" s="630" t="e">
        <f t="shared" si="5"/>
        <v>#N/A</v>
      </c>
    </row>
    <row r="12" spans="1:29" s="25" customFormat="1" ht="15">
      <c r="A12" s="321"/>
      <c r="B12" s="1563">
        <v>111</v>
      </c>
      <c r="C12" s="322"/>
      <c r="D12" s="323">
        <v>100</v>
      </c>
      <c r="E12" s="324"/>
      <c r="F12" s="29">
        <f>SUMIF(64:64,E12,65:65)-SUMIF(64:64,C12,65:65)+100</f>
        <v>100</v>
      </c>
      <c r="G12" s="1580"/>
      <c r="H12" s="29">
        <f>SUMIF(64:64,G12,65:65)-SUMIF(64:64,C12,65:65)+100</f>
        <v>100</v>
      </c>
      <c r="I12" s="357"/>
      <c r="J12" s="29">
        <f>SUMIF(64:64,I12,65:65)-SUMIF(64:64,C12,65:65)+100</f>
        <v>100</v>
      </c>
      <c r="K12" s="499"/>
      <c r="L12" s="3024"/>
      <c r="M12" s="3025"/>
      <c r="N12" s="3025"/>
      <c r="O12" s="3026"/>
      <c r="P12" s="3496"/>
      <c r="Q12" s="1327">
        <f t="shared" si="6"/>
        <v>111</v>
      </c>
      <c r="R12" s="627" t="s">
        <v>25</v>
      </c>
      <c r="S12" s="628">
        <f t="shared" si="0"/>
        <v>100</v>
      </c>
      <c r="T12" s="627" t="s">
        <v>25</v>
      </c>
      <c r="U12" s="628">
        <f t="shared" si="1"/>
        <v>100</v>
      </c>
      <c r="V12" s="627" t="s">
        <v>25</v>
      </c>
      <c r="W12" s="628">
        <f t="shared" si="2"/>
        <v>100</v>
      </c>
      <c r="X12" s="629"/>
      <c r="Y12" s="3515"/>
      <c r="Z12" s="19">
        <f t="shared" si="7"/>
        <v>111</v>
      </c>
      <c r="AA12" s="630">
        <f>D12/F12</f>
        <v>1</v>
      </c>
      <c r="AB12" s="630">
        <f>D12/H12</f>
        <v>1</v>
      </c>
      <c r="AC12" s="630">
        <f>D12/J12</f>
        <v>1</v>
      </c>
    </row>
    <row r="13" spans="1:29" ht="15">
      <c r="A13" s="318"/>
      <c r="B13" s="1563">
        <v>111</v>
      </c>
      <c r="C13" s="324"/>
      <c r="D13" s="325">
        <v>100</v>
      </c>
      <c r="E13" s="324"/>
      <c r="F13" s="29">
        <f>SUMIF(66:66,E13,67:67)-SUMIF(66:66,C13,67:67)+100</f>
        <v>100</v>
      </c>
      <c r="G13" s="1580"/>
      <c r="H13" s="325">
        <f>SUMIF(66:66,G13,67:67)-SUMIF(66:66,C13,67:67)+100</f>
        <v>100</v>
      </c>
      <c r="I13" s="357"/>
      <c r="J13" s="325">
        <f>SUMIF(66:66,I13,67:67)-SUMIF(66:66,C13,67:67)+100</f>
        <v>100</v>
      </c>
      <c r="K13" s="499"/>
      <c r="L13" s="3032"/>
      <c r="M13" s="3023"/>
      <c r="N13" s="3023"/>
      <c r="O13" s="3031"/>
      <c r="P13" s="3496"/>
      <c r="Q13" s="1327">
        <f t="shared" si="6"/>
        <v>111</v>
      </c>
      <c r="R13" s="627" t="s">
        <v>25</v>
      </c>
      <c r="S13" s="628">
        <f t="shared" si="0"/>
        <v>100</v>
      </c>
      <c r="T13" s="627" t="s">
        <v>25</v>
      </c>
      <c r="U13" s="628">
        <f t="shared" si="1"/>
        <v>100</v>
      </c>
      <c r="V13" s="627" t="s">
        <v>25</v>
      </c>
      <c r="W13" s="628">
        <f t="shared" si="2"/>
        <v>100</v>
      </c>
      <c r="X13" s="629"/>
      <c r="Y13" s="3515"/>
      <c r="Z13" s="19">
        <f t="shared" si="7"/>
        <v>111</v>
      </c>
      <c r="AA13" s="630">
        <f t="shared" si="3"/>
        <v>1</v>
      </c>
      <c r="AB13" s="630">
        <f t="shared" si="4"/>
        <v>1</v>
      </c>
      <c r="AC13" s="630">
        <f t="shared" si="5"/>
        <v>1</v>
      </c>
    </row>
    <row r="14" spans="1:29" ht="15.75" thickBot="1">
      <c r="A14" s="326"/>
      <c r="B14" s="1564">
        <v>111</v>
      </c>
      <c r="C14" s="1565"/>
      <c r="D14" s="327">
        <v>100</v>
      </c>
      <c r="E14" s="1565"/>
      <c r="F14" s="327">
        <f>SUMIF(68:68,E14,69:69)-SUMIF(68:68,C14,69:69)+100</f>
        <v>100</v>
      </c>
      <c r="G14" s="1580"/>
      <c r="H14" s="327">
        <f>SUMIF(68:68,G14,69:69)-SUMIF(68:68,C14,69:69)+100</f>
        <v>100</v>
      </c>
      <c r="I14" s="357"/>
      <c r="J14" s="327">
        <f>SUMIF(68:68,I14,69:69)-SUMIF(68:68,C14,69:69)+100</f>
        <v>100</v>
      </c>
      <c r="K14" s="499"/>
      <c r="L14" s="3032"/>
      <c r="M14" s="3023"/>
      <c r="N14" s="3023"/>
      <c r="O14" s="3031"/>
      <c r="P14" s="3496"/>
      <c r="Q14" s="1327">
        <f t="shared" si="6"/>
        <v>111</v>
      </c>
      <c r="R14" s="627" t="s">
        <v>25</v>
      </c>
      <c r="S14" s="628">
        <f t="shared" si="0"/>
        <v>100</v>
      </c>
      <c r="T14" s="627" t="s">
        <v>25</v>
      </c>
      <c r="U14" s="628">
        <f t="shared" si="1"/>
        <v>100</v>
      </c>
      <c r="V14" s="627" t="s">
        <v>25</v>
      </c>
      <c r="W14" s="628">
        <f t="shared" si="2"/>
        <v>100</v>
      </c>
      <c r="X14" s="629"/>
      <c r="Y14" s="3515"/>
      <c r="Z14" s="19">
        <f t="shared" si="7"/>
        <v>111</v>
      </c>
      <c r="AA14" s="630">
        <f t="shared" si="3"/>
        <v>1</v>
      </c>
      <c r="AB14" s="630">
        <f t="shared" si="4"/>
        <v>1</v>
      </c>
      <c r="AC14" s="630">
        <f t="shared" si="5"/>
        <v>1</v>
      </c>
    </row>
    <row r="15" spans="1:29" ht="57">
      <c r="A15" s="329" t="s">
        <v>2269</v>
      </c>
      <c r="B15" s="22" t="s">
        <v>2401</v>
      </c>
      <c r="C15" s="1581" t="str">
        <f>估价对象房地状况!G3</f>
        <v>估价对象位于XX开发区，园区建设成熟度XX，产业集聚程度XX</v>
      </c>
      <c r="D15" s="330">
        <v>100</v>
      </c>
      <c r="E15" s="331"/>
      <c r="F15" s="332">
        <f>SUMIF(70:70,E16,71:71)-SUMIF(70:70,C16,71:71)+100</f>
        <v>100</v>
      </c>
      <c r="G15" s="333"/>
      <c r="H15" s="330">
        <f>SUMIF(70:70,G16,71:71)-SUMIF(70:70,C16,71:71)+100</f>
        <v>100</v>
      </c>
      <c r="I15" s="331"/>
      <c r="J15" s="330">
        <f>SUMIF(70:70,I16,71:71)-SUMIF(70:70,C16,71:71)+100</f>
        <v>100</v>
      </c>
      <c r="K15" s="500"/>
      <c r="L15" s="3032"/>
      <c r="M15" s="3023"/>
      <c r="N15" s="3023"/>
      <c r="O15" s="3031"/>
      <c r="P15" s="3513" t="s">
        <v>2270</v>
      </c>
      <c r="Q15" s="1334" t="str">
        <f t="shared" si="6"/>
        <v>产业集聚程度</v>
      </c>
      <c r="R15" s="631" t="s">
        <v>25</v>
      </c>
      <c r="S15" s="632">
        <f t="shared" si="0"/>
        <v>100</v>
      </c>
      <c r="T15" s="631" t="s">
        <v>25</v>
      </c>
      <c r="U15" s="632">
        <f t="shared" si="1"/>
        <v>100</v>
      </c>
      <c r="V15" s="631" t="s">
        <v>25</v>
      </c>
      <c r="W15" s="632">
        <f t="shared" si="2"/>
        <v>100</v>
      </c>
      <c r="X15" s="1335"/>
      <c r="Y15" s="3513" t="s">
        <v>2270</v>
      </c>
      <c r="Z15" s="1336" t="str">
        <f t="shared" si="7"/>
        <v>产业集聚程度</v>
      </c>
      <c r="AA15" s="1337">
        <f t="shared" si="3"/>
        <v>1</v>
      </c>
      <c r="AB15" s="1337">
        <f t="shared" si="4"/>
        <v>1</v>
      </c>
      <c r="AC15" s="1337">
        <f t="shared" si="5"/>
        <v>1</v>
      </c>
    </row>
    <row r="16" spans="1:29" ht="15">
      <c r="A16" s="318"/>
      <c r="B16" s="334"/>
      <c r="C16" s="335"/>
      <c r="D16" s="336"/>
      <c r="E16" s="335"/>
      <c r="F16" s="338"/>
      <c r="G16" s="335"/>
      <c r="H16" s="339"/>
      <c r="I16" s="335"/>
      <c r="J16" s="336"/>
      <c r="K16" s="501"/>
      <c r="L16" s="3032"/>
      <c r="M16" s="3023"/>
      <c r="N16" s="3023"/>
      <c r="O16" s="3031"/>
      <c r="P16" s="3514"/>
      <c r="Q16" s="1334"/>
      <c r="R16" s="631"/>
      <c r="S16" s="632"/>
      <c r="T16" s="631"/>
      <c r="U16" s="632"/>
      <c r="V16" s="631"/>
      <c r="W16" s="632"/>
      <c r="X16" s="1335"/>
      <c r="Y16" s="3514"/>
      <c r="Z16" s="1336"/>
      <c r="AA16" s="1337">
        <v>1</v>
      </c>
      <c r="AB16" s="1337">
        <v>1</v>
      </c>
      <c r="AC16" s="1337">
        <v>1</v>
      </c>
    </row>
    <row r="17" spans="1:29" ht="85.5">
      <c r="A17" s="318"/>
      <c r="B17" s="340" t="s">
        <v>1706</v>
      </c>
      <c r="C17" s="1567" t="str">
        <f>估价对象房地状况!G4</f>
        <v>估价对象周边道路状况、公共交通通达情况、停车便捷程度，综合评价交通便捷度较好</v>
      </c>
      <c r="D17" s="339">
        <v>100</v>
      </c>
      <c r="E17" s="341"/>
      <c r="F17" s="342">
        <f>SUMIF(72:72,E18,73:73)-SUMIF(72:72,C18,73:73)+100</f>
        <v>100</v>
      </c>
      <c r="G17" s="343"/>
      <c r="H17" s="344">
        <f>SUMIF(72:72,G18,73:73)-SUMIF(72:72,C18,73:73)+100</f>
        <v>100</v>
      </c>
      <c r="I17" s="341"/>
      <c r="J17" s="344">
        <f>SUMIF(72:72,I18,73:73)-SUMIF(72:72,C18,73:73)+100</f>
        <v>100</v>
      </c>
      <c r="K17" s="500"/>
      <c r="L17" s="3032"/>
      <c r="M17" s="3023"/>
      <c r="N17" s="3023"/>
      <c r="O17" s="3031"/>
      <c r="P17" s="3514"/>
      <c r="Q17" s="1334" t="str">
        <f>B17</f>
        <v>交通便捷度</v>
      </c>
      <c r="R17" s="631" t="s">
        <v>25</v>
      </c>
      <c r="S17" s="632">
        <f>F17</f>
        <v>100</v>
      </c>
      <c r="T17" s="631" t="s">
        <v>25</v>
      </c>
      <c r="U17" s="632">
        <f>H17</f>
        <v>100</v>
      </c>
      <c r="V17" s="631" t="s">
        <v>25</v>
      </c>
      <c r="W17" s="632">
        <f>J17</f>
        <v>100</v>
      </c>
      <c r="X17" s="1335"/>
      <c r="Y17" s="3514"/>
      <c r="Z17" s="1336" t="str">
        <f>Q17</f>
        <v>交通便捷度</v>
      </c>
      <c r="AA17" s="1337">
        <f t="shared" si="3"/>
        <v>1</v>
      </c>
      <c r="AB17" s="1337">
        <f t="shared" si="4"/>
        <v>1</v>
      </c>
      <c r="AC17" s="1337">
        <f t="shared" si="5"/>
        <v>1</v>
      </c>
    </row>
    <row r="18" spans="1:29" ht="15">
      <c r="A18" s="318"/>
      <c r="B18" s="345"/>
      <c r="C18" s="346"/>
      <c r="D18" s="339"/>
      <c r="E18" s="1131"/>
      <c r="F18" s="342"/>
      <c r="G18" s="1568"/>
      <c r="H18" s="336"/>
      <c r="I18" s="1131"/>
      <c r="J18" s="336"/>
      <c r="K18" s="501"/>
      <c r="L18" s="3032"/>
      <c r="M18" s="3023"/>
      <c r="N18" s="3023"/>
      <c r="O18" s="3031"/>
      <c r="P18" s="3514"/>
      <c r="Q18" s="1334"/>
      <c r="R18" s="631"/>
      <c r="S18" s="632"/>
      <c r="T18" s="631"/>
      <c r="U18" s="632"/>
      <c r="V18" s="631"/>
      <c r="W18" s="632"/>
      <c r="X18" s="1335"/>
      <c r="Y18" s="3514"/>
      <c r="Z18" s="1336"/>
      <c r="AA18" s="1337">
        <v>1</v>
      </c>
      <c r="AB18" s="1337">
        <v>1</v>
      </c>
      <c r="AC18" s="1337">
        <v>1</v>
      </c>
    </row>
    <row r="19" spans="1:29" ht="42.75">
      <c r="A19" s="318"/>
      <c r="B19" s="513" t="s">
        <v>2385</v>
      </c>
      <c r="C19" s="1567" t="str">
        <f>估价对象房地状况!G5</f>
        <v>估价对象所在区域公共配套设施齐备情况</v>
      </c>
      <c r="D19" s="344">
        <v>100</v>
      </c>
      <c r="E19" s="347"/>
      <c r="F19" s="348">
        <f>SUMIF(74:74,E20,75:75)-SUMIF(74:74,C20,75:75)+100</f>
        <v>100</v>
      </c>
      <c r="G19" s="349"/>
      <c r="H19" s="339">
        <f>SUMIF(74:74,G20,75:75)-SUMIF(74:74,C20,75:75)+100</f>
        <v>100</v>
      </c>
      <c r="I19" s="347"/>
      <c r="J19" s="339">
        <f>SUMIF(74:74,I20,75:75)-SUMIF(74:74,C20,75:75)+100</f>
        <v>100</v>
      </c>
      <c r="K19" s="500"/>
      <c r="L19" s="3032"/>
      <c r="M19" s="3023"/>
      <c r="N19" s="3023"/>
      <c r="O19" s="3031"/>
      <c r="P19" s="3514"/>
      <c r="Q19" s="1334" t="str">
        <f>B19</f>
        <v>公共配套设施</v>
      </c>
      <c r="R19" s="631" t="s">
        <v>25</v>
      </c>
      <c r="S19" s="632">
        <f>F19</f>
        <v>100</v>
      </c>
      <c r="T19" s="631" t="s">
        <v>25</v>
      </c>
      <c r="U19" s="632">
        <f>H19</f>
        <v>100</v>
      </c>
      <c r="V19" s="631" t="s">
        <v>25</v>
      </c>
      <c r="W19" s="632">
        <f>J19</f>
        <v>100</v>
      </c>
      <c r="X19" s="1335"/>
      <c r="Y19" s="3514"/>
      <c r="Z19" s="1336" t="str">
        <f>Q19</f>
        <v>公共配套设施</v>
      </c>
      <c r="AA19" s="1337">
        <f t="shared" si="3"/>
        <v>1</v>
      </c>
      <c r="AB19" s="1337">
        <f t="shared" si="4"/>
        <v>1</v>
      </c>
      <c r="AC19" s="1337">
        <f t="shared" si="5"/>
        <v>1</v>
      </c>
    </row>
    <row r="20" spans="1:29" ht="15">
      <c r="A20" s="318"/>
      <c r="B20" s="514"/>
      <c r="C20" s="335"/>
      <c r="D20" s="336"/>
      <c r="E20" s="337"/>
      <c r="F20" s="338"/>
      <c r="G20" s="1566"/>
      <c r="H20" s="336"/>
      <c r="I20" s="337"/>
      <c r="J20" s="336"/>
      <c r="K20" s="501"/>
      <c r="L20" s="3032"/>
      <c r="M20" s="3023"/>
      <c r="N20" s="3023"/>
      <c r="O20" s="3031"/>
      <c r="P20" s="3514"/>
      <c r="Q20" s="1334"/>
      <c r="R20" s="631"/>
      <c r="S20" s="632"/>
      <c r="T20" s="631"/>
      <c r="U20" s="632"/>
      <c r="V20" s="631"/>
      <c r="W20" s="632"/>
      <c r="X20" s="1335"/>
      <c r="Y20" s="3514"/>
      <c r="Z20" s="1336"/>
      <c r="AA20" s="1337">
        <v>1</v>
      </c>
      <c r="AB20" s="1337">
        <v>1</v>
      </c>
      <c r="AC20" s="1337">
        <v>1</v>
      </c>
    </row>
    <row r="21" spans="1:29" ht="28.5">
      <c r="A21" s="318"/>
      <c r="B21" s="515" t="s">
        <v>2386</v>
      </c>
      <c r="C21" s="1567" t="str">
        <f>估价对象房地状况!G6</f>
        <v>估价对象所在区域基础设施水平</v>
      </c>
      <c r="D21" s="344">
        <v>100</v>
      </c>
      <c r="E21" s="347"/>
      <c r="F21" s="348">
        <f>SUMIF(76:76,E22,77:77)-SUMIF(76:76,C22,77:77)+100</f>
        <v>100</v>
      </c>
      <c r="G21" s="349"/>
      <c r="H21" s="339">
        <f>SUMIF(76:76,G22,77:77)-SUMIF(76:76,C22,77:77)+100</f>
        <v>100</v>
      </c>
      <c r="I21" s="347"/>
      <c r="J21" s="339">
        <f>SUMIF(76:76,I22,77:77)-SUMIF(76:76,C22,77:77)+100</f>
        <v>100</v>
      </c>
      <c r="K21" s="500"/>
      <c r="L21" s="3032"/>
      <c r="M21" s="3023"/>
      <c r="N21" s="3023"/>
      <c r="O21" s="3031"/>
      <c r="P21" s="3514"/>
      <c r="Q21" s="1334" t="str">
        <f>B21</f>
        <v>基础设施水平</v>
      </c>
      <c r="R21" s="631" t="s">
        <v>25</v>
      </c>
      <c r="S21" s="632">
        <f>F21</f>
        <v>100</v>
      </c>
      <c r="T21" s="631" t="s">
        <v>25</v>
      </c>
      <c r="U21" s="632">
        <f>H21</f>
        <v>100</v>
      </c>
      <c r="V21" s="631" t="s">
        <v>25</v>
      </c>
      <c r="W21" s="632">
        <f>J21</f>
        <v>100</v>
      </c>
      <c r="X21" s="1335"/>
      <c r="Y21" s="3514"/>
      <c r="Z21" s="1336" t="str">
        <f>Q21</f>
        <v>基础设施水平</v>
      </c>
      <c r="AA21" s="1337">
        <f t="shared" ref="AA21" si="8">D21/F21</f>
        <v>1</v>
      </c>
      <c r="AB21" s="1337">
        <f t="shared" ref="AB21" si="9">D21/H21</f>
        <v>1</v>
      </c>
      <c r="AC21" s="1337">
        <f t="shared" ref="AC21" si="10">D21/J21</f>
        <v>1</v>
      </c>
    </row>
    <row r="22" spans="1:29" ht="15">
      <c r="A22" s="318"/>
      <c r="B22" s="1569"/>
      <c r="C22" s="346"/>
      <c r="D22" s="336"/>
      <c r="E22" s="335"/>
      <c r="F22" s="338"/>
      <c r="G22" s="335"/>
      <c r="H22" s="336"/>
      <c r="I22" s="335"/>
      <c r="J22" s="336"/>
      <c r="K22" s="1132"/>
      <c r="L22" s="3032"/>
      <c r="M22" s="3023"/>
      <c r="N22" s="3023"/>
      <c r="O22" s="3031"/>
      <c r="P22" s="3514"/>
      <c r="Q22" s="1334"/>
      <c r="R22" s="631"/>
      <c r="S22" s="632"/>
      <c r="T22" s="631"/>
      <c r="U22" s="632"/>
      <c r="V22" s="631"/>
      <c r="W22" s="632"/>
      <c r="X22" s="1335"/>
      <c r="Y22" s="3514"/>
      <c r="Z22" s="1336"/>
      <c r="AA22" s="1337">
        <v>1</v>
      </c>
      <c r="AB22" s="1337">
        <v>1</v>
      </c>
      <c r="AC22" s="1337">
        <v>1</v>
      </c>
    </row>
    <row r="23" spans="1:29" ht="71.25">
      <c r="A23" s="318"/>
      <c r="B23" s="340" t="s">
        <v>2387</v>
      </c>
      <c r="C23" s="1567" t="str">
        <f>估价对象房地状况!G7</f>
        <v>该园区内是否有污染型企业，绿化情况，卫生条件，整体环境状况判断</v>
      </c>
      <c r="D23" s="339">
        <v>100</v>
      </c>
      <c r="E23" s="341"/>
      <c r="F23" s="342">
        <f>SUMIF(78:78,E24,79:79)-SUMIF(78:78,C24,79:79)+100</f>
        <v>100</v>
      </c>
      <c r="G23" s="343"/>
      <c r="H23" s="339">
        <f>SUMIF(78:78,G24,79:79)-SUMIF(78:78,C24,79:79)+100</f>
        <v>100</v>
      </c>
      <c r="I23" s="341"/>
      <c r="J23" s="339">
        <f>SUMIF(78:78,I24,79:79)-SUMIF(78:78,C24,79:79)+100</f>
        <v>100</v>
      </c>
      <c r="K23" s="500"/>
      <c r="L23" s="3032"/>
      <c r="M23" s="3023"/>
      <c r="N23" s="3023"/>
      <c r="O23" s="3031"/>
      <c r="P23" s="3514"/>
      <c r="Q23" s="1334" t="str">
        <f>B23</f>
        <v>环境质量</v>
      </c>
      <c r="R23" s="631" t="s">
        <v>25</v>
      </c>
      <c r="S23" s="632">
        <f>F23</f>
        <v>100</v>
      </c>
      <c r="T23" s="631" t="s">
        <v>25</v>
      </c>
      <c r="U23" s="632">
        <f>H23</f>
        <v>100</v>
      </c>
      <c r="V23" s="631" t="s">
        <v>25</v>
      </c>
      <c r="W23" s="632">
        <f>J23</f>
        <v>100</v>
      </c>
      <c r="X23" s="1335"/>
      <c r="Y23" s="3514"/>
      <c r="Z23" s="1336" t="str">
        <f>Q23</f>
        <v>环境质量</v>
      </c>
      <c r="AA23" s="1337">
        <f t="shared" si="3"/>
        <v>1</v>
      </c>
      <c r="AB23" s="1337">
        <f t="shared" si="4"/>
        <v>1</v>
      </c>
      <c r="AC23" s="1337">
        <f t="shared" si="5"/>
        <v>1</v>
      </c>
    </row>
    <row r="24" spans="1:29" ht="15">
      <c r="A24" s="318"/>
      <c r="B24" s="1569"/>
      <c r="C24" s="335"/>
      <c r="D24" s="336"/>
      <c r="E24" s="337"/>
      <c r="F24" s="338"/>
      <c r="G24" s="1566"/>
      <c r="H24" s="336"/>
      <c r="I24" s="337"/>
      <c r="J24" s="336"/>
      <c r="K24" s="501"/>
      <c r="L24" s="3032"/>
      <c r="M24" s="3023"/>
      <c r="N24" s="3023"/>
      <c r="O24" s="3031"/>
      <c r="P24" s="3514"/>
      <c r="Q24" s="1334"/>
      <c r="R24" s="631"/>
      <c r="S24" s="632"/>
      <c r="T24" s="631"/>
      <c r="U24" s="632"/>
      <c r="V24" s="631"/>
      <c r="W24" s="632"/>
      <c r="X24" s="1335"/>
      <c r="Y24" s="3514"/>
      <c r="Z24" s="1336"/>
      <c r="AA24" s="1337">
        <v>1</v>
      </c>
      <c r="AB24" s="1337">
        <v>1</v>
      </c>
      <c r="AC24" s="1337">
        <v>1</v>
      </c>
    </row>
    <row r="25" spans="1:29" ht="15">
      <c r="A25" s="297"/>
      <c r="B25" s="1571">
        <v>111</v>
      </c>
      <c r="C25" s="324"/>
      <c r="D25" s="325">
        <v>100</v>
      </c>
      <c r="E25" s="324"/>
      <c r="F25" s="351">
        <f>SUMIF(80:80,E25,81:81)-SUMIF(80:80,C25,81:81)+100</f>
        <v>100</v>
      </c>
      <c r="G25" s="324"/>
      <c r="H25" s="325">
        <f>SUMIF(80:80,G25,81:81)-SUMIF(80:80,C25,81:81)+100</f>
        <v>100</v>
      </c>
      <c r="I25" s="324"/>
      <c r="J25" s="325">
        <f>SUMIF(80:80,I25,81:81)-SUMIF(80:80,C25,81:81)+100</f>
        <v>100</v>
      </c>
      <c r="K25" s="499"/>
      <c r="L25" s="3032"/>
      <c r="M25" s="3023"/>
      <c r="N25" s="3023"/>
      <c r="O25" s="3031"/>
      <c r="P25" s="3514"/>
      <c r="Q25" s="1334">
        <f>B25</f>
        <v>111</v>
      </c>
      <c r="R25" s="631" t="s">
        <v>25</v>
      </c>
      <c r="S25" s="632">
        <f>F25</f>
        <v>100</v>
      </c>
      <c r="T25" s="631" t="s">
        <v>25</v>
      </c>
      <c r="U25" s="632">
        <f>H25</f>
        <v>100</v>
      </c>
      <c r="V25" s="631" t="s">
        <v>25</v>
      </c>
      <c r="W25" s="632">
        <f>J25</f>
        <v>100</v>
      </c>
      <c r="X25" s="1335"/>
      <c r="Y25" s="3514"/>
      <c r="Z25" s="1336">
        <f>Q25</f>
        <v>111</v>
      </c>
      <c r="AA25" s="1337">
        <f t="shared" si="3"/>
        <v>1</v>
      </c>
      <c r="AB25" s="1337">
        <f t="shared" si="4"/>
        <v>1</v>
      </c>
      <c r="AC25" s="1337">
        <f t="shared" si="5"/>
        <v>1</v>
      </c>
    </row>
    <row r="26" spans="1:29" ht="15">
      <c r="A26" s="318"/>
      <c r="B26" s="1571">
        <v>111</v>
      </c>
      <c r="C26" s="324"/>
      <c r="D26" s="325">
        <v>100</v>
      </c>
      <c r="E26" s="324"/>
      <c r="F26" s="351">
        <f>SUMIF(82:82,E26,83:83)-SUMIF(82:82,C26,83:83)+100</f>
        <v>100</v>
      </c>
      <c r="G26" s="324"/>
      <c r="H26" s="325">
        <f>SUMIF(82:82,G26,83:83)-SUMIF(82:82,C26,83:83)+100</f>
        <v>100</v>
      </c>
      <c r="I26" s="324"/>
      <c r="J26" s="325">
        <f>SUMIF(82:82,I26,83:83)-SUMIF(82:82,C26,83:83)+100</f>
        <v>100</v>
      </c>
      <c r="K26" s="499"/>
      <c r="L26" s="3032"/>
      <c r="M26" s="3023"/>
      <c r="N26" s="3023"/>
      <c r="O26" s="3031"/>
      <c r="P26" s="3514"/>
      <c r="Q26" s="1334">
        <f t="shared" ref="Q26:Q40" si="11">B26</f>
        <v>111</v>
      </c>
      <c r="R26" s="631" t="s">
        <v>25</v>
      </c>
      <c r="S26" s="632">
        <f>F26</f>
        <v>100</v>
      </c>
      <c r="T26" s="631" t="s">
        <v>25</v>
      </c>
      <c r="U26" s="632">
        <f>H26</f>
        <v>100</v>
      </c>
      <c r="V26" s="631" t="s">
        <v>25</v>
      </c>
      <c r="W26" s="632">
        <f>J26</f>
        <v>100</v>
      </c>
      <c r="X26" s="1335"/>
      <c r="Y26" s="3514"/>
      <c r="Z26" s="1336">
        <f>Q26</f>
        <v>111</v>
      </c>
      <c r="AA26" s="1337">
        <f t="shared" si="3"/>
        <v>1</v>
      </c>
      <c r="AB26" s="1337">
        <f t="shared" si="4"/>
        <v>1</v>
      </c>
      <c r="AC26" s="1337">
        <f t="shared" si="5"/>
        <v>1</v>
      </c>
    </row>
    <row r="27" spans="1:29" s="25" customFormat="1" ht="15">
      <c r="A27" s="321"/>
      <c r="B27" s="1571">
        <v>111</v>
      </c>
      <c r="C27" s="324"/>
      <c r="D27" s="352">
        <v>100</v>
      </c>
      <c r="E27" s="324"/>
      <c r="F27" s="353">
        <f>SUMIF(84:84,E27,85:85)-SUMIF(84:84,C27,85:85)+100</f>
        <v>100</v>
      </c>
      <c r="G27" s="324"/>
      <c r="H27" s="352">
        <f>SUMIF(84:84,G27,85:85)-SUMIF(84:84,C27,85:85)+100</f>
        <v>100</v>
      </c>
      <c r="I27" s="324"/>
      <c r="J27" s="352">
        <f>SUMIF(84:84,I27,85:85)-SUMIF(84:84,C27,85:85)+100</f>
        <v>100</v>
      </c>
      <c r="K27" s="499"/>
      <c r="L27" s="3024"/>
      <c r="M27" s="3025"/>
      <c r="N27" s="3025"/>
      <c r="O27" s="3026"/>
      <c r="P27" s="3514"/>
      <c r="Q27" s="1327">
        <f t="shared" si="11"/>
        <v>111</v>
      </c>
      <c r="R27" s="627" t="s">
        <v>25</v>
      </c>
      <c r="S27" s="628">
        <f>F27</f>
        <v>100</v>
      </c>
      <c r="T27" s="627" t="s">
        <v>25</v>
      </c>
      <c r="U27" s="628">
        <f>H27</f>
        <v>100</v>
      </c>
      <c r="V27" s="627" t="s">
        <v>25</v>
      </c>
      <c r="W27" s="628">
        <f>J27</f>
        <v>100</v>
      </c>
      <c r="X27" s="629"/>
      <c r="Y27" s="3514"/>
      <c r="Z27" s="19">
        <f>Q27</f>
        <v>111</v>
      </c>
      <c r="AA27" s="1337">
        <f>D27/F27</f>
        <v>1</v>
      </c>
      <c r="AB27" s="1337">
        <f>D27/H27</f>
        <v>1</v>
      </c>
      <c r="AC27" s="1337">
        <f>D27/J27</f>
        <v>1</v>
      </c>
    </row>
    <row r="28" spans="1:29" ht="15.75" thickBot="1">
      <c r="A28" s="326"/>
      <c r="B28" s="1571">
        <v>111</v>
      </c>
      <c r="C28" s="1565"/>
      <c r="D28" s="327">
        <v>100</v>
      </c>
      <c r="E28" s="324"/>
      <c r="F28" s="328">
        <f>SUMIF(86:86,E28,87:87)-SUMIF(86:86,C28,87:87)+100</f>
        <v>100</v>
      </c>
      <c r="G28" s="357"/>
      <c r="H28" s="327">
        <f>SUMIF(86:86,G28,87:87)-SUMIF(86:86,C28,87:87)+100</f>
        <v>100</v>
      </c>
      <c r="I28" s="357"/>
      <c r="J28" s="327">
        <f>SUMIF(86:86,I28,87:87)-SUMIF(86:86,C28,87:87)+100</f>
        <v>100</v>
      </c>
      <c r="K28" s="499"/>
      <c r="L28" s="3032"/>
      <c r="M28" s="3023"/>
      <c r="N28" s="3023"/>
      <c r="O28" s="3031"/>
      <c r="P28" s="3514"/>
      <c r="Q28" s="1334">
        <f t="shared" si="11"/>
        <v>111</v>
      </c>
      <c r="R28" s="631" t="s">
        <v>25</v>
      </c>
      <c r="S28" s="632">
        <f t="shared" ref="S28:S40" si="12">F28</f>
        <v>100</v>
      </c>
      <c r="T28" s="631" t="s">
        <v>25</v>
      </c>
      <c r="U28" s="632">
        <f t="shared" ref="U28:U40" si="13">H28</f>
        <v>100</v>
      </c>
      <c r="V28" s="631" t="s">
        <v>25</v>
      </c>
      <c r="W28" s="632">
        <f t="shared" ref="W28:W40" si="14">J28</f>
        <v>100</v>
      </c>
      <c r="X28" s="1335"/>
      <c r="Y28" s="3514"/>
      <c r="Z28" s="1336">
        <f t="shared" ref="Z28:Z40" si="15">Q28</f>
        <v>111</v>
      </c>
      <c r="AA28" s="1337">
        <f t="shared" si="3"/>
        <v>1</v>
      </c>
      <c r="AB28" s="1337">
        <f t="shared" si="4"/>
        <v>1</v>
      </c>
      <c r="AC28" s="1337">
        <f t="shared" si="5"/>
        <v>1</v>
      </c>
    </row>
    <row r="29" spans="1:29" ht="28.5">
      <c r="A29" s="354" t="s">
        <v>2274</v>
      </c>
      <c r="B29" s="24" t="s">
        <v>2390</v>
      </c>
      <c r="C29" s="1577"/>
      <c r="D29" s="355">
        <v>100</v>
      </c>
      <c r="E29" s="1577"/>
      <c r="F29" s="351">
        <f>SUMIF(88:88,E29,89:89)-SUMIF(88:88,C29,89:89)+100</f>
        <v>100</v>
      </c>
      <c r="G29" s="1577"/>
      <c r="H29" s="325">
        <f>SUMIF(88:88,G29,89:89)-SUMIF(88:88,C29,89:89)+100</f>
        <v>100</v>
      </c>
      <c r="I29" s="1577"/>
      <c r="J29" s="355">
        <f>SUMIF(88:88,I29,89:89)-SUMIF(88:88,C29,89:89)+100</f>
        <v>100</v>
      </c>
      <c r="K29" s="498"/>
      <c r="L29" s="3032"/>
      <c r="M29" s="3023"/>
      <c r="N29" s="3023"/>
      <c r="O29" s="3031"/>
      <c r="P29" s="3501" t="s">
        <v>2276</v>
      </c>
      <c r="Q29" s="1334" t="str">
        <f t="shared" si="11"/>
        <v>建筑类型</v>
      </c>
      <c r="R29" s="631" t="s">
        <v>25</v>
      </c>
      <c r="S29" s="632">
        <f t="shared" si="12"/>
        <v>100</v>
      </c>
      <c r="T29" s="631" t="s">
        <v>25</v>
      </c>
      <c r="U29" s="632">
        <f t="shared" si="13"/>
        <v>100</v>
      </c>
      <c r="V29" s="631" t="s">
        <v>25</v>
      </c>
      <c r="W29" s="632">
        <f t="shared" si="14"/>
        <v>100</v>
      </c>
      <c r="X29" s="1335"/>
      <c r="Y29" s="3502" t="s">
        <v>2276</v>
      </c>
      <c r="Z29" s="1336" t="str">
        <f t="shared" si="15"/>
        <v>建筑类型</v>
      </c>
      <c r="AA29" s="1337">
        <f t="shared" si="3"/>
        <v>1</v>
      </c>
      <c r="AB29" s="1337">
        <f t="shared" si="4"/>
        <v>1</v>
      </c>
      <c r="AC29" s="1337">
        <f t="shared" si="5"/>
        <v>1</v>
      </c>
    </row>
    <row r="30" spans="1:29" s="359" customFormat="1" ht="15">
      <c r="A30" s="356"/>
      <c r="B30" s="313" t="s">
        <v>2277</v>
      </c>
      <c r="C30" s="357"/>
      <c r="D30" s="29">
        <v>100</v>
      </c>
      <c r="E30" s="320"/>
      <c r="F30" s="316" t="e">
        <f>LOOKUP(E30,91:91,92:92)-LOOKUP(C30,91:91,92:92)+100</f>
        <v>#N/A</v>
      </c>
      <c r="G30" s="319"/>
      <c r="H30" s="29" t="e">
        <f>LOOKUP(G30,91:91,92:92)-LOOKUP(C30,91:91,92:92)+100</f>
        <v>#N/A</v>
      </c>
      <c r="I30" s="319"/>
      <c r="J30" s="29" t="e">
        <f>LOOKUP(I30,91:91,92:92)-LOOKUP(C30,91:91,92:92)+100</f>
        <v>#N/A</v>
      </c>
      <c r="K30" s="499"/>
      <c r="L30" s="3030"/>
      <c r="M30" s="358"/>
      <c r="N30" s="358"/>
      <c r="O30" s="3033"/>
      <c r="P30" s="3502"/>
      <c r="Q30" s="633" t="str">
        <f t="shared" si="11"/>
        <v>项目建筑规模</v>
      </c>
      <c r="R30" s="634" t="s">
        <v>25</v>
      </c>
      <c r="S30" s="635" t="e">
        <f t="shared" si="12"/>
        <v>#N/A</v>
      </c>
      <c r="T30" s="634" t="s">
        <v>25</v>
      </c>
      <c r="U30" s="635" t="e">
        <f t="shared" si="13"/>
        <v>#N/A</v>
      </c>
      <c r="V30" s="634" t="s">
        <v>25</v>
      </c>
      <c r="W30" s="635" t="e">
        <f t="shared" si="14"/>
        <v>#N/A</v>
      </c>
      <c r="X30" s="636"/>
      <c r="Y30" s="3502"/>
      <c r="Z30" s="637" t="str">
        <f t="shared" si="15"/>
        <v>项目建筑规模</v>
      </c>
      <c r="AA30" s="1337" t="e">
        <f t="shared" si="3"/>
        <v>#N/A</v>
      </c>
      <c r="AB30" s="1337" t="e">
        <f t="shared" si="4"/>
        <v>#N/A</v>
      </c>
      <c r="AC30" s="1337" t="e">
        <f t="shared" si="5"/>
        <v>#N/A</v>
      </c>
    </row>
    <row r="31" spans="1:29" ht="15">
      <c r="A31" s="360"/>
      <c r="B31" s="313" t="s">
        <v>2278</v>
      </c>
      <c r="C31" s="350"/>
      <c r="D31" s="325">
        <v>100</v>
      </c>
      <c r="E31" s="350"/>
      <c r="F31" s="351">
        <f>SUMIF(93:93,E31,94:94)-SUMIF(93:93,C31,94:94)+100</f>
        <v>100</v>
      </c>
      <c r="G31" s="350"/>
      <c r="H31" s="325">
        <f>SUMIF(93:93,G31,94:94)-SUMIF(93:93,C31,94:94)+100</f>
        <v>100</v>
      </c>
      <c r="I31" s="350"/>
      <c r="J31" s="325">
        <f>SUMIF(93:93,I31,94:94)-SUMIF(93:93,C31,94:94)+100</f>
        <v>100</v>
      </c>
      <c r="K31" s="498"/>
      <c r="L31" s="3032"/>
      <c r="M31" s="3023"/>
      <c r="N31" s="3023"/>
      <c r="O31" s="3031"/>
      <c r="P31" s="3502"/>
      <c r="Q31" s="1334" t="str">
        <f t="shared" si="11"/>
        <v>建筑结构</v>
      </c>
      <c r="R31" s="631" t="s">
        <v>25</v>
      </c>
      <c r="S31" s="632">
        <f t="shared" si="12"/>
        <v>100</v>
      </c>
      <c r="T31" s="631" t="s">
        <v>25</v>
      </c>
      <c r="U31" s="632">
        <f t="shared" si="13"/>
        <v>100</v>
      </c>
      <c r="V31" s="631" t="s">
        <v>25</v>
      </c>
      <c r="W31" s="632">
        <f t="shared" si="14"/>
        <v>100</v>
      </c>
      <c r="X31" s="1335"/>
      <c r="Y31" s="3502"/>
      <c r="Z31" s="1336" t="str">
        <f t="shared" si="15"/>
        <v>建筑结构</v>
      </c>
      <c r="AA31" s="1337">
        <f t="shared" si="3"/>
        <v>1</v>
      </c>
      <c r="AB31" s="1337">
        <f t="shared" si="4"/>
        <v>1</v>
      </c>
      <c r="AC31" s="1337">
        <f t="shared" si="5"/>
        <v>1</v>
      </c>
    </row>
    <row r="32" spans="1:29" ht="15">
      <c r="A32" s="360"/>
      <c r="B32" s="313" t="s">
        <v>2363</v>
      </c>
      <c r="C32" s="350"/>
      <c r="D32" s="325">
        <v>100</v>
      </c>
      <c r="E32" s="350"/>
      <c r="F32" s="351">
        <f>SUMIF(95:95,E32,96:96)-SUMIF(95:95,C32,96:96)+100</f>
        <v>100</v>
      </c>
      <c r="G32" s="350"/>
      <c r="H32" s="325">
        <f>SUMIF(95:95,G32,96:96)-SUMIF(95:95,C32,96:96)+100</f>
        <v>100</v>
      </c>
      <c r="I32" s="350"/>
      <c r="J32" s="325">
        <f>SUMIF(95:95,I32,96:96)-SUMIF(95:95,C32,96:96)+100</f>
        <v>100</v>
      </c>
      <c r="K32" s="498"/>
      <c r="L32" s="3032"/>
      <c r="M32" s="3023"/>
      <c r="N32" s="3023"/>
      <c r="O32" s="3031"/>
      <c r="P32" s="3502"/>
      <c r="Q32" s="1334" t="str">
        <f t="shared" si="11"/>
        <v>公共部分装修</v>
      </c>
      <c r="R32" s="631" t="s">
        <v>25</v>
      </c>
      <c r="S32" s="632">
        <f t="shared" si="12"/>
        <v>100</v>
      </c>
      <c r="T32" s="631" t="s">
        <v>25</v>
      </c>
      <c r="U32" s="632">
        <f t="shared" si="13"/>
        <v>100</v>
      </c>
      <c r="V32" s="631" t="s">
        <v>25</v>
      </c>
      <c r="W32" s="632">
        <f t="shared" si="14"/>
        <v>100</v>
      </c>
      <c r="X32" s="1335"/>
      <c r="Y32" s="3502"/>
      <c r="Z32" s="1336" t="str">
        <f t="shared" si="15"/>
        <v>公共部分装修</v>
      </c>
      <c r="AA32" s="1337">
        <f t="shared" si="3"/>
        <v>1</v>
      </c>
      <c r="AB32" s="1337">
        <f t="shared" si="4"/>
        <v>1</v>
      </c>
      <c r="AC32" s="1337">
        <f t="shared" si="5"/>
        <v>1</v>
      </c>
    </row>
    <row r="33" spans="1:29" ht="15">
      <c r="A33" s="360"/>
      <c r="B33" s="313" t="s">
        <v>2364</v>
      </c>
      <c r="C33" s="357"/>
      <c r="D33" s="325">
        <v>100</v>
      </c>
      <c r="E33" s="362"/>
      <c r="F33" s="351" t="e">
        <f>LOOKUP(E33,98:98,99:99)-LOOKUP(C33,98:98,99:99)+100</f>
        <v>#N/A</v>
      </c>
      <c r="G33" s="362"/>
      <c r="H33" s="351" t="e">
        <f>LOOKUP(G33,98:98,99:99)-LOOKUP(C33,98:98,99:99)+100</f>
        <v>#N/A</v>
      </c>
      <c r="I33" s="362"/>
      <c r="J33" s="325" t="e">
        <f>LOOKUP(I33,98:98,99:99)-LOOKUP(C33,98:98,99:99)+100</f>
        <v>#N/A</v>
      </c>
      <c r="K33" s="498"/>
      <c r="L33" s="3032"/>
      <c r="M33" s="3023"/>
      <c r="N33" s="3023"/>
      <c r="O33" s="3031"/>
      <c r="P33" s="3502"/>
      <c r="Q33" s="1334" t="str">
        <f t="shared" si="11"/>
        <v>成新度</v>
      </c>
      <c r="R33" s="631" t="s">
        <v>25</v>
      </c>
      <c r="S33" s="632" t="e">
        <f t="shared" si="12"/>
        <v>#N/A</v>
      </c>
      <c r="T33" s="631" t="s">
        <v>25</v>
      </c>
      <c r="U33" s="632" t="e">
        <f t="shared" si="13"/>
        <v>#N/A</v>
      </c>
      <c r="V33" s="631" t="s">
        <v>25</v>
      </c>
      <c r="W33" s="632" t="e">
        <f t="shared" si="14"/>
        <v>#N/A</v>
      </c>
      <c r="X33" s="1335"/>
      <c r="Y33" s="3502"/>
      <c r="Z33" s="1336" t="str">
        <f t="shared" si="15"/>
        <v>成新度</v>
      </c>
      <c r="AA33" s="1337" t="e">
        <f t="shared" si="3"/>
        <v>#N/A</v>
      </c>
      <c r="AB33" s="1337" t="e">
        <f t="shared" si="4"/>
        <v>#N/A</v>
      </c>
      <c r="AC33" s="1337" t="e">
        <f t="shared" si="5"/>
        <v>#N/A</v>
      </c>
    </row>
    <row r="34" spans="1:29" s="25" customFormat="1" ht="15">
      <c r="A34" s="361"/>
      <c r="B34" s="313" t="s">
        <v>2392</v>
      </c>
      <c r="C34" s="350"/>
      <c r="D34" s="29">
        <v>100</v>
      </c>
      <c r="E34" s="350"/>
      <c r="F34" s="351">
        <f>SUMIF(100:100,E34,101:101)-SUMIF(100:100,C34,101:101)+100</f>
        <v>100</v>
      </c>
      <c r="G34" s="350"/>
      <c r="H34" s="325">
        <f>SUMIF(100:100,G34,101:101)-SUMIF(100:100,C34,101:101)+100</f>
        <v>100</v>
      </c>
      <c r="I34" s="350"/>
      <c r="J34" s="325">
        <f>SUMIF(100:100,I34,101:101)-SUMIF(100:100,C34,101:101)+100</f>
        <v>100</v>
      </c>
      <c r="K34" s="498"/>
      <c r="L34" s="3024"/>
      <c r="M34" s="3025"/>
      <c r="N34" s="3025"/>
      <c r="O34" s="3026"/>
      <c r="P34" s="3502"/>
      <c r="Q34" s="1327" t="str">
        <f t="shared" si="11"/>
        <v>物业管理</v>
      </c>
      <c r="R34" s="627" t="s">
        <v>25</v>
      </c>
      <c r="S34" s="628">
        <f t="shared" si="12"/>
        <v>100</v>
      </c>
      <c r="T34" s="627" t="s">
        <v>25</v>
      </c>
      <c r="U34" s="628">
        <f t="shared" si="13"/>
        <v>100</v>
      </c>
      <c r="V34" s="627" t="s">
        <v>25</v>
      </c>
      <c r="W34" s="628">
        <f t="shared" si="14"/>
        <v>100</v>
      </c>
      <c r="X34" s="629"/>
      <c r="Y34" s="3502"/>
      <c r="Z34" s="19" t="str">
        <f t="shared" si="15"/>
        <v>物业管理</v>
      </c>
      <c r="AA34" s="630">
        <f t="shared" si="3"/>
        <v>1</v>
      </c>
      <c r="AB34" s="630">
        <f t="shared" si="4"/>
        <v>1</v>
      </c>
      <c r="AC34" s="630">
        <f t="shared" si="5"/>
        <v>1</v>
      </c>
    </row>
    <row r="35" spans="1:29" ht="15">
      <c r="A35" s="360"/>
      <c r="B35" s="313" t="s">
        <v>2365</v>
      </c>
      <c r="C35" s="350"/>
      <c r="D35" s="325">
        <v>100</v>
      </c>
      <c r="E35" s="350"/>
      <c r="F35" s="351">
        <f>SUMIF(102:102,E35,103:103)-SUMIF(102:102,C35,103:103)+100</f>
        <v>100</v>
      </c>
      <c r="G35" s="350"/>
      <c r="H35" s="325">
        <f>SUMIF(102:102,G35,103:103)-SUMIF(102:102,C35,103:103)+100</f>
        <v>100</v>
      </c>
      <c r="I35" s="350"/>
      <c r="J35" s="325">
        <f>SUMIF(102:102,I35,103:103)-SUMIF(102:102,C35,103:103)+100</f>
        <v>100</v>
      </c>
      <c r="K35" s="498"/>
      <c r="L35" s="3032"/>
      <c r="M35" s="3023"/>
      <c r="N35" s="3023"/>
      <c r="O35" s="3031"/>
      <c r="P35" s="3502" t="s">
        <v>2276</v>
      </c>
      <c r="Q35" s="1334" t="str">
        <f t="shared" si="11"/>
        <v>市政基础设施</v>
      </c>
      <c r="R35" s="631" t="s">
        <v>25</v>
      </c>
      <c r="S35" s="632">
        <f t="shared" si="12"/>
        <v>100</v>
      </c>
      <c r="T35" s="631" t="s">
        <v>25</v>
      </c>
      <c r="U35" s="632">
        <f t="shared" si="13"/>
        <v>100</v>
      </c>
      <c r="V35" s="631" t="s">
        <v>25</v>
      </c>
      <c r="W35" s="632">
        <f t="shared" si="14"/>
        <v>100</v>
      </c>
      <c r="X35" s="1335"/>
      <c r="Y35" s="3502" t="s">
        <v>2276</v>
      </c>
      <c r="Z35" s="1336" t="str">
        <f t="shared" si="15"/>
        <v>市政基础设施</v>
      </c>
      <c r="AA35" s="1337">
        <f t="shared" si="3"/>
        <v>1</v>
      </c>
      <c r="AB35" s="1337">
        <f t="shared" si="4"/>
        <v>1</v>
      </c>
      <c r="AC35" s="1337">
        <f t="shared" si="5"/>
        <v>1</v>
      </c>
    </row>
    <row r="36" spans="1:29" ht="15">
      <c r="A36" s="360"/>
      <c r="B36" s="313" t="s">
        <v>2370</v>
      </c>
      <c r="C36" s="350"/>
      <c r="D36" s="325">
        <v>100</v>
      </c>
      <c r="E36" s="350"/>
      <c r="F36" s="351">
        <f>SUMIF(104:104,E36,105:105)-SUMIF(104:104,C36,105:105)+100</f>
        <v>100</v>
      </c>
      <c r="G36" s="350"/>
      <c r="H36" s="325">
        <f>SUMIF(104:104,G36,105:105)-SUMIF(104:104,C36,105:105)+100</f>
        <v>100</v>
      </c>
      <c r="I36" s="350"/>
      <c r="J36" s="325">
        <f>SUMIF(104:104,I36,105:105)-SUMIF(104:104,C36,105:105)+100</f>
        <v>100</v>
      </c>
      <c r="K36" s="498"/>
      <c r="L36" s="3032"/>
      <c r="M36" s="3023"/>
      <c r="N36" s="3023"/>
      <c r="O36" s="3031"/>
      <c r="P36" s="3502"/>
      <c r="Q36" s="1334" t="str">
        <f t="shared" si="11"/>
        <v>内部装修</v>
      </c>
      <c r="R36" s="631" t="s">
        <v>25</v>
      </c>
      <c r="S36" s="632">
        <f t="shared" si="12"/>
        <v>100</v>
      </c>
      <c r="T36" s="631" t="s">
        <v>25</v>
      </c>
      <c r="U36" s="632">
        <f t="shared" si="13"/>
        <v>100</v>
      </c>
      <c r="V36" s="631" t="s">
        <v>25</v>
      </c>
      <c r="W36" s="632">
        <f t="shared" si="14"/>
        <v>100</v>
      </c>
      <c r="X36" s="1335"/>
      <c r="Y36" s="3502"/>
      <c r="Z36" s="1336" t="str">
        <f t="shared" si="15"/>
        <v>内部装修</v>
      </c>
      <c r="AA36" s="1337">
        <f t="shared" si="3"/>
        <v>1</v>
      </c>
      <c r="AB36" s="1337">
        <f t="shared" si="4"/>
        <v>1</v>
      </c>
      <c r="AC36" s="1337">
        <f t="shared" si="5"/>
        <v>1</v>
      </c>
    </row>
    <row r="37" spans="1:29" ht="15">
      <c r="A37" s="360"/>
      <c r="B37" s="313" t="s">
        <v>2402</v>
      </c>
      <c r="C37" s="502"/>
      <c r="D37" s="325">
        <v>100</v>
      </c>
      <c r="E37" s="502"/>
      <c r="F37" s="351">
        <f>SUMIF(106:106,E37,107:107)-SUMIF(106:106,C37,107:107)+100</f>
        <v>100</v>
      </c>
      <c r="G37" s="502"/>
      <c r="H37" s="325">
        <f>SUMIF(106:106,G37,107:107)-SUMIF(106:106,C37,107:107)+100</f>
        <v>100</v>
      </c>
      <c r="I37" s="502"/>
      <c r="J37" s="325">
        <f>SUMIF(106:106,I37,107:107)-SUMIF(106:106,C37,107:107)+100</f>
        <v>100</v>
      </c>
      <c r="K37" s="498"/>
      <c r="L37" s="3032"/>
      <c r="M37" s="3023"/>
      <c r="N37" s="3023"/>
      <c r="O37" s="3031"/>
      <c r="P37" s="3502"/>
      <c r="Q37" s="1334" t="str">
        <f t="shared" si="11"/>
        <v>内部装修状况</v>
      </c>
      <c r="R37" s="631" t="s">
        <v>25</v>
      </c>
      <c r="S37" s="632">
        <f t="shared" si="12"/>
        <v>100</v>
      </c>
      <c r="T37" s="631" t="s">
        <v>25</v>
      </c>
      <c r="U37" s="632">
        <f t="shared" si="13"/>
        <v>100</v>
      </c>
      <c r="V37" s="631" t="s">
        <v>25</v>
      </c>
      <c r="W37" s="632">
        <f t="shared" si="14"/>
        <v>100</v>
      </c>
      <c r="X37" s="1335"/>
      <c r="Y37" s="3502"/>
      <c r="Z37" s="1336" t="str">
        <f t="shared" si="15"/>
        <v>内部装修状况</v>
      </c>
      <c r="AA37" s="1337">
        <f t="shared" si="3"/>
        <v>1</v>
      </c>
      <c r="AB37" s="1337">
        <f t="shared" si="4"/>
        <v>1</v>
      </c>
      <c r="AC37" s="1337">
        <f t="shared" si="5"/>
        <v>1</v>
      </c>
    </row>
    <row r="38" spans="1:29" s="359" customFormat="1" ht="15">
      <c r="A38" s="356"/>
      <c r="B38" s="1571">
        <v>111</v>
      </c>
      <c r="C38" s="357">
        <v>111</v>
      </c>
      <c r="D38" s="325">
        <v>100</v>
      </c>
      <c r="E38" s="324"/>
      <c r="F38" s="351">
        <f>SUMIF(108:108,E38,109:109)-SUMIF(108:108,C38,109:109)+100</f>
        <v>100</v>
      </c>
      <c r="G38" s="357"/>
      <c r="H38" s="325">
        <f>SUMIF(108:108,G38,109:109)-SUMIF(108:108,C38,109:109)+100</f>
        <v>100</v>
      </c>
      <c r="I38" s="357"/>
      <c r="J38" s="325">
        <f>SUMIF(108:108,I38,109:1038)-SUMIF(108:108,C38,109:109)+100</f>
        <v>100</v>
      </c>
      <c r="K38" s="499"/>
      <c r="L38" s="3030"/>
      <c r="M38" s="358"/>
      <c r="N38" s="358"/>
      <c r="O38" s="3033"/>
      <c r="P38" s="3502"/>
      <c r="Q38" s="633">
        <f t="shared" si="11"/>
        <v>111</v>
      </c>
      <c r="R38" s="634" t="s">
        <v>25</v>
      </c>
      <c r="S38" s="635">
        <f t="shared" si="12"/>
        <v>100</v>
      </c>
      <c r="T38" s="634" t="s">
        <v>25</v>
      </c>
      <c r="U38" s="635">
        <f t="shared" si="13"/>
        <v>100</v>
      </c>
      <c r="V38" s="634" t="s">
        <v>25</v>
      </c>
      <c r="W38" s="635">
        <f t="shared" si="14"/>
        <v>100</v>
      </c>
      <c r="X38" s="636"/>
      <c r="Y38" s="3502"/>
      <c r="Z38" s="637">
        <f t="shared" si="15"/>
        <v>111</v>
      </c>
      <c r="AA38" s="1337">
        <f t="shared" si="3"/>
        <v>1</v>
      </c>
      <c r="AB38" s="1337">
        <f t="shared" si="4"/>
        <v>1</v>
      </c>
      <c r="AC38" s="1337">
        <f t="shared" si="5"/>
        <v>1</v>
      </c>
    </row>
    <row r="39" spans="1:29" ht="15">
      <c r="A39" s="360"/>
      <c r="B39" s="1571">
        <v>111</v>
      </c>
      <c r="C39" s="357">
        <v>111</v>
      </c>
      <c r="D39" s="325">
        <v>100</v>
      </c>
      <c r="E39" s="324"/>
      <c r="F39" s="351">
        <f>SUMIF(110:110,E39,111:111)-SUMIF(110:110,C39,111:111)+100</f>
        <v>100</v>
      </c>
      <c r="G39" s="357"/>
      <c r="H39" s="325">
        <f>SUMIF(110:110,G39,111:111)-SUMIF(110:110,C39,111:111)+100</f>
        <v>100</v>
      </c>
      <c r="I39" s="357"/>
      <c r="J39" s="325">
        <f>SUMIF(110:110,I39,111:111)-SUMIF(110:110,C39,111:111)+100</f>
        <v>100</v>
      </c>
      <c r="K39" s="499"/>
      <c r="L39" s="3032"/>
      <c r="M39" s="3023"/>
      <c r="N39" s="3023"/>
      <c r="O39" s="3031"/>
      <c r="P39" s="3502"/>
      <c r="Q39" s="1334">
        <f t="shared" si="11"/>
        <v>111</v>
      </c>
      <c r="R39" s="631" t="s">
        <v>25</v>
      </c>
      <c r="S39" s="632">
        <f t="shared" si="12"/>
        <v>100</v>
      </c>
      <c r="T39" s="631" t="s">
        <v>25</v>
      </c>
      <c r="U39" s="632">
        <f t="shared" si="13"/>
        <v>100</v>
      </c>
      <c r="V39" s="631" t="s">
        <v>25</v>
      </c>
      <c r="W39" s="632">
        <f t="shared" si="14"/>
        <v>100</v>
      </c>
      <c r="X39" s="1335"/>
      <c r="Y39" s="3502"/>
      <c r="Z39" s="1336">
        <f t="shared" si="15"/>
        <v>111</v>
      </c>
      <c r="AA39" s="1337">
        <f t="shared" si="3"/>
        <v>1</v>
      </c>
      <c r="AB39" s="1337">
        <f t="shared" si="4"/>
        <v>1</v>
      </c>
      <c r="AC39" s="1337">
        <f t="shared" si="5"/>
        <v>1</v>
      </c>
    </row>
    <row r="40" spans="1:29" ht="15.75" thickBot="1">
      <c r="A40" s="366"/>
      <c r="B40" s="1564">
        <v>111</v>
      </c>
      <c r="C40" s="1565">
        <v>111</v>
      </c>
      <c r="D40" s="327">
        <v>100</v>
      </c>
      <c r="E40" s="324"/>
      <c r="F40" s="328">
        <f>SUMIF(112:112,E40,113:113)-SUMIF(112:112,C40,113:113)+100</f>
        <v>100</v>
      </c>
      <c r="G40" s="357"/>
      <c r="H40" s="327">
        <f>SUMIF(112:112,G40,113:113)-SUMIF(112:112,C40,113:113)+100</f>
        <v>100</v>
      </c>
      <c r="I40" s="357"/>
      <c r="J40" s="327">
        <f>SUMIF(112:112,I40,113:113)-SUMIF(112:112,C40,113:113)+100</f>
        <v>100</v>
      </c>
      <c r="K40" s="499"/>
      <c r="L40" s="3032"/>
      <c r="M40" s="3023"/>
      <c r="N40" s="3023"/>
      <c r="O40" s="3031"/>
      <c r="P40" s="3503"/>
      <c r="Q40" s="1334">
        <f t="shared" si="11"/>
        <v>111</v>
      </c>
      <c r="R40" s="631" t="s">
        <v>25</v>
      </c>
      <c r="S40" s="632">
        <f t="shared" si="12"/>
        <v>100</v>
      </c>
      <c r="T40" s="631" t="s">
        <v>25</v>
      </c>
      <c r="U40" s="632">
        <f t="shared" si="13"/>
        <v>100</v>
      </c>
      <c r="V40" s="631" t="s">
        <v>25</v>
      </c>
      <c r="W40" s="632">
        <f t="shared" si="14"/>
        <v>100</v>
      </c>
      <c r="X40" s="1335"/>
      <c r="Y40" s="3503"/>
      <c r="Z40" s="1336">
        <f t="shared" si="15"/>
        <v>111</v>
      </c>
      <c r="AA40" s="1337">
        <f t="shared" si="3"/>
        <v>1</v>
      </c>
      <c r="AB40" s="1337">
        <f t="shared" si="4"/>
        <v>1</v>
      </c>
      <c r="AC40" s="1337">
        <f t="shared" si="5"/>
        <v>1</v>
      </c>
    </row>
    <row r="41" spans="1:29" ht="15">
      <c r="A41" s="367" t="s">
        <v>2288</v>
      </c>
      <c r="B41" s="368"/>
      <c r="C41" s="1153" t="s">
        <v>1</v>
      </c>
      <c r="D41" s="1154"/>
      <c r="E41" s="1155"/>
      <c r="F41" s="1156"/>
      <c r="G41" s="1157"/>
      <c r="H41" s="1158"/>
      <c r="I41" s="1155"/>
      <c r="J41" s="1158"/>
      <c r="K41" s="640"/>
      <c r="L41" s="3034"/>
      <c r="N41" s="3023"/>
      <c r="P41" s="3496" t="str">
        <f>A41</f>
        <v>成交单价（元/平方米）</v>
      </c>
      <c r="Q41" s="3496"/>
      <c r="R41" s="3497">
        <f>E41</f>
        <v>0</v>
      </c>
      <c r="S41" s="3497"/>
      <c r="T41" s="3497">
        <f>G41</f>
        <v>0</v>
      </c>
      <c r="U41" s="3497"/>
      <c r="V41" s="3497">
        <f>I41</f>
        <v>0</v>
      </c>
      <c r="W41" s="3497"/>
      <c r="X41" s="618"/>
      <c r="Y41" s="638"/>
      <c r="Z41" s="618"/>
      <c r="AA41" s="618"/>
      <c r="AB41" s="618"/>
      <c r="AC41" s="618"/>
    </row>
    <row r="42" spans="1:29" ht="15.75" thickBot="1">
      <c r="A42" s="374" t="s">
        <v>2371</v>
      </c>
      <c r="B42" s="375"/>
      <c r="C42" s="1159" t="e">
        <f>R43</f>
        <v>#DIV/0!</v>
      </c>
      <c r="D42" s="1797" t="s">
        <v>2745</v>
      </c>
      <c r="E42" s="1160" t="e">
        <f>R42</f>
        <v>#DIV/0!</v>
      </c>
      <c r="F42" s="1799"/>
      <c r="G42" s="1159" t="e">
        <f>T42</f>
        <v>#DIV/0!</v>
      </c>
      <c r="H42" s="1799"/>
      <c r="I42" s="1160" t="e">
        <f>V42</f>
        <v>#DIV/0!</v>
      </c>
      <c r="J42" s="1799"/>
      <c r="K42" s="2511">
        <f>F42+H42+J42</f>
        <v>0</v>
      </c>
      <c r="L42" s="3034"/>
      <c r="N42" s="3023"/>
      <c r="P42" s="3496" t="str">
        <f>A42</f>
        <v>比较价值（元/平方米）</v>
      </c>
      <c r="Q42" s="3496"/>
      <c r="R42" s="3497" t="e">
        <f>IF(E1="售价",ROUND(PRODUCT(R41,AA7:AA40),0),ROUND(PRODUCT(R41,AA7:AA40),1))</f>
        <v>#DIV/0!</v>
      </c>
      <c r="S42" s="3497"/>
      <c r="T42" s="3497" t="e">
        <f>IF(E1="售价",ROUND(PRODUCT(T41,AB7:AB40),0),ROUND(PRODUCT(T41,AB7:AB40),1))</f>
        <v>#DIV/0!</v>
      </c>
      <c r="U42" s="3497"/>
      <c r="V42" s="3497" t="e">
        <f>IF(E1="售价",ROUND(PRODUCT(V41,AC7:AC40),0),ROUND(PRODUCT(V41,AC7:AC40),1))</f>
        <v>#DIV/0!</v>
      </c>
      <c r="W42" s="3497"/>
      <c r="X42" s="618"/>
      <c r="Y42" s="618"/>
      <c r="Z42" s="618"/>
      <c r="AA42" s="618"/>
      <c r="AB42" s="618"/>
      <c r="AC42" s="618"/>
    </row>
    <row r="43" spans="1:29" ht="15.75" thickBot="1">
      <c r="A43" s="378" t="s">
        <v>2394</v>
      </c>
      <c r="B43" s="379"/>
      <c r="C43" s="1161" t="e">
        <f>R43</f>
        <v>#DIV/0!</v>
      </c>
      <c r="D43" s="1161"/>
      <c r="E43" s="1161"/>
      <c r="F43" s="1161"/>
      <c r="G43" s="1161"/>
      <c r="H43" s="1161"/>
      <c r="I43" s="1161"/>
      <c r="J43" s="1161"/>
      <c r="K43" s="641"/>
      <c r="L43" s="3034"/>
      <c r="P43" s="3498" t="str">
        <f>A43</f>
        <v>估价对象XX用房的比较价值（楼面单价，元/平方米）</v>
      </c>
      <c r="Q43" s="3499"/>
      <c r="R43" s="3500" t="e">
        <f>IF(E1="售价",ROUND(IF(D42="简单平均",AVERAGE(R42:V42),R42*F42+T42*H42+V42*J42),0),ROUND(IF(D42="简单平均",AVERAGE(R42:V42),R42*F42+T42*H42+V42*J42),1))</f>
        <v>#DIV/0!</v>
      </c>
      <c r="S43" s="3500"/>
      <c r="T43" s="3500"/>
      <c r="U43" s="3500"/>
      <c r="V43" s="3500"/>
      <c r="W43" s="3500"/>
      <c r="X43" s="618"/>
      <c r="Y43" s="618"/>
      <c r="Z43" s="618"/>
      <c r="AA43" s="618"/>
      <c r="AB43" s="618"/>
      <c r="AC43" s="618"/>
    </row>
    <row r="44" spans="1:29">
      <c r="G44" s="3037"/>
    </row>
    <row r="46" spans="1:29" ht="13.5" customHeight="1">
      <c r="C46" s="383" t="s">
        <v>2373</v>
      </c>
      <c r="D46" s="384"/>
      <c r="E46" s="385" t="e">
        <f>IF(E41&lt;E42,E42/E41-1,E41/E42-1)</f>
        <v>#DIV/0!</v>
      </c>
      <c r="F46" s="386" t="e">
        <f>IF(OR(E46&gt;=0.3,E46&lt;=-0.3),"超过30%","")</f>
        <v>#DIV/0!</v>
      </c>
      <c r="G46" s="385" t="e">
        <f>IF(G41&lt;G42,G42/G41-1,G41/G42-1)</f>
        <v>#DIV/0!</v>
      </c>
      <c r="H46" s="386" t="e">
        <f>IF(OR(G46&gt;=0.3,G46&lt;=-0.3),"超过30%","")</f>
        <v>#DIV/0!</v>
      </c>
      <c r="I46" s="385" t="e">
        <f>IF(I41&lt;I42,I42/I41-1,I41/I42-1)</f>
        <v>#DIV/0!</v>
      </c>
      <c r="J46" s="386" t="e">
        <f>IF(OR(I46&gt;=0.3,I46&lt;=-0.3),"超过30%","")</f>
        <v>#DIV/0!</v>
      </c>
    </row>
    <row r="47" spans="1:29" ht="13.5" customHeight="1">
      <c r="C47" s="383" t="s">
        <v>2374</v>
      </c>
      <c r="D47" s="387"/>
      <c r="E47" s="385" t="e">
        <f>IF(E42&lt;G42,G42/E42-1,E42/G42-1)</f>
        <v>#DIV/0!</v>
      </c>
      <c r="F47" s="386" t="e">
        <f>IF(OR(E47&gt;=0.2,E47&lt;=-0.2),"超过20%","")</f>
        <v>#DIV/0!</v>
      </c>
      <c r="G47" s="385" t="e">
        <f>IF(G42&lt;I42,I42/G42-1,G42/I42-1)</f>
        <v>#DIV/0!</v>
      </c>
      <c r="H47" s="386" t="e">
        <f>IF(OR(G47&gt;=0.2,G47&lt;=-0.2),"超过20%","")</f>
        <v>#DIV/0!</v>
      </c>
      <c r="I47" s="385" t="e">
        <f>IF(I42&lt;E42,E42/I42-1,I42/E42-1)</f>
        <v>#DIV/0!</v>
      </c>
      <c r="J47" s="386" t="e">
        <f>IF(OR(I47&gt;=0.2,I47&lt;=-0.2),"超过20%","")</f>
        <v>#DIV/0!</v>
      </c>
    </row>
    <row r="48" spans="1:29" s="388" customFormat="1" ht="13.5" customHeight="1">
      <c r="C48" s="383" t="s">
        <v>2375</v>
      </c>
      <c r="D48" s="387"/>
      <c r="E48" s="385" t="e">
        <f>IF(E41&lt;G41,G41/E41-1,E41/G41-1)</f>
        <v>#DIV/0!</v>
      </c>
      <c r="F48" s="386" t="e">
        <f>IF(OR(E48&gt;=0.3,E48&lt;=-0.3),"超过30%","")</f>
        <v>#DIV/0!</v>
      </c>
      <c r="G48" s="385" t="e">
        <f>IF(G41&lt;I41,I41/G41-1,G41/I41-1)</f>
        <v>#DIV/0!</v>
      </c>
      <c r="H48" s="386" t="e">
        <f>IF(OR(G48&gt;=0.3,G48&lt;=-0.3),"超过30%","")</f>
        <v>#DIV/0!</v>
      </c>
      <c r="I48" s="385" t="e">
        <f>IF(I41&lt;E41,E41/I41-1,I41/E41-1)</f>
        <v>#DIV/0!</v>
      </c>
      <c r="J48" s="386" t="e">
        <f>IF(OR(I48&gt;=0.3,I48&lt;=-0.3),"超过30%","")</f>
        <v>#DIV/0!</v>
      </c>
      <c r="K48" s="3038"/>
      <c r="L48" s="3035"/>
    </row>
    <row r="49" spans="1:17" s="388" customFormat="1">
      <c r="B49" s="3036"/>
      <c r="C49" s="3039"/>
      <c r="K49" s="3038"/>
      <c r="L49" s="3035"/>
    </row>
    <row r="50" spans="1:17">
      <c r="B50" s="3036"/>
      <c r="C50" s="3039"/>
    </row>
    <row r="51" spans="1:17" ht="21.75" thickBot="1">
      <c r="A51" s="620" t="s">
        <v>2376</v>
      </c>
      <c r="B51" s="618"/>
      <c r="C51" s="621"/>
      <c r="D51" s="621"/>
      <c r="E51" s="621"/>
      <c r="F51" s="622"/>
      <c r="G51" s="622"/>
      <c r="H51" s="621"/>
      <c r="I51" s="621"/>
      <c r="J51" s="621"/>
      <c r="K51" s="623"/>
      <c r="L51" s="624"/>
      <c r="M51" s="621"/>
      <c r="N51" s="3040"/>
      <c r="O51" s="3040"/>
      <c r="P51" s="389"/>
      <c r="Q51" s="390"/>
    </row>
    <row r="52" spans="1:17" s="394" customFormat="1" ht="15">
      <c r="A52" s="391" t="s">
        <v>2258</v>
      </c>
      <c r="B52" s="392"/>
      <c r="C52" s="1187" t="str">
        <f>YEAR(C7)&amp;"-"&amp;MONTH(C7)</f>
        <v>2021-5</v>
      </c>
      <c r="D52" s="1188">
        <f>EDATE(C52,-1)</f>
        <v>44287</v>
      </c>
      <c r="E52" s="1189">
        <f t="shared" ref="E52:O52" si="16">EDATE(D52,-1)</f>
        <v>44256</v>
      </c>
      <c r="F52" s="1189">
        <f t="shared" si="16"/>
        <v>44228</v>
      </c>
      <c r="G52" s="1189">
        <f t="shared" si="16"/>
        <v>44197</v>
      </c>
      <c r="H52" s="1189">
        <f t="shared" si="16"/>
        <v>44166</v>
      </c>
      <c r="I52" s="1189">
        <f t="shared" si="16"/>
        <v>44136</v>
      </c>
      <c r="J52" s="1189">
        <f t="shared" si="16"/>
        <v>44105</v>
      </c>
      <c r="K52" s="1189">
        <f t="shared" si="16"/>
        <v>44075</v>
      </c>
      <c r="L52" s="1189">
        <f t="shared" si="16"/>
        <v>44044</v>
      </c>
      <c r="M52" s="1189">
        <f t="shared" si="16"/>
        <v>44013</v>
      </c>
      <c r="N52" s="1189">
        <f t="shared" si="16"/>
        <v>43983</v>
      </c>
      <c r="O52" s="1189">
        <f t="shared" si="16"/>
        <v>43952</v>
      </c>
      <c r="P52" s="393"/>
    </row>
    <row r="53" spans="1:17" s="25" customFormat="1" ht="15">
      <c r="A53" s="395"/>
      <c r="B53" s="396"/>
      <c r="C53" s="521">
        <v>100</v>
      </c>
      <c r="D53" s="397"/>
      <c r="E53" s="397"/>
      <c r="F53" s="397"/>
      <c r="G53" s="397"/>
      <c r="H53" s="397"/>
      <c r="I53" s="397"/>
      <c r="J53" s="397"/>
      <c r="K53" s="397"/>
      <c r="L53" s="397"/>
      <c r="M53" s="398"/>
      <c r="N53" s="397"/>
      <c r="O53" s="399"/>
      <c r="P53" s="390"/>
    </row>
    <row r="54" spans="1:17" s="25" customFormat="1" ht="15.75" thickBot="1">
      <c r="A54" s="400" t="s">
        <v>2296</v>
      </c>
      <c r="B54" s="401"/>
      <c r="C54" s="402"/>
      <c r="D54" s="403"/>
      <c r="E54" s="403"/>
      <c r="F54" s="403"/>
      <c r="G54" s="403"/>
      <c r="H54" s="403"/>
      <c r="I54" s="403"/>
      <c r="J54" s="403"/>
      <c r="K54" s="403"/>
      <c r="L54" s="403"/>
      <c r="M54" s="404"/>
      <c r="N54" s="403"/>
      <c r="O54" s="405"/>
      <c r="P54" s="390"/>
      <c r="Q54" s="390"/>
    </row>
    <row r="55" spans="1:17" s="25" customFormat="1" ht="15">
      <c r="A55" s="406" t="s">
        <v>2260</v>
      </c>
      <c r="B55" s="396"/>
      <c r="C55" s="407" t="s">
        <v>2261</v>
      </c>
      <c r="D55" s="408"/>
      <c r="E55" s="408"/>
      <c r="F55" s="408"/>
      <c r="G55" s="408"/>
      <c r="H55" s="408"/>
      <c r="I55" s="408"/>
      <c r="J55" s="408"/>
      <c r="K55" s="408"/>
      <c r="L55" s="409"/>
      <c r="M55" s="410"/>
      <c r="N55" s="27"/>
      <c r="O55" s="27"/>
      <c r="P55" s="411"/>
      <c r="Q55" s="390"/>
    </row>
    <row r="56" spans="1:17" s="25" customFormat="1" ht="15.75" thickBot="1">
      <c r="A56" s="406"/>
      <c r="B56" s="396"/>
      <c r="C56" s="521">
        <v>100</v>
      </c>
      <c r="D56" s="397"/>
      <c r="E56" s="397"/>
      <c r="F56" s="397"/>
      <c r="G56" s="397"/>
      <c r="H56" s="397"/>
      <c r="I56" s="397"/>
      <c r="J56" s="397"/>
      <c r="K56" s="397"/>
      <c r="L56" s="397"/>
      <c r="M56" s="399"/>
      <c r="N56" s="27"/>
      <c r="O56" s="27"/>
      <c r="P56" s="390"/>
      <c r="Q56" s="390"/>
    </row>
    <row r="57" spans="1:17">
      <c r="A57" s="412" t="s">
        <v>2299</v>
      </c>
      <c r="B57" s="413" t="s">
        <v>2264</v>
      </c>
      <c r="C57" s="414">
        <f>C9</f>
        <v>0</v>
      </c>
      <c r="D57" s="415"/>
      <c r="E57" s="415"/>
      <c r="F57" s="415"/>
      <c r="G57" s="415"/>
      <c r="H57" s="415"/>
      <c r="I57" s="415"/>
      <c r="J57" s="415"/>
      <c r="K57" s="416"/>
      <c r="L57" s="417"/>
      <c r="M57" s="418"/>
      <c r="N57" s="419"/>
      <c r="O57" s="419"/>
      <c r="P57" s="18"/>
      <c r="Q57" s="390"/>
    </row>
    <row r="58" spans="1:17" ht="15.75" thickBot="1">
      <c r="A58" s="420"/>
      <c r="B58" s="421"/>
      <c r="C58" s="422">
        <v>100</v>
      </c>
      <c r="D58" s="422"/>
      <c r="E58" s="422"/>
      <c r="F58" s="422"/>
      <c r="G58" s="422"/>
      <c r="H58" s="422"/>
      <c r="I58" s="422"/>
      <c r="J58" s="422"/>
      <c r="K58" s="422"/>
      <c r="L58" s="422"/>
      <c r="M58" s="423"/>
      <c r="N58" s="424"/>
      <c r="O58" s="424"/>
      <c r="P58" s="18"/>
      <c r="Q58" s="390"/>
    </row>
    <row r="59" spans="1:17" ht="27.75" thickTop="1">
      <c r="A59" s="420"/>
      <c r="B59" s="425" t="s">
        <v>2267</v>
      </c>
      <c r="C59" s="426" t="s">
        <v>2300</v>
      </c>
      <c r="D59" s="426" t="s">
        <v>2301</v>
      </c>
      <c r="E59" s="426" t="s">
        <v>2302</v>
      </c>
      <c r="F59" s="426" t="s">
        <v>2303</v>
      </c>
      <c r="G59" s="426" t="s">
        <v>2304</v>
      </c>
      <c r="H59" s="426" t="s">
        <v>2305</v>
      </c>
      <c r="I59" s="426" t="s">
        <v>2306</v>
      </c>
      <c r="J59" s="426"/>
      <c r="K59" s="427"/>
      <c r="L59" s="428"/>
      <c r="M59" s="429"/>
      <c r="N59" s="419"/>
      <c r="O59" s="419"/>
      <c r="P59" s="18"/>
      <c r="Q59" s="390"/>
    </row>
    <row r="60" spans="1:17" ht="15.75" thickBot="1">
      <c r="A60" s="420"/>
      <c r="B60" s="430"/>
      <c r="C60" s="431" t="s">
        <v>36</v>
      </c>
      <c r="D60" s="431" t="s">
        <v>37</v>
      </c>
      <c r="E60" s="431">
        <v>100</v>
      </c>
      <c r="F60" s="431">
        <f>E60-$K10</f>
        <v>100</v>
      </c>
      <c r="G60" s="431">
        <f>F60-$K10</f>
        <v>100</v>
      </c>
      <c r="H60" s="431">
        <f>G60-$K10</f>
        <v>100</v>
      </c>
      <c r="I60" s="431">
        <f>H60-$K10</f>
        <v>100</v>
      </c>
      <c r="J60" s="431"/>
      <c r="K60" s="431"/>
      <c r="L60" s="431"/>
      <c r="M60" s="432"/>
      <c r="N60" s="424"/>
      <c r="O60" s="424"/>
      <c r="P60" s="18"/>
      <c r="Q60" s="390"/>
    </row>
    <row r="61" spans="1:17" ht="15.75" thickTop="1">
      <c r="A61" s="420"/>
      <c r="B61" s="433" t="s">
        <v>2268</v>
      </c>
      <c r="C61" s="434" t="str">
        <f>C62&amp;"（含）"&amp;"-"&amp;D62</f>
        <v>（含）-</v>
      </c>
      <c r="D61" s="434" t="str">
        <f t="shared" ref="D61:L61" si="17">D62&amp;"（含）"&amp;"-"&amp;E62</f>
        <v>（含）-</v>
      </c>
      <c r="E61" s="434" t="str">
        <f t="shared" si="17"/>
        <v>（含）-</v>
      </c>
      <c r="F61" s="434" t="str">
        <f t="shared" si="17"/>
        <v>（含）-</v>
      </c>
      <c r="G61" s="434" t="str">
        <f t="shared" si="17"/>
        <v>（含）-</v>
      </c>
      <c r="H61" s="434" t="str">
        <f t="shared" si="17"/>
        <v>（含）-</v>
      </c>
      <c r="I61" s="434" t="str">
        <f t="shared" si="17"/>
        <v>（含）-</v>
      </c>
      <c r="J61" s="434" t="str">
        <f t="shared" si="17"/>
        <v>（含）-</v>
      </c>
      <c r="K61" s="434" t="str">
        <f t="shared" si="17"/>
        <v>（含）-</v>
      </c>
      <c r="L61" s="434" t="str">
        <f t="shared" si="17"/>
        <v>（含）-</v>
      </c>
      <c r="M61" s="336" t="str">
        <f>M62&amp;"（含）"&amp;"-"&amp;P62</f>
        <v>（含）-</v>
      </c>
      <c r="N61" s="424"/>
      <c r="O61" s="424"/>
      <c r="P61" s="18"/>
      <c r="Q61" s="390"/>
    </row>
    <row r="62" spans="1:17" ht="15">
      <c r="A62" s="420"/>
      <c r="B62" s="435"/>
      <c r="C62" s="436"/>
      <c r="D62" s="436"/>
      <c r="E62" s="436"/>
      <c r="F62" s="436"/>
      <c r="G62" s="436"/>
      <c r="H62" s="436"/>
      <c r="I62" s="436"/>
      <c r="J62" s="436"/>
      <c r="K62" s="437"/>
      <c r="L62" s="438"/>
      <c r="M62" s="439"/>
      <c r="N62" s="419"/>
      <c r="O62" s="419"/>
      <c r="P62" s="18"/>
      <c r="Q62" s="390"/>
    </row>
    <row r="63" spans="1:17" ht="15.75" thickBot="1">
      <c r="A63" s="420"/>
      <c r="B63" s="421"/>
      <c r="C63" s="431">
        <v>100</v>
      </c>
      <c r="D63" s="431">
        <f t="shared" ref="D63:M63" si="18">C63-$K11</f>
        <v>100</v>
      </c>
      <c r="E63" s="431">
        <f t="shared" si="18"/>
        <v>100</v>
      </c>
      <c r="F63" s="431">
        <f t="shared" si="18"/>
        <v>100</v>
      </c>
      <c r="G63" s="431">
        <f t="shared" si="18"/>
        <v>100</v>
      </c>
      <c r="H63" s="431">
        <f t="shared" si="18"/>
        <v>100</v>
      </c>
      <c r="I63" s="431">
        <f t="shared" si="18"/>
        <v>100</v>
      </c>
      <c r="J63" s="431">
        <f t="shared" si="18"/>
        <v>100</v>
      </c>
      <c r="K63" s="431">
        <f t="shared" si="18"/>
        <v>100</v>
      </c>
      <c r="L63" s="431">
        <f t="shared" si="18"/>
        <v>100</v>
      </c>
      <c r="M63" s="432">
        <f t="shared" si="18"/>
        <v>100</v>
      </c>
      <c r="N63" s="424"/>
      <c r="O63" s="424"/>
      <c r="P63" s="18"/>
      <c r="Q63" s="390"/>
    </row>
    <row r="64" spans="1:17" s="359" customFormat="1" ht="15.75" thickTop="1">
      <c r="A64" s="440"/>
      <c r="B64" s="425">
        <f>B12</f>
        <v>111</v>
      </c>
      <c r="C64" s="441"/>
      <c r="D64" s="441"/>
      <c r="E64" s="441"/>
      <c r="F64" s="441"/>
      <c r="G64" s="441"/>
      <c r="H64" s="442"/>
      <c r="I64" s="442"/>
      <c r="J64" s="442"/>
      <c r="K64" s="442"/>
      <c r="L64" s="443"/>
      <c r="M64" s="444"/>
      <c r="N64" s="445"/>
      <c r="O64" s="445"/>
      <c r="P64" s="446"/>
      <c r="Q64" s="447"/>
    </row>
    <row r="65" spans="1:17" s="359" customFormat="1" ht="15.75" thickBot="1">
      <c r="A65" s="440"/>
      <c r="B65" s="430"/>
      <c r="C65" s="448"/>
      <c r="D65" s="422"/>
      <c r="E65" s="422"/>
      <c r="F65" s="422"/>
      <c r="G65" s="422"/>
      <c r="H65" s="422"/>
      <c r="I65" s="422"/>
      <c r="J65" s="422"/>
      <c r="K65" s="422"/>
      <c r="L65" s="422"/>
      <c r="M65" s="423"/>
      <c r="N65" s="424"/>
      <c r="O65" s="424"/>
      <c r="P65" s="446"/>
      <c r="Q65" s="447"/>
    </row>
    <row r="66" spans="1:17" s="359" customFormat="1" ht="15.75" thickTop="1">
      <c r="A66" s="440"/>
      <c r="B66" s="425">
        <f>B13</f>
        <v>111</v>
      </c>
      <c r="C66" s="441"/>
      <c r="D66" s="441"/>
      <c r="E66" s="441"/>
      <c r="F66" s="441"/>
      <c r="G66" s="441"/>
      <c r="H66" s="442"/>
      <c r="I66" s="442"/>
      <c r="J66" s="442"/>
      <c r="K66" s="442"/>
      <c r="L66" s="443"/>
      <c r="M66" s="444"/>
      <c r="N66" s="445"/>
      <c r="O66" s="445"/>
      <c r="P66" s="358"/>
      <c r="Q66" s="449"/>
    </row>
    <row r="67" spans="1:17" s="359" customFormat="1" ht="15.75" thickBot="1">
      <c r="A67" s="440"/>
      <c r="B67" s="430"/>
      <c r="C67" s="448"/>
      <c r="D67" s="422"/>
      <c r="E67" s="422"/>
      <c r="F67" s="422"/>
      <c r="G67" s="448"/>
      <c r="H67" s="450"/>
      <c r="I67" s="450"/>
      <c r="J67" s="450"/>
      <c r="K67" s="450"/>
      <c r="L67" s="450"/>
      <c r="M67" s="451"/>
      <c r="N67" s="445"/>
      <c r="O67" s="445"/>
      <c r="P67" s="446"/>
      <c r="Q67" s="447"/>
    </row>
    <row r="68" spans="1:17" s="359" customFormat="1" ht="15.75" thickTop="1">
      <c r="A68" s="440"/>
      <c r="B68" s="433">
        <f>B14</f>
        <v>111</v>
      </c>
      <c r="C68" s="408"/>
      <c r="D68" s="408"/>
      <c r="E68" s="408"/>
      <c r="F68" s="408"/>
      <c r="G68" s="408"/>
      <c r="H68" s="452"/>
      <c r="I68" s="452"/>
      <c r="J68" s="452"/>
      <c r="K68" s="452"/>
      <c r="L68" s="453"/>
      <c r="M68" s="454"/>
      <c r="N68" s="445"/>
      <c r="O68" s="445"/>
      <c r="P68" s="455"/>
      <c r="Q68" s="447"/>
    </row>
    <row r="69" spans="1:17" s="359" customFormat="1" ht="15.75" thickBot="1">
      <c r="A69" s="456"/>
      <c r="B69" s="457"/>
      <c r="C69" s="458"/>
      <c r="D69" s="458"/>
      <c r="E69" s="458"/>
      <c r="F69" s="458"/>
      <c r="G69" s="458"/>
      <c r="H69" s="459"/>
      <c r="I69" s="459"/>
      <c r="J69" s="459"/>
      <c r="K69" s="459"/>
      <c r="L69" s="459"/>
      <c r="M69" s="460"/>
      <c r="N69" s="445"/>
      <c r="O69" s="445"/>
      <c r="P69" s="446"/>
      <c r="Q69" s="447"/>
    </row>
    <row r="70" spans="1:17">
      <c r="A70" s="412" t="s">
        <v>2269</v>
      </c>
      <c r="B70" s="413" t="s">
        <v>2403</v>
      </c>
      <c r="C70" s="461" t="s">
        <v>2308</v>
      </c>
      <c r="D70" s="461" t="s">
        <v>2309</v>
      </c>
      <c r="E70" s="461" t="s">
        <v>2310</v>
      </c>
      <c r="F70" s="461" t="s">
        <v>2311</v>
      </c>
      <c r="G70" s="461" t="s">
        <v>2312</v>
      </c>
      <c r="H70" s="414"/>
      <c r="I70" s="414"/>
      <c r="J70" s="414"/>
      <c r="K70" s="462"/>
      <c r="L70" s="463"/>
      <c r="M70" s="464"/>
      <c r="N70" s="419"/>
      <c r="O70" s="419"/>
      <c r="P70" s="465"/>
      <c r="Q70" s="390"/>
    </row>
    <row r="71" spans="1:17" ht="15.75" thickBot="1">
      <c r="A71" s="420"/>
      <c r="B71" s="430"/>
      <c r="C71" s="431">
        <v>100</v>
      </c>
      <c r="D71" s="431">
        <f>C71-$K15</f>
        <v>100</v>
      </c>
      <c r="E71" s="431">
        <f>D71-$K15</f>
        <v>100</v>
      </c>
      <c r="F71" s="431">
        <f>E71-$K15</f>
        <v>100</v>
      </c>
      <c r="G71" s="431">
        <f>F71-$K15</f>
        <v>100</v>
      </c>
      <c r="H71" s="431"/>
      <c r="I71" s="431"/>
      <c r="J71" s="431"/>
      <c r="K71" s="431"/>
      <c r="L71" s="431"/>
      <c r="M71" s="432"/>
      <c r="N71" s="424"/>
      <c r="O71" s="424"/>
      <c r="P71" s="18"/>
      <c r="Q71" s="390"/>
    </row>
    <row r="72" spans="1:17" ht="15.75" thickTop="1">
      <c r="A72" s="420"/>
      <c r="B72" s="425" t="s">
        <v>2313</v>
      </c>
      <c r="C72" s="466" t="s">
        <v>2308</v>
      </c>
      <c r="D72" s="466" t="s">
        <v>2309</v>
      </c>
      <c r="E72" s="466" t="s">
        <v>2310</v>
      </c>
      <c r="F72" s="466" t="s">
        <v>2311</v>
      </c>
      <c r="G72" s="466" t="s">
        <v>2312</v>
      </c>
      <c r="H72" s="426"/>
      <c r="I72" s="426"/>
      <c r="J72" s="426"/>
      <c r="K72" s="427"/>
      <c r="L72" s="428"/>
      <c r="M72" s="429"/>
      <c r="N72" s="419"/>
      <c r="O72" s="419"/>
      <c r="P72" s="18"/>
      <c r="Q72" s="390"/>
    </row>
    <row r="73" spans="1:17" ht="15.75" thickBot="1">
      <c r="A73" s="420"/>
      <c r="B73" s="430"/>
      <c r="C73" s="431">
        <v>100</v>
      </c>
      <c r="D73" s="431">
        <f>C73-$K17</f>
        <v>100</v>
      </c>
      <c r="E73" s="431">
        <f>D73-$K17</f>
        <v>100</v>
      </c>
      <c r="F73" s="431">
        <f>E73-$K17</f>
        <v>100</v>
      </c>
      <c r="G73" s="431">
        <f>F73-$K17</f>
        <v>100</v>
      </c>
      <c r="H73" s="431"/>
      <c r="I73" s="431"/>
      <c r="J73" s="431"/>
      <c r="K73" s="431"/>
      <c r="L73" s="431"/>
      <c r="M73" s="432"/>
      <c r="N73" s="424"/>
      <c r="O73" s="424"/>
      <c r="P73" s="18"/>
      <c r="Q73" s="390"/>
    </row>
    <row r="74" spans="1:17" ht="15.75" thickTop="1">
      <c r="A74" s="420"/>
      <c r="B74" s="425" t="s">
        <v>2314</v>
      </c>
      <c r="C74" s="466" t="s">
        <v>2308</v>
      </c>
      <c r="D74" s="466" t="s">
        <v>2309</v>
      </c>
      <c r="E74" s="466" t="s">
        <v>2310</v>
      </c>
      <c r="F74" s="466" t="s">
        <v>2311</v>
      </c>
      <c r="G74" s="466" t="s">
        <v>2312</v>
      </c>
      <c r="H74" s="426"/>
      <c r="I74" s="426"/>
      <c r="J74" s="426"/>
      <c r="K74" s="427"/>
      <c r="L74" s="428"/>
      <c r="M74" s="429"/>
      <c r="N74" s="419"/>
      <c r="O74" s="419"/>
      <c r="P74" s="18"/>
      <c r="Q74" s="390"/>
    </row>
    <row r="75" spans="1:17" ht="15.75" thickBot="1">
      <c r="A75" s="420"/>
      <c r="B75" s="430"/>
      <c r="C75" s="431">
        <v>100</v>
      </c>
      <c r="D75" s="431">
        <f>C75-$K19</f>
        <v>100</v>
      </c>
      <c r="E75" s="431">
        <f>D75-$K19</f>
        <v>100</v>
      </c>
      <c r="F75" s="431">
        <f>E75-$K19</f>
        <v>100</v>
      </c>
      <c r="G75" s="431">
        <f>F75-$K19</f>
        <v>100</v>
      </c>
      <c r="H75" s="431"/>
      <c r="I75" s="431"/>
      <c r="J75" s="431"/>
      <c r="K75" s="431"/>
      <c r="L75" s="431"/>
      <c r="M75" s="432"/>
      <c r="N75" s="424"/>
      <c r="O75" s="424"/>
      <c r="P75" s="18"/>
      <c r="Q75" s="390"/>
    </row>
    <row r="76" spans="1:17" ht="15.75" thickTop="1">
      <c r="A76" s="420"/>
      <c r="B76" s="433" t="s">
        <v>2386</v>
      </c>
      <c r="C76" s="426" t="s">
        <v>2315</v>
      </c>
      <c r="D76" s="426" t="s">
        <v>2316</v>
      </c>
      <c r="E76" s="426" t="s">
        <v>2317</v>
      </c>
      <c r="F76" s="426" t="s">
        <v>2318</v>
      </c>
      <c r="G76" s="426" t="s">
        <v>2319</v>
      </c>
      <c r="H76" s="426"/>
      <c r="I76" s="426"/>
      <c r="J76" s="426"/>
      <c r="K76" s="426"/>
      <c r="L76" s="426"/>
      <c r="M76" s="1130"/>
      <c r="N76" s="424"/>
      <c r="O76" s="424"/>
      <c r="P76" s="18"/>
      <c r="Q76" s="390"/>
    </row>
    <row r="77" spans="1:17" ht="15.75" thickBot="1">
      <c r="A77" s="420"/>
      <c r="B77" s="433"/>
      <c r="C77" s="431">
        <v>100</v>
      </c>
      <c r="D77" s="431">
        <f>C77-$K21</f>
        <v>100</v>
      </c>
      <c r="E77" s="431">
        <f>D77-$K21</f>
        <v>100</v>
      </c>
      <c r="F77" s="431">
        <f>E77-$K21</f>
        <v>100</v>
      </c>
      <c r="G77" s="431">
        <f>F77-$K21</f>
        <v>100</v>
      </c>
      <c r="H77" s="541"/>
      <c r="I77" s="541"/>
      <c r="J77" s="541"/>
      <c r="K77" s="541"/>
      <c r="L77" s="541"/>
      <c r="M77" s="339"/>
      <c r="N77" s="424"/>
      <c r="O77" s="424"/>
      <c r="P77" s="18"/>
      <c r="Q77" s="390"/>
    </row>
    <row r="78" spans="1:17" ht="15.75" thickTop="1">
      <c r="A78" s="420"/>
      <c r="B78" s="425" t="s">
        <v>2396</v>
      </c>
      <c r="C78" s="466" t="s">
        <v>2308</v>
      </c>
      <c r="D78" s="466" t="s">
        <v>2309</v>
      </c>
      <c r="E78" s="466" t="s">
        <v>2310</v>
      </c>
      <c r="F78" s="466" t="s">
        <v>2311</v>
      </c>
      <c r="G78" s="466" t="s">
        <v>2312</v>
      </c>
      <c r="H78" s="426"/>
      <c r="I78" s="426"/>
      <c r="J78" s="426"/>
      <c r="K78" s="427"/>
      <c r="L78" s="428"/>
      <c r="M78" s="429"/>
      <c r="N78" s="419"/>
      <c r="O78" s="419"/>
      <c r="P78" s="18"/>
      <c r="Q78" s="390"/>
    </row>
    <row r="79" spans="1:17" ht="15.75" thickBot="1">
      <c r="A79" s="420"/>
      <c r="B79" s="430"/>
      <c r="C79" s="431">
        <v>100</v>
      </c>
      <c r="D79" s="431">
        <f>C79-$K23</f>
        <v>100</v>
      </c>
      <c r="E79" s="431">
        <f>D79-$K23</f>
        <v>100</v>
      </c>
      <c r="F79" s="431">
        <f>E79-$K23</f>
        <v>100</v>
      </c>
      <c r="G79" s="431">
        <f>F79-$K23</f>
        <v>100</v>
      </c>
      <c r="H79" s="431"/>
      <c r="I79" s="431"/>
      <c r="J79" s="431"/>
      <c r="K79" s="431"/>
      <c r="L79" s="431"/>
      <c r="M79" s="432"/>
      <c r="N79" s="424"/>
      <c r="O79" s="424"/>
      <c r="P79" s="18"/>
      <c r="Q79" s="390"/>
    </row>
    <row r="80" spans="1:17" s="25" customFormat="1" ht="15.75" thickTop="1">
      <c r="A80" s="467"/>
      <c r="B80" s="425">
        <f>B25</f>
        <v>111</v>
      </c>
      <c r="C80" s="441"/>
      <c r="D80" s="441"/>
      <c r="E80" s="441"/>
      <c r="F80" s="441"/>
      <c r="G80" s="441"/>
      <c r="H80" s="441"/>
      <c r="I80" s="441"/>
      <c r="J80" s="441"/>
      <c r="K80" s="441"/>
      <c r="L80" s="468"/>
      <c r="M80" s="469"/>
      <c r="N80" s="27"/>
      <c r="O80" s="27"/>
      <c r="P80" s="18"/>
      <c r="Q80" s="390"/>
    </row>
    <row r="81" spans="1:17" s="25" customFormat="1" ht="15.75" thickBot="1">
      <c r="A81" s="467"/>
      <c r="B81" s="430"/>
      <c r="C81" s="448"/>
      <c r="D81" s="422"/>
      <c r="E81" s="422"/>
      <c r="F81" s="422"/>
      <c r="G81" s="422"/>
      <c r="H81" s="422"/>
      <c r="I81" s="422"/>
      <c r="J81" s="422"/>
      <c r="K81" s="422"/>
      <c r="L81" s="422"/>
      <c r="M81" s="423"/>
      <c r="N81" s="424"/>
      <c r="O81" s="424"/>
      <c r="P81" s="18"/>
      <c r="Q81" s="390"/>
    </row>
    <row r="82" spans="1:17" s="25" customFormat="1" ht="15.75" thickTop="1">
      <c r="A82" s="467"/>
      <c r="B82" s="425">
        <f>B26</f>
        <v>111</v>
      </c>
      <c r="C82" s="441"/>
      <c r="D82" s="441"/>
      <c r="E82" s="441"/>
      <c r="F82" s="441"/>
      <c r="G82" s="441"/>
      <c r="H82" s="441"/>
      <c r="I82" s="441"/>
      <c r="J82" s="441"/>
      <c r="K82" s="441"/>
      <c r="L82" s="468"/>
      <c r="M82" s="469"/>
      <c r="N82" s="27"/>
      <c r="O82" s="27"/>
      <c r="P82" s="18"/>
      <c r="Q82" s="390"/>
    </row>
    <row r="83" spans="1:17" s="25" customFormat="1" ht="15.75" thickBot="1">
      <c r="A83" s="467"/>
      <c r="B83" s="430"/>
      <c r="C83" s="448"/>
      <c r="D83" s="422"/>
      <c r="E83" s="422"/>
      <c r="F83" s="422"/>
      <c r="G83" s="422"/>
      <c r="H83" s="422"/>
      <c r="I83" s="422"/>
      <c r="J83" s="422"/>
      <c r="K83" s="422"/>
      <c r="L83" s="422"/>
      <c r="M83" s="423"/>
      <c r="N83" s="424"/>
      <c r="O83" s="424"/>
      <c r="P83" s="18"/>
      <c r="Q83" s="390"/>
    </row>
    <row r="84" spans="1:17" s="359" customFormat="1" ht="15.75" thickTop="1">
      <c r="A84" s="440"/>
      <c r="B84" s="425">
        <f>B27</f>
        <v>111</v>
      </c>
      <c r="C84" s="441"/>
      <c r="D84" s="441"/>
      <c r="E84" s="441"/>
      <c r="F84" s="441"/>
      <c r="G84" s="441"/>
      <c r="H84" s="441"/>
      <c r="I84" s="441"/>
      <c r="J84" s="441"/>
      <c r="K84" s="441"/>
      <c r="L84" s="468"/>
      <c r="M84" s="469"/>
      <c r="N84" s="445"/>
      <c r="O84" s="445"/>
      <c r="P84" s="446"/>
      <c r="Q84" s="447"/>
    </row>
    <row r="85" spans="1:17" s="359" customFormat="1" ht="15.75" thickBot="1">
      <c r="A85" s="440"/>
      <c r="B85" s="430"/>
      <c r="C85" s="448"/>
      <c r="D85" s="422"/>
      <c r="E85" s="422"/>
      <c r="F85" s="422"/>
      <c r="G85" s="422"/>
      <c r="H85" s="422"/>
      <c r="I85" s="422"/>
      <c r="J85" s="422"/>
      <c r="K85" s="422"/>
      <c r="L85" s="422"/>
      <c r="M85" s="423"/>
      <c r="N85" s="445"/>
      <c r="O85" s="445"/>
      <c r="P85" s="446"/>
      <c r="Q85" s="447"/>
    </row>
    <row r="86" spans="1:17" ht="15.75" thickTop="1">
      <c r="A86" s="420"/>
      <c r="B86" s="433">
        <f>B28</f>
        <v>111</v>
      </c>
      <c r="C86" s="408"/>
      <c r="D86" s="408"/>
      <c r="E86" s="408"/>
      <c r="F86" s="408"/>
      <c r="G86" s="475"/>
      <c r="H86" s="475"/>
      <c r="I86" s="475"/>
      <c r="J86" s="475"/>
      <c r="K86" s="476"/>
      <c r="L86" s="477"/>
      <c r="M86" s="478"/>
      <c r="N86" s="419"/>
      <c r="O86" s="419"/>
      <c r="P86" s="18"/>
      <c r="Q86" s="390"/>
    </row>
    <row r="87" spans="1:17" ht="15.75" thickBot="1">
      <c r="A87" s="1572"/>
      <c r="B87" s="457"/>
      <c r="C87" s="458"/>
      <c r="D87" s="458"/>
      <c r="E87" s="458"/>
      <c r="F87" s="458"/>
      <c r="G87" s="479"/>
      <c r="H87" s="479"/>
      <c r="I87" s="479"/>
      <c r="J87" s="479"/>
      <c r="K87" s="479"/>
      <c r="L87" s="479"/>
      <c r="M87" s="480"/>
      <c r="N87" s="424"/>
      <c r="O87" s="424"/>
      <c r="P87" s="18"/>
      <c r="Q87" s="390"/>
    </row>
    <row r="88" spans="1:17">
      <c r="A88" s="412" t="s">
        <v>2274</v>
      </c>
      <c r="B88" s="413" t="s">
        <v>2323</v>
      </c>
      <c r="C88" s="415"/>
      <c r="D88" s="415"/>
      <c r="E88" s="415"/>
      <c r="F88" s="415"/>
      <c r="G88" s="415"/>
      <c r="H88" s="415"/>
      <c r="I88" s="415"/>
      <c r="J88" s="415"/>
      <c r="K88" s="416"/>
      <c r="L88" s="417"/>
      <c r="M88" s="418"/>
      <c r="N88" s="419"/>
      <c r="O88" s="419"/>
      <c r="P88" s="18"/>
      <c r="Q88" s="390"/>
    </row>
    <row r="89" spans="1:17" ht="15.75" thickBot="1">
      <c r="A89" s="420"/>
      <c r="B89" s="430"/>
      <c r="C89" s="431">
        <v>100</v>
      </c>
      <c r="D89" s="431">
        <f t="shared" ref="D89:M89" si="19">C89-$K29</f>
        <v>100</v>
      </c>
      <c r="E89" s="431">
        <f t="shared" si="19"/>
        <v>100</v>
      </c>
      <c r="F89" s="431">
        <f t="shared" si="19"/>
        <v>100</v>
      </c>
      <c r="G89" s="431">
        <f t="shared" si="19"/>
        <v>100</v>
      </c>
      <c r="H89" s="431">
        <f t="shared" si="19"/>
        <v>100</v>
      </c>
      <c r="I89" s="431">
        <f t="shared" si="19"/>
        <v>100</v>
      </c>
      <c r="J89" s="431">
        <f t="shared" si="19"/>
        <v>100</v>
      </c>
      <c r="K89" s="431">
        <f t="shared" si="19"/>
        <v>100</v>
      </c>
      <c r="L89" s="431">
        <f t="shared" si="19"/>
        <v>100</v>
      </c>
      <c r="M89" s="432">
        <f t="shared" si="19"/>
        <v>100</v>
      </c>
      <c r="N89" s="424"/>
      <c r="O89" s="424"/>
      <c r="P89" s="18"/>
      <c r="Q89" s="390"/>
    </row>
    <row r="90" spans="1:17" ht="15.75" thickTop="1">
      <c r="A90" s="420"/>
      <c r="B90" s="425" t="s">
        <v>2324</v>
      </c>
      <c r="C90" s="466" t="str">
        <f>C91&amp;"(含)"&amp;"-"&amp;D91</f>
        <v>(含)-</v>
      </c>
      <c r="D90" s="466" t="str">
        <f t="shared" ref="D90:L90" si="20">D91&amp;"(含)"&amp;"-"&amp;E91</f>
        <v>(含)-</v>
      </c>
      <c r="E90" s="466" t="str">
        <f t="shared" si="20"/>
        <v>(含)-</v>
      </c>
      <c r="F90" s="466" t="str">
        <f t="shared" si="20"/>
        <v>(含)-</v>
      </c>
      <c r="G90" s="466" t="str">
        <f t="shared" si="20"/>
        <v>(含)-</v>
      </c>
      <c r="H90" s="466" t="str">
        <f t="shared" si="20"/>
        <v>(含)-</v>
      </c>
      <c r="I90" s="466" t="str">
        <f t="shared" si="20"/>
        <v>(含)-</v>
      </c>
      <c r="J90" s="466" t="str">
        <f t="shared" si="20"/>
        <v>(含)-</v>
      </c>
      <c r="K90" s="466" t="str">
        <f t="shared" si="20"/>
        <v>(含)-</v>
      </c>
      <c r="L90" s="466" t="str">
        <f t="shared" si="20"/>
        <v>(含)-</v>
      </c>
      <c r="M90" s="505" t="str">
        <f>M91&amp;"(含)"&amp;"-"&amp;P91</f>
        <v>(含)-</v>
      </c>
      <c r="N90" s="27"/>
      <c r="O90" s="27"/>
      <c r="P90" s="18"/>
      <c r="Q90" s="390"/>
    </row>
    <row r="91" spans="1:17" s="359" customFormat="1">
      <c r="A91" s="481"/>
      <c r="B91" s="482"/>
      <c r="C91" s="483"/>
      <c r="D91" s="483"/>
      <c r="E91" s="483"/>
      <c r="F91" s="483"/>
      <c r="G91" s="483"/>
      <c r="H91" s="483"/>
      <c r="I91" s="483"/>
      <c r="J91" s="484"/>
      <c r="K91" s="484"/>
      <c r="L91" s="485"/>
      <c r="M91" s="486"/>
      <c r="N91" s="445"/>
      <c r="O91" s="445"/>
      <c r="P91" s="446"/>
      <c r="Q91" s="447"/>
    </row>
    <row r="92" spans="1:17" s="359" customFormat="1" ht="15.75" thickBot="1">
      <c r="A92" s="440"/>
      <c r="B92" s="430"/>
      <c r="C92" s="448"/>
      <c r="D92" s="422"/>
      <c r="E92" s="422"/>
      <c r="F92" s="422"/>
      <c r="G92" s="422"/>
      <c r="H92" s="422"/>
      <c r="I92" s="422"/>
      <c r="J92" s="422"/>
      <c r="K92" s="422"/>
      <c r="L92" s="422"/>
      <c r="M92" s="423"/>
      <c r="N92" s="424"/>
      <c r="O92" s="424"/>
      <c r="P92" s="446"/>
      <c r="Q92" s="447"/>
    </row>
    <row r="93" spans="1:17" ht="15" thickTop="1">
      <c r="A93" s="487"/>
      <c r="B93" s="425" t="s">
        <v>2325</v>
      </c>
      <c r="C93" s="441"/>
      <c r="D93" s="441"/>
      <c r="E93" s="471"/>
      <c r="F93" s="471"/>
      <c r="G93" s="471"/>
      <c r="H93" s="471"/>
      <c r="I93" s="471"/>
      <c r="J93" s="471"/>
      <c r="K93" s="472"/>
      <c r="L93" s="473"/>
      <c r="M93" s="474"/>
      <c r="N93" s="419"/>
      <c r="O93" s="419"/>
      <c r="P93" s="18"/>
      <c r="Q93" s="390"/>
    </row>
    <row r="94" spans="1:17" ht="15.75" thickBot="1">
      <c r="A94" s="420"/>
      <c r="B94" s="430"/>
      <c r="C94" s="431">
        <v>100</v>
      </c>
      <c r="D94" s="431">
        <f t="shared" ref="D94:M94" si="21">C94-$K31</f>
        <v>100</v>
      </c>
      <c r="E94" s="431">
        <f t="shared" si="21"/>
        <v>100</v>
      </c>
      <c r="F94" s="431">
        <f t="shared" si="21"/>
        <v>100</v>
      </c>
      <c r="G94" s="431">
        <f t="shared" si="21"/>
        <v>100</v>
      </c>
      <c r="H94" s="431">
        <f t="shared" si="21"/>
        <v>100</v>
      </c>
      <c r="I94" s="431">
        <f t="shared" si="21"/>
        <v>100</v>
      </c>
      <c r="J94" s="431">
        <f t="shared" si="21"/>
        <v>100</v>
      </c>
      <c r="K94" s="431">
        <f t="shared" si="21"/>
        <v>100</v>
      </c>
      <c r="L94" s="431">
        <f t="shared" si="21"/>
        <v>100</v>
      </c>
      <c r="M94" s="432">
        <f t="shared" si="21"/>
        <v>100</v>
      </c>
      <c r="N94" s="424"/>
      <c r="O94" s="424"/>
      <c r="P94" s="18"/>
      <c r="Q94" s="390"/>
    </row>
    <row r="95" spans="1:17" ht="15" thickTop="1">
      <c r="A95" s="487"/>
      <c r="B95" s="425" t="s">
        <v>2327</v>
      </c>
      <c r="C95" s="441"/>
      <c r="D95" s="441"/>
      <c r="E95" s="441"/>
      <c r="F95" s="471"/>
      <c r="G95" s="471"/>
      <c r="H95" s="471"/>
      <c r="I95" s="471"/>
      <c r="J95" s="471"/>
      <c r="K95" s="472"/>
      <c r="L95" s="473"/>
      <c r="M95" s="474"/>
      <c r="N95" s="419"/>
      <c r="O95" s="419"/>
      <c r="P95" s="18"/>
      <c r="Q95" s="390"/>
    </row>
    <row r="96" spans="1:17" ht="15.75" thickBot="1">
      <c r="A96" s="420"/>
      <c r="B96" s="430"/>
      <c r="C96" s="431">
        <v>100</v>
      </c>
      <c r="D96" s="431">
        <f t="shared" ref="D96:M96" si="22">C96-$K32</f>
        <v>100</v>
      </c>
      <c r="E96" s="431">
        <f t="shared" si="22"/>
        <v>100</v>
      </c>
      <c r="F96" s="431">
        <f t="shared" si="22"/>
        <v>100</v>
      </c>
      <c r="G96" s="431">
        <f t="shared" si="22"/>
        <v>100</v>
      </c>
      <c r="H96" s="431">
        <f t="shared" si="22"/>
        <v>100</v>
      </c>
      <c r="I96" s="431">
        <f t="shared" si="22"/>
        <v>100</v>
      </c>
      <c r="J96" s="431">
        <f t="shared" si="22"/>
        <v>100</v>
      </c>
      <c r="K96" s="431">
        <f t="shared" si="22"/>
        <v>100</v>
      </c>
      <c r="L96" s="431">
        <f t="shared" si="22"/>
        <v>100</v>
      </c>
      <c r="M96" s="432">
        <f t="shared" si="22"/>
        <v>100</v>
      </c>
      <c r="N96" s="424"/>
      <c r="O96" s="424"/>
      <c r="P96" s="18"/>
      <c r="Q96" s="390"/>
    </row>
    <row r="97" spans="1:17" ht="15" thickTop="1">
      <c r="A97" s="487"/>
      <c r="B97" s="425" t="s">
        <v>2328</v>
      </c>
      <c r="C97" s="466" t="str">
        <f>C98&amp;"(含)"&amp;"-"&amp;D98</f>
        <v>0.5(含)-0.6</v>
      </c>
      <c r="D97" s="466" t="str">
        <f>D98&amp;"(含)"&amp;"-"&amp;E98</f>
        <v>0.6(含)-0.7</v>
      </c>
      <c r="E97" s="466" t="str">
        <f>E98&amp;"(含)"&amp;"-"&amp;F98</f>
        <v>0.7(含)-0.8</v>
      </c>
      <c r="F97" s="466" t="str">
        <f>F98&amp;"(含)"&amp;"-"&amp;G98</f>
        <v>0.8(含)-0.9</v>
      </c>
      <c r="G97" s="466" t="str">
        <f>G98&amp;"(含)"&amp;"-"&amp;H98</f>
        <v>0.9(含)-1</v>
      </c>
      <c r="H97" s="466"/>
      <c r="I97" s="471"/>
      <c r="J97" s="471"/>
      <c r="K97" s="472"/>
      <c r="L97" s="473"/>
      <c r="M97" s="474"/>
      <c r="N97" s="419"/>
      <c r="O97" s="419"/>
      <c r="P97" s="18"/>
      <c r="Q97" s="390"/>
    </row>
    <row r="98" spans="1:17">
      <c r="A98" s="487"/>
      <c r="B98" s="433"/>
      <c r="C98" s="491">
        <v>0.5</v>
      </c>
      <c r="D98" s="491">
        <v>0.6</v>
      </c>
      <c r="E98" s="491">
        <v>0.7</v>
      </c>
      <c r="F98" s="491">
        <v>0.8</v>
      </c>
      <c r="G98" s="491">
        <v>0.9</v>
      </c>
      <c r="H98" s="491">
        <v>1</v>
      </c>
      <c r="I98" s="506"/>
      <c r="J98" s="506"/>
      <c r="K98" s="507"/>
      <c r="L98" s="508"/>
      <c r="M98" s="509"/>
      <c r="N98" s="419"/>
      <c r="O98" s="419"/>
      <c r="P98" s="18"/>
      <c r="Q98" s="390"/>
    </row>
    <row r="99" spans="1:17" ht="15.75" thickBot="1">
      <c r="A99" s="420"/>
      <c r="B99" s="430"/>
      <c r="C99" s="470">
        <v>100</v>
      </c>
      <c r="D99" s="431">
        <f>C99+$K33</f>
        <v>100</v>
      </c>
      <c r="E99" s="431">
        <f t="shared" ref="E99:M99" si="23">D99+$K33</f>
        <v>100</v>
      </c>
      <c r="F99" s="431">
        <f t="shared" si="23"/>
        <v>100</v>
      </c>
      <c r="G99" s="431">
        <f t="shared" si="23"/>
        <v>100</v>
      </c>
      <c r="H99" s="431">
        <f t="shared" si="23"/>
        <v>100</v>
      </c>
      <c r="I99" s="431">
        <f t="shared" si="23"/>
        <v>100</v>
      </c>
      <c r="J99" s="431">
        <f t="shared" si="23"/>
        <v>100</v>
      </c>
      <c r="K99" s="431">
        <f t="shared" si="23"/>
        <v>100</v>
      </c>
      <c r="L99" s="431">
        <f t="shared" si="23"/>
        <v>100</v>
      </c>
      <c r="M99" s="431">
        <f t="shared" si="23"/>
        <v>100</v>
      </c>
      <c r="N99" s="424"/>
      <c r="O99" s="424"/>
      <c r="P99" s="18"/>
      <c r="Q99" s="390"/>
    </row>
    <row r="100" spans="1:17" s="359" customFormat="1" ht="15" thickTop="1">
      <c r="A100" s="481"/>
      <c r="B100" s="425" t="s">
        <v>2329</v>
      </c>
      <c r="C100" s="441"/>
      <c r="D100" s="441"/>
      <c r="E100" s="441"/>
      <c r="F100" s="441"/>
      <c r="G100" s="441"/>
      <c r="H100" s="471"/>
      <c r="I100" s="471"/>
      <c r="J100" s="471"/>
      <c r="K100" s="472"/>
      <c r="L100" s="473"/>
      <c r="M100" s="474"/>
      <c r="N100" s="445"/>
      <c r="O100" s="445"/>
      <c r="P100" s="446"/>
      <c r="Q100" s="447"/>
    </row>
    <row r="101" spans="1:17" s="359" customFormat="1" ht="15.75" thickBot="1">
      <c r="A101" s="440"/>
      <c r="B101" s="430"/>
      <c r="C101" s="431">
        <v>100</v>
      </c>
      <c r="D101" s="431">
        <f>C101-$K34</f>
        <v>100</v>
      </c>
      <c r="E101" s="431">
        <f t="shared" ref="E101:M101" si="24">D101-$K34</f>
        <v>100</v>
      </c>
      <c r="F101" s="431">
        <f t="shared" si="24"/>
        <v>100</v>
      </c>
      <c r="G101" s="431">
        <f t="shared" si="24"/>
        <v>100</v>
      </c>
      <c r="H101" s="431">
        <f t="shared" si="24"/>
        <v>100</v>
      </c>
      <c r="I101" s="431">
        <f t="shared" si="24"/>
        <v>100</v>
      </c>
      <c r="J101" s="431">
        <f t="shared" si="24"/>
        <v>100</v>
      </c>
      <c r="K101" s="431">
        <f t="shared" si="24"/>
        <v>100</v>
      </c>
      <c r="L101" s="431">
        <f t="shared" si="24"/>
        <v>100</v>
      </c>
      <c r="M101" s="431">
        <f t="shared" si="24"/>
        <v>100</v>
      </c>
      <c r="N101" s="445"/>
      <c r="O101" s="445"/>
      <c r="P101" s="446"/>
      <c r="Q101" s="447"/>
    </row>
    <row r="102" spans="1:17" ht="15" thickTop="1">
      <c r="A102" s="487"/>
      <c r="B102" s="425" t="s">
        <v>2330</v>
      </c>
      <c r="C102" s="441"/>
      <c r="D102" s="441"/>
      <c r="E102" s="441"/>
      <c r="F102" s="441"/>
      <c r="G102" s="441"/>
      <c r="H102" s="471"/>
      <c r="I102" s="471"/>
      <c r="J102" s="471"/>
      <c r="K102" s="472"/>
      <c r="L102" s="473"/>
      <c r="M102" s="474"/>
      <c r="N102" s="419"/>
      <c r="O102" s="419"/>
      <c r="P102" s="18"/>
      <c r="Q102" s="390"/>
    </row>
    <row r="103" spans="1:17" ht="15.75" thickBot="1">
      <c r="A103" s="420"/>
      <c r="B103" s="430"/>
      <c r="C103" s="431">
        <v>100</v>
      </c>
      <c r="D103" s="431">
        <f t="shared" ref="D103:M103" si="25">C103-$K35</f>
        <v>100</v>
      </c>
      <c r="E103" s="431">
        <f t="shared" si="25"/>
        <v>100</v>
      </c>
      <c r="F103" s="431">
        <f t="shared" si="25"/>
        <v>100</v>
      </c>
      <c r="G103" s="431">
        <f t="shared" si="25"/>
        <v>100</v>
      </c>
      <c r="H103" s="431">
        <f t="shared" si="25"/>
        <v>100</v>
      </c>
      <c r="I103" s="431">
        <f t="shared" si="25"/>
        <v>100</v>
      </c>
      <c r="J103" s="431">
        <f t="shared" si="25"/>
        <v>100</v>
      </c>
      <c r="K103" s="431">
        <f t="shared" si="25"/>
        <v>100</v>
      </c>
      <c r="L103" s="431">
        <f t="shared" si="25"/>
        <v>100</v>
      </c>
      <c r="M103" s="432">
        <f t="shared" si="25"/>
        <v>100</v>
      </c>
      <c r="N103" s="424"/>
      <c r="O103" s="424"/>
      <c r="P103" s="18"/>
      <c r="Q103" s="390"/>
    </row>
    <row r="104" spans="1:17" ht="15" thickTop="1">
      <c r="A104" s="487"/>
      <c r="B104" s="425" t="s">
        <v>2332</v>
      </c>
      <c r="C104" s="441"/>
      <c r="D104" s="441"/>
      <c r="E104" s="441"/>
      <c r="F104" s="441"/>
      <c r="G104" s="441"/>
      <c r="H104" s="471"/>
      <c r="I104" s="471"/>
      <c r="J104" s="471"/>
      <c r="K104" s="472"/>
      <c r="L104" s="473"/>
      <c r="M104" s="474"/>
      <c r="N104" s="419"/>
      <c r="O104" s="419"/>
      <c r="P104" s="18"/>
      <c r="Q104" s="390"/>
    </row>
    <row r="105" spans="1:17" ht="15.75" thickBot="1">
      <c r="A105" s="420"/>
      <c r="B105" s="430"/>
      <c r="C105" s="431">
        <v>100</v>
      </c>
      <c r="D105" s="431">
        <f>C105-$K36</f>
        <v>100</v>
      </c>
      <c r="E105" s="431">
        <f>D105-$K36</f>
        <v>100</v>
      </c>
      <c r="F105" s="431">
        <f>E105-$K36</f>
        <v>100</v>
      </c>
      <c r="G105" s="431">
        <f>F105-$K36</f>
        <v>100</v>
      </c>
      <c r="H105" s="431"/>
      <c r="I105" s="431"/>
      <c r="J105" s="431"/>
      <c r="K105" s="431"/>
      <c r="L105" s="431"/>
      <c r="M105" s="432"/>
      <c r="N105" s="424"/>
      <c r="O105" s="424"/>
      <c r="P105" s="18"/>
      <c r="Q105" s="390"/>
    </row>
    <row r="106" spans="1:17" ht="15" thickTop="1">
      <c r="A106" s="487"/>
      <c r="B106" s="518" t="s">
        <v>2404</v>
      </c>
      <c r="C106" s="466" t="s">
        <v>2308</v>
      </c>
      <c r="D106" s="466" t="s">
        <v>2309</v>
      </c>
      <c r="E106" s="466" t="s">
        <v>2310</v>
      </c>
      <c r="F106" s="466" t="s">
        <v>2311</v>
      </c>
      <c r="G106" s="466" t="s">
        <v>2312</v>
      </c>
      <c r="H106" s="426"/>
      <c r="I106" s="426"/>
      <c r="J106" s="426"/>
      <c r="K106" s="427"/>
      <c r="L106" s="428"/>
      <c r="M106" s="429"/>
      <c r="N106" s="424"/>
      <c r="O106" s="424"/>
      <c r="P106" s="519"/>
      <c r="Q106" s="520"/>
    </row>
    <row r="107" spans="1:17" ht="15.75" thickBot="1">
      <c r="A107" s="420"/>
      <c r="B107" s="430"/>
      <c r="C107" s="470">
        <v>100</v>
      </c>
      <c r="D107" s="431">
        <f t="shared" ref="D107:M107" si="26">C107-$K37</f>
        <v>100</v>
      </c>
      <c r="E107" s="431">
        <f t="shared" si="26"/>
        <v>100</v>
      </c>
      <c r="F107" s="431">
        <f t="shared" si="26"/>
        <v>100</v>
      </c>
      <c r="G107" s="431">
        <f t="shared" si="26"/>
        <v>100</v>
      </c>
      <c r="H107" s="431">
        <f t="shared" si="26"/>
        <v>100</v>
      </c>
      <c r="I107" s="431">
        <f t="shared" si="26"/>
        <v>100</v>
      </c>
      <c r="J107" s="431">
        <f t="shared" si="26"/>
        <v>100</v>
      </c>
      <c r="K107" s="431">
        <f t="shared" si="26"/>
        <v>100</v>
      </c>
      <c r="L107" s="431">
        <f t="shared" si="26"/>
        <v>100</v>
      </c>
      <c r="M107" s="431">
        <f t="shared" si="26"/>
        <v>100</v>
      </c>
      <c r="N107" s="424"/>
      <c r="O107" s="424"/>
      <c r="P107" s="18"/>
      <c r="Q107" s="390"/>
    </row>
    <row r="108" spans="1:17" s="359" customFormat="1" ht="15" thickTop="1">
      <c r="A108" s="481"/>
      <c r="B108" s="425">
        <f>B38</f>
        <v>111</v>
      </c>
      <c r="C108" s="441"/>
      <c r="D108" s="441"/>
      <c r="E108" s="441"/>
      <c r="F108" s="441"/>
      <c r="G108" s="441"/>
      <c r="H108" s="442"/>
      <c r="I108" s="442"/>
      <c r="J108" s="442"/>
      <c r="K108" s="442"/>
      <c r="L108" s="443"/>
      <c r="M108" s="444"/>
      <c r="N108" s="445"/>
      <c r="O108" s="445"/>
      <c r="P108" s="446"/>
      <c r="Q108" s="447"/>
    </row>
    <row r="109" spans="1:17" s="359" customFormat="1" ht="15.75" thickBot="1">
      <c r="A109" s="440"/>
      <c r="B109" s="421"/>
      <c r="C109" s="448"/>
      <c r="D109" s="422"/>
      <c r="E109" s="422"/>
      <c r="F109" s="422"/>
      <c r="G109" s="448"/>
      <c r="H109" s="450"/>
      <c r="I109" s="450"/>
      <c r="J109" s="450"/>
      <c r="K109" s="450"/>
      <c r="L109" s="450"/>
      <c r="M109" s="451"/>
      <c r="N109" s="445"/>
      <c r="O109" s="445"/>
      <c r="P109" s="446"/>
      <c r="Q109" s="447"/>
    </row>
    <row r="110" spans="1:17" ht="15" thickTop="1">
      <c r="A110" s="487"/>
      <c r="B110" s="425">
        <f>B39</f>
        <v>111</v>
      </c>
      <c r="C110" s="441"/>
      <c r="D110" s="441"/>
      <c r="E110" s="441"/>
      <c r="F110" s="441"/>
      <c r="G110" s="441"/>
      <c r="H110" s="442"/>
      <c r="I110" s="442"/>
      <c r="J110" s="442"/>
      <c r="K110" s="442"/>
      <c r="L110" s="443"/>
      <c r="M110" s="444"/>
      <c r="N110" s="419"/>
      <c r="O110" s="419"/>
      <c r="P110" s="18"/>
      <c r="Q110" s="390"/>
    </row>
    <row r="111" spans="1:17" ht="15.75" thickBot="1">
      <c r="A111" s="420"/>
      <c r="B111" s="430"/>
      <c r="C111" s="448"/>
      <c r="D111" s="422"/>
      <c r="E111" s="422"/>
      <c r="F111" s="422"/>
      <c r="G111" s="448"/>
      <c r="H111" s="450"/>
      <c r="I111" s="450"/>
      <c r="J111" s="450"/>
      <c r="K111" s="450"/>
      <c r="L111" s="450"/>
      <c r="M111" s="451"/>
      <c r="N111" s="424"/>
      <c r="O111" s="424"/>
      <c r="P111" s="18"/>
      <c r="Q111" s="390"/>
    </row>
    <row r="112" spans="1:17" ht="15" thickTop="1">
      <c r="A112" s="487"/>
      <c r="B112" s="433">
        <f>B40</f>
        <v>111</v>
      </c>
      <c r="C112" s="408"/>
      <c r="D112" s="408"/>
      <c r="E112" s="408"/>
      <c r="F112" s="408"/>
      <c r="G112" s="475"/>
      <c r="H112" s="475"/>
      <c r="I112" s="475"/>
      <c r="J112" s="475"/>
      <c r="K112" s="408"/>
      <c r="L112" s="409"/>
      <c r="M112" s="478"/>
      <c r="N112" s="419"/>
      <c r="O112" s="419"/>
      <c r="P112" s="18"/>
      <c r="Q112" s="390"/>
    </row>
    <row r="113" spans="1:17" ht="15.75" thickBot="1">
      <c r="A113" s="1572"/>
      <c r="B113" s="457"/>
      <c r="C113" s="458"/>
      <c r="D113" s="458"/>
      <c r="E113" s="458"/>
      <c r="F113" s="458"/>
      <c r="G113" s="479"/>
      <c r="H113" s="479"/>
      <c r="I113" s="479"/>
      <c r="J113" s="479"/>
      <c r="K113" s="479"/>
      <c r="L113" s="479"/>
      <c r="M113" s="480"/>
      <c r="N113" s="424"/>
      <c r="O113" s="424"/>
      <c r="P113" s="18"/>
      <c r="Q113" s="390"/>
    </row>
  </sheetData>
  <sheetProtection password="CEE9"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28"/>
    <mergeCell ref="Y15:Y28"/>
    <mergeCell ref="Y9:Y14"/>
    <mergeCell ref="Y7:Z7"/>
    <mergeCell ref="P29:P40"/>
    <mergeCell ref="Y29:Y40"/>
    <mergeCell ref="P41:Q41"/>
    <mergeCell ref="R41:S41"/>
    <mergeCell ref="T41:U41"/>
    <mergeCell ref="V41:W41"/>
    <mergeCell ref="P42:Q42"/>
    <mergeCell ref="R42:S42"/>
    <mergeCell ref="T42:U42"/>
    <mergeCell ref="V42:W42"/>
    <mergeCell ref="P43:Q43"/>
    <mergeCell ref="R43:W43"/>
  </mergeCells>
  <phoneticPr fontId="26" type="noConversion"/>
  <conditionalFormatting sqref="F46 H46">
    <cfRule type="containsText" dxfId="95" priority="20" stopIfTrue="1" operator="containsText" text="超过">
      <formula>NOT(ISERROR(SEARCH("超过",F46)))</formula>
    </cfRule>
  </conditionalFormatting>
  <conditionalFormatting sqref="H48">
    <cfRule type="containsText" dxfId="94" priority="19" stopIfTrue="1" operator="containsText" text="超过">
      <formula>NOT(ISERROR(SEARCH("超过",H48)))</formula>
    </cfRule>
  </conditionalFormatting>
  <conditionalFormatting sqref="F48">
    <cfRule type="containsText" dxfId="93" priority="18" stopIfTrue="1" operator="containsText" text="超过">
      <formula>NOT(ISERROR(SEARCH("超过",F48)))</formula>
    </cfRule>
  </conditionalFormatting>
  <conditionalFormatting sqref="F47 H47">
    <cfRule type="containsText" dxfId="92" priority="17" stopIfTrue="1" operator="containsText" text="超过">
      <formula>NOT(ISERROR(SEARCH("超过",F47)))</formula>
    </cfRule>
  </conditionalFormatting>
  <conditionalFormatting sqref="E46">
    <cfRule type="expression" dxfId="91" priority="16" stopIfTrue="1">
      <formula>$F$46="超过30%"</formula>
    </cfRule>
  </conditionalFormatting>
  <conditionalFormatting sqref="E47">
    <cfRule type="expression" dxfId="90" priority="15" stopIfTrue="1">
      <formula>$F$47="超过20%"</formula>
    </cfRule>
  </conditionalFormatting>
  <conditionalFormatting sqref="E48">
    <cfRule type="expression" dxfId="89" priority="14" stopIfTrue="1">
      <formula>$F$48="超过30%"</formula>
    </cfRule>
  </conditionalFormatting>
  <conditionalFormatting sqref="G48">
    <cfRule type="expression" dxfId="88" priority="13" stopIfTrue="1">
      <formula>$H$48="超过30%"</formula>
    </cfRule>
  </conditionalFormatting>
  <conditionalFormatting sqref="G46">
    <cfRule type="expression" dxfId="87" priority="12" stopIfTrue="1">
      <formula>$H$46="超过30%"</formula>
    </cfRule>
  </conditionalFormatting>
  <conditionalFormatting sqref="G47">
    <cfRule type="expression" dxfId="86" priority="11" stopIfTrue="1">
      <formula>$H$47="超过20%"</formula>
    </cfRule>
  </conditionalFormatting>
  <conditionalFormatting sqref="J46">
    <cfRule type="containsText" dxfId="85" priority="10" stopIfTrue="1" operator="containsText" text="超过">
      <formula>NOT(ISERROR(SEARCH("超过",J46)))</formula>
    </cfRule>
  </conditionalFormatting>
  <conditionalFormatting sqref="J48">
    <cfRule type="containsText" dxfId="84" priority="9" stopIfTrue="1" operator="containsText" text="超过">
      <formula>NOT(ISERROR(SEARCH("超过",J48)))</formula>
    </cfRule>
  </conditionalFormatting>
  <conditionalFormatting sqref="J47">
    <cfRule type="containsText" dxfId="83" priority="8" stopIfTrue="1" operator="containsText" text="超过">
      <formula>NOT(ISERROR(SEARCH("超过",J47)))</formula>
    </cfRule>
  </conditionalFormatting>
  <conditionalFormatting sqref="I46">
    <cfRule type="expression" dxfId="82" priority="7" stopIfTrue="1">
      <formula>$J$46="超过30%"</formula>
    </cfRule>
  </conditionalFormatting>
  <conditionalFormatting sqref="I47">
    <cfRule type="expression" dxfId="81" priority="6" stopIfTrue="1">
      <formula>$J$47="超过20%"</formula>
    </cfRule>
  </conditionalFormatting>
  <conditionalFormatting sqref="I48">
    <cfRule type="expression" dxfId="80" priority="5" stopIfTrue="1">
      <formula>$J$48="超过30%"</formula>
    </cfRule>
  </conditionalFormatting>
  <conditionalFormatting sqref="F42">
    <cfRule type="expression" dxfId="79" priority="4">
      <formula>$D$42="简单平均"</formula>
    </cfRule>
  </conditionalFormatting>
  <conditionalFormatting sqref="H42">
    <cfRule type="expression" dxfId="78" priority="3">
      <formula>$D$42="简单平均"</formula>
    </cfRule>
  </conditionalFormatting>
  <conditionalFormatting sqref="J42">
    <cfRule type="expression" dxfId="77" priority="2">
      <formula>$D$42="简单平均"</formula>
    </cfRule>
  </conditionalFormatting>
  <conditionalFormatting sqref="F7:F40 H7:H40 J7:J40">
    <cfRule type="cellIs" dxfId="76" priority="1" operator="notEqual">
      <formula>100</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C20 G20 I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C16 E16 G16 I16">
      <formula1>产业集聚程度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2">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tabColor rgb="FF92D050"/>
    <pageSetUpPr fitToPage="1"/>
  </sheetPr>
  <dimension ref="A1:AC103"/>
  <sheetViews>
    <sheetView view="pageBreakPreview" zoomScale="70" zoomScaleNormal="60" zoomScaleSheetLayoutView="70" workbookViewId="0">
      <selection activeCell="J7" activeCellId="2" sqref="F7:F36 H7:H36 J7:J36"/>
    </sheetView>
  </sheetViews>
  <sheetFormatPr defaultColWidth="9" defaultRowHeight="14.25"/>
  <cols>
    <col min="1" max="1" width="10.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5.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1229" customFormat="1" ht="28.5" customHeight="1" thickBot="1">
      <c r="A1" s="1220" t="s">
        <v>2405</v>
      </c>
      <c r="B1" s="1582"/>
      <c r="C1" s="1221"/>
      <c r="D1" s="1222"/>
      <c r="E1" s="1559"/>
      <c r="F1" s="1223" t="s">
        <v>2243</v>
      </c>
      <c r="G1" s="1222"/>
      <c r="H1" s="1222"/>
      <c r="I1" s="1222"/>
      <c r="J1" s="1222"/>
      <c r="K1" s="1224"/>
      <c r="L1" s="1225"/>
      <c r="M1" s="1226"/>
      <c r="N1" s="1226"/>
      <c r="O1" s="1226"/>
      <c r="P1" s="1227"/>
      <c r="Q1" s="1227"/>
      <c r="R1" s="1227"/>
      <c r="S1" s="1227"/>
      <c r="T1" s="1227"/>
      <c r="U1" s="1227"/>
      <c r="V1" s="1227"/>
      <c r="W1" s="1227"/>
      <c r="X1" s="1227"/>
      <c r="Y1" s="1227"/>
      <c r="Z1" s="1227"/>
      <c r="AA1" s="1227"/>
      <c r="AB1" s="1227"/>
      <c r="AC1" s="1228"/>
    </row>
    <row r="2" spans="1:29" s="291" customFormat="1" ht="28.5" customHeight="1" thickTop="1">
      <c r="A2" s="1219" t="s">
        <v>1914</v>
      </c>
      <c r="B2" s="1217" t="e">
        <f ca="1">IF(D2="——",IF(B37="元/平方米",IF(C2="元",ROUND(C39*D3,0),ROUND(C39*D3/10000,0)),IF(C2="元",ROUND(F3*C39,0),ROUND(F3*C39/10000,0))),IF(B37="元/平方米",IF(C2="元",ROUND(C39*D3,0),ROUND(C39*D3/10000,0)),IF(C2="元",ROUND(F3*C39,0),ROUND(F3*C39/10000,0)))-E2)</f>
        <v>#DIV/0!</v>
      </c>
      <c r="C2" s="79" t="str">
        <f>'数据-取费表'!B3</f>
        <v>万元</v>
      </c>
      <c r="D2" s="1560"/>
      <c r="E2" s="927" t="e">
        <f ca="1">SUMIF(INDIRECT("'"&amp;G2&amp;"'"&amp;"!A:A"),"承租人权益价值",INDIRECT("'"&amp;G2&amp;"'"&amp;"!c:c"))</f>
        <v>#REF!</v>
      </c>
      <c r="F2" s="1561" t="str">
        <f>C2</f>
        <v>万元</v>
      </c>
      <c r="G2" s="1562"/>
      <c r="H2" s="3017"/>
      <c r="I2" s="3017"/>
      <c r="J2" s="3017"/>
      <c r="K2" s="3021"/>
      <c r="L2" s="3018"/>
      <c r="M2" s="3019"/>
      <c r="N2" s="3019"/>
      <c r="O2" s="3019"/>
      <c r="P2" s="625"/>
      <c r="Q2" s="625"/>
      <c r="R2" s="625"/>
      <c r="S2" s="625"/>
      <c r="T2" s="625"/>
      <c r="U2" s="625"/>
      <c r="V2" s="625"/>
      <c r="W2" s="625"/>
      <c r="X2" s="625"/>
      <c r="Y2" s="625"/>
      <c r="Z2" s="625"/>
      <c r="AA2" s="625"/>
      <c r="AB2" s="625"/>
      <c r="AC2" s="626"/>
    </row>
    <row r="3" spans="1:29" s="291" customFormat="1" ht="28.5" customHeight="1" thickBot="1">
      <c r="A3" s="83" t="s">
        <v>1915</v>
      </c>
      <c r="B3" s="495" t="e">
        <f>IF(AND(D2="——",B37="元/平方米"),C39,ROUND(F3*C39/D3,0))</f>
        <v>#DIV/0!</v>
      </c>
      <c r="C3" s="293" t="s">
        <v>2244</v>
      </c>
      <c r="D3" s="292">
        <f>IF(C1="仅计算典型户型",'数据-取费表'!E5,'数据-取费表'!B5)</f>
        <v>841.27</v>
      </c>
      <c r="E3" s="839" t="s">
        <v>2406</v>
      </c>
      <c r="F3" s="293">
        <f>'数据-取费表'!B42</f>
        <v>0</v>
      </c>
      <c r="G3" s="3017"/>
      <c r="H3" s="3017"/>
      <c r="I3" s="3017"/>
      <c r="J3" s="3017"/>
      <c r="K3" s="3021"/>
      <c r="L3" s="3018"/>
      <c r="M3" s="3019"/>
      <c r="N3" s="3019"/>
      <c r="O3" s="3019"/>
      <c r="P3" s="625"/>
      <c r="Q3" s="625"/>
      <c r="R3" s="625"/>
      <c r="S3" s="625"/>
      <c r="T3" s="625"/>
      <c r="U3" s="625"/>
      <c r="V3" s="625"/>
      <c r="W3" s="625"/>
      <c r="X3" s="625"/>
      <c r="Y3" s="625"/>
      <c r="Z3" s="625"/>
      <c r="AA3" s="625"/>
      <c r="AB3" s="644"/>
      <c r="AC3" s="639"/>
    </row>
    <row r="4" spans="1:29" ht="15">
      <c r="A4" s="294" t="s">
        <v>2245</v>
      </c>
      <c r="B4" s="295"/>
      <c r="C4" s="3519" t="s">
        <v>2246</v>
      </c>
      <c r="D4" s="3520"/>
      <c r="E4" s="3521" t="s">
        <v>2247</v>
      </c>
      <c r="F4" s="3522"/>
      <c r="G4" s="3519" t="s">
        <v>2248</v>
      </c>
      <c r="H4" s="3520"/>
      <c r="I4" s="3519" t="s">
        <v>2249</v>
      </c>
      <c r="J4" s="3520"/>
      <c r="K4" s="496" t="s">
        <v>2250</v>
      </c>
      <c r="L4" s="3022"/>
      <c r="M4" s="3023"/>
      <c r="N4" s="3023"/>
      <c r="O4" s="3023"/>
      <c r="P4" s="3523" t="s">
        <v>2251</v>
      </c>
      <c r="Q4" s="3524"/>
      <c r="R4" s="3506" t="s">
        <v>2247</v>
      </c>
      <c r="S4" s="3507"/>
      <c r="T4" s="3506" t="s">
        <v>2248</v>
      </c>
      <c r="U4" s="3507"/>
      <c r="V4" s="3529" t="s">
        <v>2249</v>
      </c>
      <c r="W4" s="3529"/>
      <c r="X4" s="1335"/>
      <c r="Y4" s="3506" t="s">
        <v>2251</v>
      </c>
      <c r="Z4" s="3507"/>
      <c r="AA4" s="3516" t="s">
        <v>2247</v>
      </c>
      <c r="AB4" s="3517" t="s">
        <v>2248</v>
      </c>
      <c r="AC4" s="3516" t="s">
        <v>2249</v>
      </c>
    </row>
    <row r="5" spans="1:29" ht="15">
      <c r="A5" s="297"/>
      <c r="B5" s="298"/>
      <c r="C5" s="3532" t="s">
        <v>2252</v>
      </c>
      <c r="D5" s="3533"/>
      <c r="E5" s="3530" t="s">
        <v>2253</v>
      </c>
      <c r="F5" s="3531"/>
      <c r="G5" s="3532" t="s">
        <v>2254</v>
      </c>
      <c r="H5" s="3533"/>
      <c r="I5" s="3532" t="s">
        <v>2255</v>
      </c>
      <c r="J5" s="3533"/>
      <c r="K5" s="496"/>
      <c r="L5" s="3022"/>
      <c r="M5" s="3023"/>
      <c r="N5" s="3023"/>
      <c r="O5" s="3023"/>
      <c r="P5" s="3525"/>
      <c r="Q5" s="3526"/>
      <c r="R5" s="3508"/>
      <c r="S5" s="3509"/>
      <c r="T5" s="3508"/>
      <c r="U5" s="3509"/>
      <c r="V5" s="3529"/>
      <c r="W5" s="3529"/>
      <c r="X5" s="1335"/>
      <c r="Y5" s="3508"/>
      <c r="Z5" s="3509"/>
      <c r="AA5" s="3517"/>
      <c r="AB5" s="3517"/>
      <c r="AC5" s="3517"/>
    </row>
    <row r="6" spans="1:29" ht="15.75" thickBot="1">
      <c r="A6" s="299"/>
      <c r="B6" s="300"/>
      <c r="C6" s="3534" t="s">
        <v>2256</v>
      </c>
      <c r="D6" s="3535"/>
      <c r="E6" s="3536" t="s">
        <v>2256</v>
      </c>
      <c r="F6" s="3537"/>
      <c r="G6" s="3534" t="s">
        <v>2256</v>
      </c>
      <c r="H6" s="3535"/>
      <c r="I6" s="3534" t="s">
        <v>2256</v>
      </c>
      <c r="J6" s="3535"/>
      <c r="K6" s="496" t="s">
        <v>2257</v>
      </c>
      <c r="L6" s="3022"/>
      <c r="M6" s="3023"/>
      <c r="N6" s="3023"/>
      <c r="O6" s="3023"/>
      <c r="P6" s="3527"/>
      <c r="Q6" s="3528"/>
      <c r="R6" s="3508"/>
      <c r="S6" s="3509"/>
      <c r="T6" s="3510"/>
      <c r="U6" s="3511"/>
      <c r="V6" s="3529"/>
      <c r="W6" s="3529"/>
      <c r="X6" s="1335"/>
      <c r="Y6" s="3510"/>
      <c r="Z6" s="3511"/>
      <c r="AA6" s="3518"/>
      <c r="AB6" s="3518"/>
      <c r="AC6" s="3518"/>
    </row>
    <row r="7" spans="1:29" s="25" customFormat="1" ht="15.75" thickBot="1">
      <c r="A7" s="301" t="s">
        <v>2258</v>
      </c>
      <c r="B7" s="302"/>
      <c r="C7" s="303">
        <f>'数据-取费表'!B2</f>
        <v>44334</v>
      </c>
      <c r="D7" s="304">
        <v>100</v>
      </c>
      <c r="E7" s="305"/>
      <c r="F7" s="306">
        <f>SUMIF(48:48,YEAR(E7)&amp;"-"&amp;MONTH(E7),49:49)</f>
        <v>0</v>
      </c>
      <c r="G7" s="305"/>
      <c r="H7" s="304">
        <f>SUMIF(48:48,YEAR(G7)&amp;"-"&amp;MONTH(G7),49:49)</f>
        <v>0</v>
      </c>
      <c r="I7" s="305"/>
      <c r="J7" s="304">
        <f>SUMIF(48:48,YEAR(I7)&amp;"-"&amp;MONTH(I7),49:49)</f>
        <v>0</v>
      </c>
      <c r="K7" s="497"/>
      <c r="L7" s="3024"/>
      <c r="M7" s="3025"/>
      <c r="N7" s="3025"/>
      <c r="O7" s="3025"/>
      <c r="P7" s="3504" t="s">
        <v>2259</v>
      </c>
      <c r="Q7" s="3512"/>
      <c r="R7" s="627" t="s">
        <v>25</v>
      </c>
      <c r="S7" s="628">
        <f t="shared" ref="S7:S14" si="0">F7</f>
        <v>0</v>
      </c>
      <c r="T7" s="627" t="s">
        <v>25</v>
      </c>
      <c r="U7" s="628">
        <f t="shared" ref="U7:U14" si="1">H7</f>
        <v>0</v>
      </c>
      <c r="V7" s="627" t="s">
        <v>25</v>
      </c>
      <c r="W7" s="628">
        <f t="shared" ref="W7:W14" si="2">J7</f>
        <v>0</v>
      </c>
      <c r="X7" s="629"/>
      <c r="Y7" s="3504" t="s">
        <v>2259</v>
      </c>
      <c r="Z7" s="3505"/>
      <c r="AA7" s="630" t="e">
        <f>D7/F7</f>
        <v>#DIV/0!</v>
      </c>
      <c r="AB7" s="630" t="e">
        <f>D7/H7</f>
        <v>#DIV/0!</v>
      </c>
      <c r="AC7" s="630" t="e">
        <f>D7/J7</f>
        <v>#DIV/0!</v>
      </c>
    </row>
    <row r="8" spans="1:29" s="25" customFormat="1" ht="15.75" thickBot="1">
      <c r="A8" s="301" t="s">
        <v>2260</v>
      </c>
      <c r="B8" s="302"/>
      <c r="C8" s="307" t="s">
        <v>2261</v>
      </c>
      <c r="D8" s="304">
        <v>100</v>
      </c>
      <c r="E8" s="307"/>
      <c r="F8" s="306">
        <f>SUMIF(51:51,E8,52:52)-SUMIF(51:51,C8,52:52)+100</f>
        <v>0</v>
      </c>
      <c r="G8" s="307"/>
      <c r="H8" s="304">
        <f>SUMIF(51:51,G8,52:52)-SUMIF(51:51,C8,52:52)+100</f>
        <v>0</v>
      </c>
      <c r="I8" s="307"/>
      <c r="J8" s="304">
        <f>SUMIF(51:51,I8,52:52)-SUMIF(51:51,C8,52:52)+100</f>
        <v>0</v>
      </c>
      <c r="K8" s="497"/>
      <c r="L8" s="3024"/>
      <c r="M8" s="3025"/>
      <c r="N8" s="3025"/>
      <c r="O8" s="3025"/>
      <c r="P8" s="3504" t="s">
        <v>2262</v>
      </c>
      <c r="Q8" s="3505"/>
      <c r="R8" s="627" t="s">
        <v>25</v>
      </c>
      <c r="S8" s="628">
        <f t="shared" si="0"/>
        <v>0</v>
      </c>
      <c r="T8" s="627" t="s">
        <v>25</v>
      </c>
      <c r="U8" s="628">
        <f t="shared" si="1"/>
        <v>0</v>
      </c>
      <c r="V8" s="627" t="s">
        <v>25</v>
      </c>
      <c r="W8" s="628">
        <f t="shared" si="2"/>
        <v>0</v>
      </c>
      <c r="X8" s="629"/>
      <c r="Y8" s="3504" t="s">
        <v>2262</v>
      </c>
      <c r="Z8" s="3505"/>
      <c r="AA8" s="630" t="e">
        <f t="shared" ref="AA8:AA36" si="3">D8/F8</f>
        <v>#DIV/0!</v>
      </c>
      <c r="AB8" s="630" t="e">
        <f t="shared" ref="AB8:AB36" si="4">D8/H8</f>
        <v>#DIV/0!</v>
      </c>
      <c r="AC8" s="630" t="e">
        <f t="shared" ref="AC8:AC36" si="5">D8/J8</f>
        <v>#DIV/0!</v>
      </c>
    </row>
    <row r="9" spans="1:29" s="25" customFormat="1">
      <c r="A9" s="21" t="s">
        <v>2263</v>
      </c>
      <c r="B9" s="522" t="s">
        <v>2264</v>
      </c>
      <c r="C9" s="309"/>
      <c r="D9" s="28">
        <v>100</v>
      </c>
      <c r="E9" s="311"/>
      <c r="F9" s="28">
        <f>SUMIF(53:53,E9,54:54)-SUMIF(53:53,C9,54:54)+100</f>
        <v>100</v>
      </c>
      <c r="G9" s="310"/>
      <c r="H9" s="28">
        <f>SUMIF(53:53,G9,54:54)-SUMIF(53:53,C9,54:54)+100</f>
        <v>100</v>
      </c>
      <c r="I9" s="310"/>
      <c r="J9" s="28">
        <f>SUMIF(53:53,I9,54:54)-SUMIF(53:53,C9,54:54)+100</f>
        <v>100</v>
      </c>
      <c r="K9" s="497"/>
      <c r="L9" s="3024"/>
      <c r="M9" s="3025"/>
      <c r="N9" s="3025"/>
      <c r="O9" s="3026"/>
      <c r="P9" s="3496" t="s">
        <v>2265</v>
      </c>
      <c r="Q9" s="1327" t="str">
        <f t="shared" ref="Q9:Q14" si="6">B9</f>
        <v>用途</v>
      </c>
      <c r="R9" s="627" t="s">
        <v>25</v>
      </c>
      <c r="S9" s="628">
        <f t="shared" si="0"/>
        <v>100</v>
      </c>
      <c r="T9" s="627" t="s">
        <v>25</v>
      </c>
      <c r="U9" s="628">
        <f t="shared" si="1"/>
        <v>100</v>
      </c>
      <c r="V9" s="627" t="s">
        <v>25</v>
      </c>
      <c r="W9" s="628">
        <f t="shared" si="2"/>
        <v>100</v>
      </c>
      <c r="X9" s="629"/>
      <c r="Y9" s="3515" t="s">
        <v>2266</v>
      </c>
      <c r="Z9" s="19" t="str">
        <f t="shared" ref="Z9:Z14" si="7">Q9</f>
        <v>用途</v>
      </c>
      <c r="AA9" s="630">
        <f t="shared" si="3"/>
        <v>1</v>
      </c>
      <c r="AB9" s="630">
        <f t="shared" si="4"/>
        <v>1</v>
      </c>
      <c r="AC9" s="630">
        <f t="shared" si="5"/>
        <v>1</v>
      </c>
    </row>
    <row r="10" spans="1:29" s="317" customFormat="1" ht="27">
      <c r="A10" s="523"/>
      <c r="B10" s="524" t="s">
        <v>2267</v>
      </c>
      <c r="C10" s="314"/>
      <c r="D10" s="29">
        <v>100</v>
      </c>
      <c r="E10" s="314"/>
      <c r="F10" s="29">
        <f>SUMIF(55:55,E10,56:56)-SUMIF(55:55,C10,56:56)+100</f>
        <v>100</v>
      </c>
      <c r="G10" s="315"/>
      <c r="H10" s="29">
        <f>SUMIF(55:55,G10,56:56)-SUMIF(55:55,C10,56:56)+100</f>
        <v>100</v>
      </c>
      <c r="I10" s="314"/>
      <c r="J10" s="29">
        <f>SUMIF(55:55,I10,56:56)-SUMIF(55:55,C10,56:56)+100</f>
        <v>100</v>
      </c>
      <c r="K10" s="498"/>
      <c r="L10" s="3027"/>
      <c r="M10" s="3028"/>
      <c r="N10" s="3028"/>
      <c r="O10" s="3029"/>
      <c r="P10" s="3496"/>
      <c r="Q10" s="1327" t="str">
        <f t="shared" si="6"/>
        <v>土地使用年限（年）</v>
      </c>
      <c r="R10" s="627" t="s">
        <v>25</v>
      </c>
      <c r="S10" s="628">
        <f t="shared" si="0"/>
        <v>100</v>
      </c>
      <c r="T10" s="627" t="s">
        <v>25</v>
      </c>
      <c r="U10" s="628">
        <f t="shared" si="1"/>
        <v>100</v>
      </c>
      <c r="V10" s="627" t="s">
        <v>25</v>
      </c>
      <c r="W10" s="628">
        <f t="shared" si="2"/>
        <v>100</v>
      </c>
      <c r="X10" s="629"/>
      <c r="Y10" s="3515"/>
      <c r="Z10" s="19" t="str">
        <f t="shared" si="7"/>
        <v>土地使用年限（年）</v>
      </c>
      <c r="AA10" s="630">
        <f t="shared" si="3"/>
        <v>1</v>
      </c>
      <c r="AB10" s="630">
        <f t="shared" si="4"/>
        <v>1</v>
      </c>
      <c r="AC10" s="630">
        <f t="shared" si="5"/>
        <v>1</v>
      </c>
    </row>
    <row r="11" spans="1:29" ht="15">
      <c r="A11" s="525"/>
      <c r="B11" s="526">
        <v>111</v>
      </c>
      <c r="C11" s="322"/>
      <c r="D11" s="29">
        <v>100</v>
      </c>
      <c r="E11" s="322"/>
      <c r="F11" s="29">
        <f>SUMIF(57:57,E11,58:58)-SUMIF(57:57,C11,58:58)+100</f>
        <v>100</v>
      </c>
      <c r="G11" s="322"/>
      <c r="H11" s="29">
        <f>SUMIF(57:57,G11,58:58)-SUMIF(57:57,C11,58:58)+100</f>
        <v>100</v>
      </c>
      <c r="I11" s="322"/>
      <c r="J11" s="29">
        <f>SUMIF(57:57,I11,58:58)-SUMIF(57:57,C11,58:58)+100</f>
        <v>100</v>
      </c>
      <c r="K11" s="499"/>
      <c r="L11" s="3030"/>
      <c r="M11" s="3023"/>
      <c r="N11" s="3023"/>
      <c r="O11" s="3031"/>
      <c r="P11" s="3496"/>
      <c r="Q11" s="1327">
        <f t="shared" si="6"/>
        <v>111</v>
      </c>
      <c r="R11" s="627" t="s">
        <v>25</v>
      </c>
      <c r="S11" s="628">
        <f t="shared" si="0"/>
        <v>100</v>
      </c>
      <c r="T11" s="627" t="s">
        <v>25</v>
      </c>
      <c r="U11" s="628">
        <f t="shared" si="1"/>
        <v>100</v>
      </c>
      <c r="V11" s="627" t="s">
        <v>25</v>
      </c>
      <c r="W11" s="628">
        <f t="shared" si="2"/>
        <v>100</v>
      </c>
      <c r="X11" s="629"/>
      <c r="Y11" s="3515"/>
      <c r="Z11" s="19">
        <f t="shared" si="7"/>
        <v>111</v>
      </c>
      <c r="AA11" s="630">
        <f t="shared" si="3"/>
        <v>1</v>
      </c>
      <c r="AB11" s="630">
        <f t="shared" si="4"/>
        <v>1</v>
      </c>
      <c r="AC11" s="630">
        <f t="shared" si="5"/>
        <v>1</v>
      </c>
    </row>
    <row r="12" spans="1:29" s="25" customFormat="1" ht="15">
      <c r="A12" s="527"/>
      <c r="B12" s="526">
        <v>111</v>
      </c>
      <c r="C12" s="322"/>
      <c r="D12" s="323">
        <v>100</v>
      </c>
      <c r="E12" s="322"/>
      <c r="F12" s="29">
        <f>SUMIF(59:59,E12,60:60)-SUMIF(59:59,C12,60:60)+100</f>
        <v>100</v>
      </c>
      <c r="G12" s="322"/>
      <c r="H12" s="29">
        <f>SUMIF(59:59,G12,60:60)-SUMIF(59:59,C12,60:60)+100</f>
        <v>100</v>
      </c>
      <c r="I12" s="322"/>
      <c r="J12" s="29">
        <f>SUMIF(59:59,I12,60:60)-SUMIF(59:59,C12,60:60)+100</f>
        <v>100</v>
      </c>
      <c r="K12" s="499"/>
      <c r="L12" s="3024"/>
      <c r="M12" s="3025"/>
      <c r="N12" s="3025"/>
      <c r="O12" s="3026"/>
      <c r="P12" s="3496"/>
      <c r="Q12" s="1327">
        <f t="shared" si="6"/>
        <v>111</v>
      </c>
      <c r="R12" s="627" t="s">
        <v>25</v>
      </c>
      <c r="S12" s="628">
        <f t="shared" si="0"/>
        <v>100</v>
      </c>
      <c r="T12" s="627" t="s">
        <v>25</v>
      </c>
      <c r="U12" s="628">
        <f t="shared" si="1"/>
        <v>100</v>
      </c>
      <c r="V12" s="627" t="s">
        <v>25</v>
      </c>
      <c r="W12" s="628">
        <f t="shared" si="2"/>
        <v>100</v>
      </c>
      <c r="X12" s="629"/>
      <c r="Y12" s="3515"/>
      <c r="Z12" s="19">
        <f t="shared" si="7"/>
        <v>111</v>
      </c>
      <c r="AA12" s="630">
        <f>D12/F12</f>
        <v>1</v>
      </c>
      <c r="AB12" s="630">
        <f>D12/H12</f>
        <v>1</v>
      </c>
      <c r="AC12" s="630">
        <f>D12/J12</f>
        <v>1</v>
      </c>
    </row>
    <row r="13" spans="1:29" ht="15.75" thickBot="1">
      <c r="A13" s="528"/>
      <c r="B13" s="526">
        <v>111</v>
      </c>
      <c r="C13" s="324"/>
      <c r="D13" s="325">
        <v>100</v>
      </c>
      <c r="E13" s="322"/>
      <c r="F13" s="29">
        <f>SUMIF(61:61,E13,62:62)-SUMIF(61:61,C13,62:62)+100</f>
        <v>100</v>
      </c>
      <c r="G13" s="322"/>
      <c r="H13" s="325">
        <f>SUMIF(61:61,G13,62:62)-SUMIF(61:61,C13,62:62)+100</f>
        <v>100</v>
      </c>
      <c r="I13" s="322"/>
      <c r="J13" s="325">
        <f>SUMIF(61:61,I13,62:62)-SUMIF(61:61,C13,62:62)+100</f>
        <v>100</v>
      </c>
      <c r="K13" s="499"/>
      <c r="L13" s="3032"/>
      <c r="M13" s="3023"/>
      <c r="N13" s="3023"/>
      <c r="O13" s="3031"/>
      <c r="P13" s="3496"/>
      <c r="Q13" s="1327">
        <f t="shared" si="6"/>
        <v>111</v>
      </c>
      <c r="R13" s="627" t="s">
        <v>25</v>
      </c>
      <c r="S13" s="628">
        <f t="shared" si="0"/>
        <v>100</v>
      </c>
      <c r="T13" s="627" t="s">
        <v>25</v>
      </c>
      <c r="U13" s="628">
        <f t="shared" si="1"/>
        <v>100</v>
      </c>
      <c r="V13" s="627" t="s">
        <v>25</v>
      </c>
      <c r="W13" s="628">
        <f t="shared" si="2"/>
        <v>100</v>
      </c>
      <c r="X13" s="629"/>
      <c r="Y13" s="3515"/>
      <c r="Z13" s="19">
        <f t="shared" si="7"/>
        <v>111</v>
      </c>
      <c r="AA13" s="630">
        <f t="shared" si="3"/>
        <v>1</v>
      </c>
      <c r="AB13" s="630">
        <f t="shared" si="4"/>
        <v>1</v>
      </c>
      <c r="AC13" s="630">
        <f t="shared" si="5"/>
        <v>1</v>
      </c>
    </row>
    <row r="14" spans="1:29" ht="85.5">
      <c r="A14" s="294" t="s">
        <v>2269</v>
      </c>
      <c r="B14" s="511" t="s">
        <v>2407</v>
      </c>
      <c r="C14" s="1143" t="str">
        <f>IF(B1="工业",估价对象房地状况!G4,估价对象房地状况!C6)</f>
        <v>估价对象周边道路状况、公共交通通达情况、停车便捷程度，综合评价交通便捷度较好</v>
      </c>
      <c r="D14" s="1137">
        <v>100</v>
      </c>
      <c r="E14" s="331"/>
      <c r="F14" s="330">
        <f>SUMIF(63:63,E15,64:64)-SUMIF(63:63,C15,64:64)+100</f>
        <v>100</v>
      </c>
      <c r="G14" s="331"/>
      <c r="H14" s="330">
        <f>SUMIF(63:63,G15,64:64)-SUMIF(63:63,C15,64:64)+100</f>
        <v>100</v>
      </c>
      <c r="I14" s="331"/>
      <c r="J14" s="330">
        <f>SUMIF(63:63,I15,64:64)-SUMIF(63:63,C15,64:64)+100</f>
        <v>100</v>
      </c>
      <c r="K14" s="500"/>
      <c r="L14" s="3032"/>
      <c r="M14" s="3023"/>
      <c r="N14" s="3023"/>
      <c r="O14" s="3031"/>
      <c r="P14" s="3513" t="s">
        <v>2270</v>
      </c>
      <c r="Q14" s="1334" t="str">
        <f t="shared" si="6"/>
        <v>交通便捷度</v>
      </c>
      <c r="R14" s="631" t="s">
        <v>25</v>
      </c>
      <c r="S14" s="632">
        <f t="shared" si="0"/>
        <v>100</v>
      </c>
      <c r="T14" s="631" t="s">
        <v>25</v>
      </c>
      <c r="U14" s="632">
        <f t="shared" si="1"/>
        <v>100</v>
      </c>
      <c r="V14" s="631" t="s">
        <v>25</v>
      </c>
      <c r="W14" s="632">
        <f t="shared" si="2"/>
        <v>100</v>
      </c>
      <c r="X14" s="1335"/>
      <c r="Y14" s="3513" t="s">
        <v>2270</v>
      </c>
      <c r="Z14" s="1336" t="str">
        <f t="shared" si="7"/>
        <v>交通便捷度</v>
      </c>
      <c r="AA14" s="1337">
        <f t="shared" si="3"/>
        <v>1</v>
      </c>
      <c r="AB14" s="1337">
        <f t="shared" si="4"/>
        <v>1</v>
      </c>
      <c r="AC14" s="1337">
        <f t="shared" si="5"/>
        <v>1</v>
      </c>
    </row>
    <row r="15" spans="1:29" ht="15">
      <c r="A15" s="297"/>
      <c r="B15" s="529"/>
      <c r="C15" s="1144"/>
      <c r="D15" s="1138"/>
      <c r="E15" s="335"/>
      <c r="F15" s="336"/>
      <c r="G15" s="1135"/>
      <c r="H15" s="339"/>
      <c r="I15" s="335"/>
      <c r="J15" s="336"/>
      <c r="K15" s="501"/>
      <c r="L15" s="3032"/>
      <c r="M15" s="3023"/>
      <c r="N15" s="3023"/>
      <c r="O15" s="3031"/>
      <c r="P15" s="3514"/>
      <c r="Q15" s="1334"/>
      <c r="R15" s="631"/>
      <c r="S15" s="632"/>
      <c r="T15" s="631"/>
      <c r="U15" s="632"/>
      <c r="V15" s="631"/>
      <c r="W15" s="632"/>
      <c r="X15" s="1335"/>
      <c r="Y15" s="3514"/>
      <c r="Z15" s="1336"/>
      <c r="AA15" s="1337">
        <v>1</v>
      </c>
      <c r="AB15" s="1337">
        <v>1</v>
      </c>
      <c r="AC15" s="1337">
        <v>1</v>
      </c>
    </row>
    <row r="16" spans="1:29" ht="42.75">
      <c r="A16" s="297"/>
      <c r="B16" s="513" t="s">
        <v>2385</v>
      </c>
      <c r="C16" s="1145" t="str">
        <f>IF(B1="工业",估价对象房地状况!G5,估价对象房地状况!C7)</f>
        <v>估价对象所在区域公共配套设施齐备情况</v>
      </c>
      <c r="D16" s="1139">
        <v>100</v>
      </c>
      <c r="E16" s="341"/>
      <c r="F16" s="339">
        <f>SUMIF(65:65,E17,66:66)-SUMIF(65:65,C17,66:66)+100</f>
        <v>100</v>
      </c>
      <c r="G16" s="341"/>
      <c r="H16" s="344">
        <f>SUMIF(65:65,G17,66:66)-SUMIF(65:65,C17,66:66)+100</f>
        <v>100</v>
      </c>
      <c r="I16" s="341"/>
      <c r="J16" s="344">
        <f>SUMIF(65:65,I17,66:66)-SUMIF(65:65,C17,66:66)+100</f>
        <v>100</v>
      </c>
      <c r="K16" s="500"/>
      <c r="L16" s="3032"/>
      <c r="M16" s="3023"/>
      <c r="N16" s="3023"/>
      <c r="O16" s="3031"/>
      <c r="P16" s="3514"/>
      <c r="Q16" s="1334" t="str">
        <f>B16</f>
        <v>公共配套设施</v>
      </c>
      <c r="R16" s="631" t="s">
        <v>25</v>
      </c>
      <c r="S16" s="632">
        <f>F16</f>
        <v>100</v>
      </c>
      <c r="T16" s="631" t="s">
        <v>25</v>
      </c>
      <c r="U16" s="632">
        <f>H16</f>
        <v>100</v>
      </c>
      <c r="V16" s="631" t="s">
        <v>25</v>
      </c>
      <c r="W16" s="632">
        <f>J16</f>
        <v>100</v>
      </c>
      <c r="X16" s="1335"/>
      <c r="Y16" s="3514"/>
      <c r="Z16" s="1336" t="str">
        <f>Q16</f>
        <v>公共配套设施</v>
      </c>
      <c r="AA16" s="1337">
        <f t="shared" si="3"/>
        <v>1</v>
      </c>
      <c r="AB16" s="1337">
        <f t="shared" si="4"/>
        <v>1</v>
      </c>
      <c r="AC16" s="1337">
        <f t="shared" si="5"/>
        <v>1</v>
      </c>
    </row>
    <row r="17" spans="1:29" ht="15">
      <c r="A17" s="297"/>
      <c r="B17" s="514"/>
      <c r="C17" s="1133"/>
      <c r="D17" s="1139"/>
      <c r="E17" s="337"/>
      <c r="F17" s="339"/>
      <c r="G17" s="337"/>
      <c r="H17" s="336"/>
      <c r="I17" s="337"/>
      <c r="J17" s="336"/>
      <c r="K17" s="501"/>
      <c r="L17" s="3032"/>
      <c r="M17" s="3023"/>
      <c r="N17" s="3023"/>
      <c r="O17" s="3031"/>
      <c r="P17" s="3514"/>
      <c r="Q17" s="1334"/>
      <c r="R17" s="631"/>
      <c r="S17" s="632"/>
      <c r="T17" s="631"/>
      <c r="U17" s="632"/>
      <c r="V17" s="631"/>
      <c r="W17" s="632"/>
      <c r="X17" s="1335"/>
      <c r="Y17" s="3514"/>
      <c r="Z17" s="1336"/>
      <c r="AA17" s="1337">
        <v>1</v>
      </c>
      <c r="AB17" s="1337">
        <v>1</v>
      </c>
      <c r="AC17" s="1337">
        <v>1</v>
      </c>
    </row>
    <row r="18" spans="1:29" ht="28.5">
      <c r="A18" s="297"/>
      <c r="B18" s="515" t="s">
        <v>2386</v>
      </c>
      <c r="C18" s="1145" t="str">
        <f>IF(B1="工业",估价对象房地状况!G6,估价对象房地状况!C8)</f>
        <v>估价对象所在区域基础设施水平</v>
      </c>
      <c r="D18" s="1139">
        <v>100</v>
      </c>
      <c r="E18" s="341"/>
      <c r="F18" s="339">
        <f>SUMIF(67:67,E19,68:68)-SUMIF(67:67,C19,68:68)+100</f>
        <v>100</v>
      </c>
      <c r="G18" s="341"/>
      <c r="H18" s="344">
        <f>SUMIF(67:67,G19,68:68)-SUMIF(67:67,C19,68:68)+100</f>
        <v>100</v>
      </c>
      <c r="I18" s="341"/>
      <c r="J18" s="344">
        <f>SUMIF(67:67,I19,68:68)-SUMIF(67:67,C19,68:68)+100</f>
        <v>100</v>
      </c>
      <c r="K18" s="500"/>
      <c r="L18" s="3032"/>
      <c r="M18" s="3023"/>
      <c r="N18" s="3023"/>
      <c r="O18" s="3031"/>
      <c r="P18" s="3514"/>
      <c r="Q18" s="1334" t="str">
        <f>B18</f>
        <v>基础设施水平</v>
      </c>
      <c r="R18" s="631" t="s">
        <v>25</v>
      </c>
      <c r="S18" s="632">
        <f>F18</f>
        <v>100</v>
      </c>
      <c r="T18" s="631" t="s">
        <v>25</v>
      </c>
      <c r="U18" s="632">
        <f>H18</f>
        <v>100</v>
      </c>
      <c r="V18" s="631" t="s">
        <v>25</v>
      </c>
      <c r="W18" s="632">
        <f>J18</f>
        <v>100</v>
      </c>
      <c r="X18" s="1335"/>
      <c r="Y18" s="3514"/>
      <c r="Z18" s="1336" t="str">
        <f>Q18</f>
        <v>基础设施水平</v>
      </c>
      <c r="AA18" s="1337">
        <f t="shared" ref="AA18" si="8">D18/F18</f>
        <v>1</v>
      </c>
      <c r="AB18" s="1337">
        <f t="shared" ref="AB18" si="9">D18/H18</f>
        <v>1</v>
      </c>
      <c r="AC18" s="1337">
        <f t="shared" ref="AC18" si="10">D18/J18</f>
        <v>1</v>
      </c>
    </row>
    <row r="19" spans="1:29" ht="15">
      <c r="A19" s="297"/>
      <c r="B19" s="515"/>
      <c r="C19" s="1134"/>
      <c r="D19" s="1139"/>
      <c r="E19" s="1131"/>
      <c r="F19" s="339"/>
      <c r="G19" s="1131"/>
      <c r="H19" s="336"/>
      <c r="I19" s="337"/>
      <c r="J19" s="336"/>
      <c r="K19" s="1132"/>
      <c r="L19" s="3032"/>
      <c r="M19" s="3023"/>
      <c r="N19" s="3023"/>
      <c r="O19" s="3031"/>
      <c r="P19" s="3514"/>
      <c r="Q19" s="1334"/>
      <c r="R19" s="631"/>
      <c r="S19" s="632"/>
      <c r="T19" s="631"/>
      <c r="U19" s="632"/>
      <c r="V19" s="631"/>
      <c r="W19" s="632"/>
      <c r="X19" s="1335"/>
      <c r="Y19" s="3514"/>
      <c r="Z19" s="1336"/>
      <c r="AA19" s="1337">
        <v>1</v>
      </c>
      <c r="AB19" s="1337">
        <v>1</v>
      </c>
      <c r="AC19" s="1337">
        <v>1</v>
      </c>
    </row>
    <row r="20" spans="1:29" ht="57">
      <c r="A20" s="297"/>
      <c r="B20" s="513" t="s">
        <v>2408</v>
      </c>
      <c r="C20" s="1145" t="str">
        <f>IF(B1="工业",估价对象房地状况!G7,估价对象房地状况!C9)</f>
        <v>区域自然环境：；人文环境；综合评价环境状况一般</v>
      </c>
      <c r="D20" s="1140">
        <v>100</v>
      </c>
      <c r="E20" s="347"/>
      <c r="F20" s="344">
        <f>SUMIF(69:69,E21,70:70)-SUMIF(69:69,C21,70:70)+100</f>
        <v>100</v>
      </c>
      <c r="G20" s="347"/>
      <c r="H20" s="339">
        <f>SUMIF(69:69,G21,70:70)-SUMIF(69:69,C21,70:70)+100</f>
        <v>100</v>
      </c>
      <c r="I20" s="341"/>
      <c r="J20" s="339">
        <f>SUMIF(69:69,I21,70:70)-SUMIF(69:69,C21,70:70)+100</f>
        <v>100</v>
      </c>
      <c r="K20" s="500"/>
      <c r="L20" s="3032"/>
      <c r="M20" s="3023"/>
      <c r="N20" s="3023"/>
      <c r="O20" s="3031"/>
      <c r="P20" s="3514"/>
      <c r="Q20" s="1334" t="str">
        <f>B20</f>
        <v>自然及人文环境</v>
      </c>
      <c r="R20" s="631" t="s">
        <v>25</v>
      </c>
      <c r="S20" s="632">
        <f>F20</f>
        <v>100</v>
      </c>
      <c r="T20" s="631" t="s">
        <v>25</v>
      </c>
      <c r="U20" s="632">
        <f>H20</f>
        <v>100</v>
      </c>
      <c r="V20" s="631" t="s">
        <v>25</v>
      </c>
      <c r="W20" s="632">
        <f>J20</f>
        <v>100</v>
      </c>
      <c r="X20" s="1335"/>
      <c r="Y20" s="3514"/>
      <c r="Z20" s="1336" t="str">
        <f>Q20</f>
        <v>自然及人文环境</v>
      </c>
      <c r="AA20" s="1337">
        <f t="shared" si="3"/>
        <v>1</v>
      </c>
      <c r="AB20" s="1337">
        <f t="shared" si="4"/>
        <v>1</v>
      </c>
      <c r="AC20" s="1337">
        <f t="shared" si="5"/>
        <v>1</v>
      </c>
    </row>
    <row r="21" spans="1:29" ht="15">
      <c r="A21" s="297"/>
      <c r="B21" s="514"/>
      <c r="C21" s="1144"/>
      <c r="D21" s="1138"/>
      <c r="E21" s="335"/>
      <c r="F21" s="336"/>
      <c r="G21" s="1135"/>
      <c r="H21" s="336"/>
      <c r="I21" s="335"/>
      <c r="J21" s="336"/>
      <c r="K21" s="501"/>
      <c r="L21" s="3032"/>
      <c r="M21" s="3023"/>
      <c r="N21" s="3023"/>
      <c r="O21" s="3031"/>
      <c r="P21" s="3514"/>
      <c r="Q21" s="1334"/>
      <c r="R21" s="631"/>
      <c r="S21" s="632"/>
      <c r="T21" s="631"/>
      <c r="U21" s="632"/>
      <c r="V21" s="631"/>
      <c r="W21" s="632"/>
      <c r="X21" s="1335"/>
      <c r="Y21" s="3514"/>
      <c r="Z21" s="1336"/>
      <c r="AA21" s="1337">
        <v>1</v>
      </c>
      <c r="AB21" s="1337">
        <v>1</v>
      </c>
      <c r="AC21" s="1337">
        <v>1</v>
      </c>
    </row>
    <row r="22" spans="1:29" ht="15">
      <c r="A22" s="297"/>
      <c r="B22" s="513" t="s">
        <v>2409</v>
      </c>
      <c r="C22" s="516"/>
      <c r="D22" s="1139">
        <v>100</v>
      </c>
      <c r="E22" s="502"/>
      <c r="F22" s="325">
        <f>SUMIF(71:71,E22,72:72)-SUMIF(71:71,C22,72:72)+100</f>
        <v>100</v>
      </c>
      <c r="G22" s="516"/>
      <c r="H22" s="325">
        <f>SUMIF(71:71,G22,72:72)-SUMIF(71:71,C22,72:72)+100</f>
        <v>100</v>
      </c>
      <c r="I22" s="502"/>
      <c r="J22" s="325">
        <f>SUMIF(71:71,I22,72:72)-SUMIF(71:71,C22,72:72)+100</f>
        <v>100</v>
      </c>
      <c r="K22" s="498"/>
      <c r="L22" s="3032"/>
      <c r="M22" s="3023"/>
      <c r="N22" s="3023"/>
      <c r="O22" s="3031"/>
      <c r="P22" s="3514"/>
      <c r="Q22" s="1334" t="str">
        <f>B22</f>
        <v>楼层</v>
      </c>
      <c r="R22" s="631" t="s">
        <v>25</v>
      </c>
      <c r="S22" s="632">
        <f>F22</f>
        <v>100</v>
      </c>
      <c r="T22" s="631" t="s">
        <v>25</v>
      </c>
      <c r="U22" s="632">
        <f>H22</f>
        <v>100</v>
      </c>
      <c r="V22" s="631" t="s">
        <v>25</v>
      </c>
      <c r="W22" s="632">
        <f>J22</f>
        <v>100</v>
      </c>
      <c r="X22" s="1335"/>
      <c r="Y22" s="3514"/>
      <c r="Z22" s="1336" t="str">
        <f>Q22</f>
        <v>楼层</v>
      </c>
      <c r="AA22" s="1337">
        <f t="shared" si="3"/>
        <v>1</v>
      </c>
      <c r="AB22" s="1337">
        <f t="shared" si="4"/>
        <v>1</v>
      </c>
      <c r="AC22" s="1337">
        <f t="shared" si="5"/>
        <v>1</v>
      </c>
    </row>
    <row r="23" spans="1:29" ht="15">
      <c r="A23" s="297"/>
      <c r="B23" s="530">
        <v>111</v>
      </c>
      <c r="C23" s="1146"/>
      <c r="D23" s="1141">
        <v>100</v>
      </c>
      <c r="E23" s="322"/>
      <c r="F23" s="325">
        <f>SUMIF(73:73,E23,74:74)-SUMIF(73:73,C23,74:74)+100</f>
        <v>100</v>
      </c>
      <c r="G23" s="1136"/>
      <c r="H23" s="325">
        <f>SUMIF(73:73,G23,74:74)-SUMIF(73:73,C23,74:74)+100</f>
        <v>100</v>
      </c>
      <c r="I23" s="322"/>
      <c r="J23" s="325">
        <f>SUMIF(73:73,I23,74:74)-SUMIF(73:73,C23,74:74)+100</f>
        <v>100</v>
      </c>
      <c r="K23" s="499"/>
      <c r="L23" s="3032"/>
      <c r="M23" s="3023"/>
      <c r="N23" s="3023"/>
      <c r="O23" s="3031"/>
      <c r="P23" s="3514"/>
      <c r="Q23" s="1334">
        <f>B23</f>
        <v>111</v>
      </c>
      <c r="R23" s="631" t="s">
        <v>25</v>
      </c>
      <c r="S23" s="632">
        <f>F23</f>
        <v>100</v>
      </c>
      <c r="T23" s="631" t="s">
        <v>25</v>
      </c>
      <c r="U23" s="632">
        <f>H23</f>
        <v>100</v>
      </c>
      <c r="V23" s="631" t="s">
        <v>25</v>
      </c>
      <c r="W23" s="632">
        <f>J23</f>
        <v>100</v>
      </c>
      <c r="X23" s="1335"/>
      <c r="Y23" s="3514"/>
      <c r="Z23" s="1336">
        <f>Q23</f>
        <v>111</v>
      </c>
      <c r="AA23" s="1337">
        <f t="shared" si="3"/>
        <v>1</v>
      </c>
      <c r="AB23" s="1337">
        <f t="shared" si="4"/>
        <v>1</v>
      </c>
      <c r="AC23" s="1337">
        <f t="shared" si="5"/>
        <v>1</v>
      </c>
    </row>
    <row r="24" spans="1:29" ht="15">
      <c r="A24" s="297"/>
      <c r="B24" s="530">
        <v>111</v>
      </c>
      <c r="C24" s="1146"/>
      <c r="D24" s="1141">
        <v>100</v>
      </c>
      <c r="E24" s="322"/>
      <c r="F24" s="325">
        <f>SUMIF(75:75,E24,76:76)-SUMIF(75:75,C24,76:76)+100</f>
        <v>100</v>
      </c>
      <c r="G24" s="1136"/>
      <c r="H24" s="325">
        <f>SUMIF(75:75,G24,76:76)-SUMIF(75:75,C24,76:76)+100</f>
        <v>100</v>
      </c>
      <c r="I24" s="322"/>
      <c r="J24" s="325">
        <f>SUMIF(75:75,I24,76:76)-SUMIF(75:75,C24,76:76)+100</f>
        <v>100</v>
      </c>
      <c r="K24" s="499"/>
      <c r="L24" s="3032"/>
      <c r="M24" s="3023"/>
      <c r="N24" s="3023"/>
      <c r="O24" s="3031"/>
      <c r="P24" s="3514"/>
      <c r="Q24" s="1334">
        <f t="shared" ref="Q24:Q36" si="11">B24</f>
        <v>111</v>
      </c>
      <c r="R24" s="631" t="s">
        <v>25</v>
      </c>
      <c r="S24" s="632">
        <f>F24</f>
        <v>100</v>
      </c>
      <c r="T24" s="631" t="s">
        <v>25</v>
      </c>
      <c r="U24" s="632">
        <f>H24</f>
        <v>100</v>
      </c>
      <c r="V24" s="631" t="s">
        <v>25</v>
      </c>
      <c r="W24" s="632">
        <f>J24</f>
        <v>100</v>
      </c>
      <c r="X24" s="1335"/>
      <c r="Y24" s="3514"/>
      <c r="Z24" s="1336">
        <f>Q24</f>
        <v>111</v>
      </c>
      <c r="AA24" s="1337">
        <f t="shared" si="3"/>
        <v>1</v>
      </c>
      <c r="AB24" s="1337">
        <f t="shared" si="4"/>
        <v>1</v>
      </c>
      <c r="AC24" s="1337">
        <f t="shared" si="5"/>
        <v>1</v>
      </c>
    </row>
    <row r="25" spans="1:29" s="25" customFormat="1" ht="15.75" thickBot="1">
      <c r="A25" s="1148"/>
      <c r="B25" s="517">
        <v>111</v>
      </c>
      <c r="C25" s="1147"/>
      <c r="D25" s="1142">
        <v>100</v>
      </c>
      <c r="E25" s="510"/>
      <c r="F25" s="532">
        <f>SUMIF(77:77,E25,78:78)-SUMIF(77:77,C25,78:78)+100</f>
        <v>100</v>
      </c>
      <c r="G25" s="402"/>
      <c r="H25" s="532">
        <f>SUMIF(77:77,G25,78:78)-SUMIF(77:77,C25,78:78)+100</f>
        <v>100</v>
      </c>
      <c r="I25" s="510"/>
      <c r="J25" s="532">
        <f>SUMIF(77:77,I25,78:78)-SUMIF(77:77,C25,78:78)+100</f>
        <v>100</v>
      </c>
      <c r="K25" s="499"/>
      <c r="L25" s="3024"/>
      <c r="M25" s="3025"/>
      <c r="N25" s="3025"/>
      <c r="O25" s="3026"/>
      <c r="P25" s="3514"/>
      <c r="Q25" s="1327">
        <f t="shared" si="11"/>
        <v>111</v>
      </c>
      <c r="R25" s="627" t="s">
        <v>25</v>
      </c>
      <c r="S25" s="628">
        <f>F25</f>
        <v>100</v>
      </c>
      <c r="T25" s="627" t="s">
        <v>25</v>
      </c>
      <c r="U25" s="628">
        <f>H25</f>
        <v>100</v>
      </c>
      <c r="V25" s="627" t="s">
        <v>25</v>
      </c>
      <c r="W25" s="628">
        <f>J25</f>
        <v>100</v>
      </c>
      <c r="X25" s="629"/>
      <c r="Y25" s="3514"/>
      <c r="Z25" s="19">
        <f>Q25</f>
        <v>111</v>
      </c>
      <c r="AA25" s="1337">
        <f>D25/F25</f>
        <v>1</v>
      </c>
      <c r="AB25" s="1337">
        <f>D25/H25</f>
        <v>1</v>
      </c>
      <c r="AC25" s="1337">
        <f>D25/J25</f>
        <v>1</v>
      </c>
    </row>
    <row r="26" spans="1:29" ht="28.5">
      <c r="A26" s="533" t="s">
        <v>2274</v>
      </c>
      <c r="B26" s="23" t="s">
        <v>2410</v>
      </c>
      <c r="C26" s="1583"/>
      <c r="D26" s="336">
        <v>100</v>
      </c>
      <c r="E26" s="335"/>
      <c r="F26" s="338">
        <f>SUMIF(79:79,E26,80:80)-SUMIF(79:79,C26,80:80)+100</f>
        <v>100</v>
      </c>
      <c r="G26" s="335"/>
      <c r="H26" s="336">
        <f>SUMIF(79:79,G26,80:80)-SUMIF(79:79,C26,80:80)+100</f>
        <v>100</v>
      </c>
      <c r="I26" s="335"/>
      <c r="J26" s="336">
        <f>SUMIF(79:79,I26,80:80)-SUMIF(79:79,C26,80:80)+100</f>
        <v>100</v>
      </c>
      <c r="K26" s="498"/>
      <c r="L26" s="3032"/>
      <c r="M26" s="3023"/>
      <c r="N26" s="3023"/>
      <c r="O26" s="3031"/>
      <c r="P26" s="3501" t="s">
        <v>2276</v>
      </c>
      <c r="Q26" s="1334" t="str">
        <f t="shared" si="11"/>
        <v>配套类型</v>
      </c>
      <c r="R26" s="631" t="s">
        <v>25</v>
      </c>
      <c r="S26" s="632">
        <f t="shared" ref="S26:S36" si="12">F26</f>
        <v>100</v>
      </c>
      <c r="T26" s="631" t="s">
        <v>25</v>
      </c>
      <c r="U26" s="632">
        <f t="shared" ref="U26:U36" si="13">H26</f>
        <v>100</v>
      </c>
      <c r="V26" s="631" t="s">
        <v>25</v>
      </c>
      <c r="W26" s="632">
        <f t="shared" ref="W26:W36" si="14">J26</f>
        <v>100</v>
      </c>
      <c r="X26" s="1335"/>
      <c r="Y26" s="3502" t="s">
        <v>2276</v>
      </c>
      <c r="Z26" s="1336" t="str">
        <f t="shared" ref="Z26:Z36" si="15">Q26</f>
        <v>配套类型</v>
      </c>
      <c r="AA26" s="1337">
        <f t="shared" si="3"/>
        <v>1</v>
      </c>
      <c r="AB26" s="1337">
        <f t="shared" si="4"/>
        <v>1</v>
      </c>
      <c r="AC26" s="1337">
        <f t="shared" si="5"/>
        <v>1</v>
      </c>
    </row>
    <row r="27" spans="1:29" s="359" customFormat="1" ht="15">
      <c r="A27" s="534"/>
      <c r="B27" s="535" t="s">
        <v>2411</v>
      </c>
      <c r="C27" s="536"/>
      <c r="D27" s="29">
        <v>100</v>
      </c>
      <c r="E27" s="536"/>
      <c r="F27" s="351">
        <f>SUMIF(81:81,E27,82:82)-SUMIF(81:81,C27,82:82)+100</f>
        <v>100</v>
      </c>
      <c r="G27" s="536"/>
      <c r="H27" s="325">
        <f>SUMIF(81:81,G27,82:82)-SUMIF(81:81,C27,82:82)+100</f>
        <v>100</v>
      </c>
      <c r="I27" s="536"/>
      <c r="J27" s="325">
        <f>SUMIF(81:81,I27,82:82)-SUMIF(81:81,C27,82:82)+100</f>
        <v>100</v>
      </c>
      <c r="K27" s="499"/>
      <c r="L27" s="3030"/>
      <c r="M27" s="358"/>
      <c r="N27" s="358"/>
      <c r="O27" s="3033"/>
      <c r="P27" s="3502"/>
      <c r="Q27" s="633" t="str">
        <f t="shared" si="11"/>
        <v>项目停车位配比</v>
      </c>
      <c r="R27" s="634" t="s">
        <v>25</v>
      </c>
      <c r="S27" s="635">
        <f t="shared" si="12"/>
        <v>100</v>
      </c>
      <c r="T27" s="634" t="s">
        <v>25</v>
      </c>
      <c r="U27" s="635">
        <f t="shared" si="13"/>
        <v>100</v>
      </c>
      <c r="V27" s="634" t="s">
        <v>25</v>
      </c>
      <c r="W27" s="635">
        <f t="shared" si="14"/>
        <v>100</v>
      </c>
      <c r="X27" s="636"/>
      <c r="Y27" s="3502"/>
      <c r="Z27" s="637" t="str">
        <f t="shared" si="15"/>
        <v>项目停车位配比</v>
      </c>
      <c r="AA27" s="1337">
        <f t="shared" si="3"/>
        <v>1</v>
      </c>
      <c r="AB27" s="1337">
        <f t="shared" si="4"/>
        <v>1</v>
      </c>
      <c r="AC27" s="1337">
        <f t="shared" si="5"/>
        <v>1</v>
      </c>
    </row>
    <row r="28" spans="1:29" ht="15">
      <c r="A28" s="537"/>
      <c r="B28" s="535" t="s">
        <v>2412</v>
      </c>
      <c r="C28" s="350"/>
      <c r="D28" s="325">
        <v>100</v>
      </c>
      <c r="E28" s="350"/>
      <c r="F28" s="351">
        <f>SUMIF(83:83,E28,84:84)-SUMIF(83:83,C28,84:84)+100</f>
        <v>100</v>
      </c>
      <c r="G28" s="350"/>
      <c r="H28" s="325">
        <f>SUMIF(83:83,G28,84:84)-SUMIF(83:83,C28,84:84)+100</f>
        <v>100</v>
      </c>
      <c r="I28" s="350"/>
      <c r="J28" s="325">
        <f>SUMIF(83:83,I28,84:84)-SUMIF(83:83,C28,84:84)+100</f>
        <v>100</v>
      </c>
      <c r="K28" s="498"/>
      <c r="L28" s="3032"/>
      <c r="M28" s="3023"/>
      <c r="N28" s="3023"/>
      <c r="O28" s="3031"/>
      <c r="P28" s="3502"/>
      <c r="Q28" s="1334" t="str">
        <f t="shared" si="11"/>
        <v>公共部分装修</v>
      </c>
      <c r="R28" s="631" t="s">
        <v>25</v>
      </c>
      <c r="S28" s="632">
        <f t="shared" si="12"/>
        <v>100</v>
      </c>
      <c r="T28" s="631" t="s">
        <v>25</v>
      </c>
      <c r="U28" s="632">
        <f t="shared" si="13"/>
        <v>100</v>
      </c>
      <c r="V28" s="631" t="s">
        <v>25</v>
      </c>
      <c r="W28" s="632">
        <f t="shared" si="14"/>
        <v>100</v>
      </c>
      <c r="X28" s="1335"/>
      <c r="Y28" s="3502"/>
      <c r="Z28" s="1336" t="str">
        <f t="shared" si="15"/>
        <v>公共部分装修</v>
      </c>
      <c r="AA28" s="1337">
        <f t="shared" si="3"/>
        <v>1</v>
      </c>
      <c r="AB28" s="1337">
        <f t="shared" si="4"/>
        <v>1</v>
      </c>
      <c r="AC28" s="1337">
        <f t="shared" si="5"/>
        <v>1</v>
      </c>
    </row>
    <row r="29" spans="1:29" ht="15">
      <c r="A29" s="537"/>
      <c r="B29" s="535" t="s">
        <v>2413</v>
      </c>
      <c r="C29" s="357"/>
      <c r="D29" s="325">
        <v>100</v>
      </c>
      <c r="E29" s="362"/>
      <c r="F29" s="351" t="e">
        <f>LOOKUP(E29,86:86,87:87)-LOOKUP(C29,86:86,87:87)+100</f>
        <v>#N/A</v>
      </c>
      <c r="G29" s="362"/>
      <c r="H29" s="351" t="e">
        <f>LOOKUP(G29,86:86,87:87)-LOOKUP(C29,86:86,87:87)+100</f>
        <v>#N/A</v>
      </c>
      <c r="I29" s="362"/>
      <c r="J29" s="325" t="e">
        <f>LOOKUP(I29,86:86,87:87)-LOOKUP(C29,86:86,87:87)+100</f>
        <v>#N/A</v>
      </c>
      <c r="K29" s="498"/>
      <c r="L29" s="3032"/>
      <c r="M29" s="3023"/>
      <c r="N29" s="3023"/>
      <c r="O29" s="3031"/>
      <c r="P29" s="3502"/>
      <c r="Q29" s="1334" t="str">
        <f t="shared" si="11"/>
        <v>成新率</v>
      </c>
      <c r="R29" s="631" t="s">
        <v>25</v>
      </c>
      <c r="S29" s="632" t="e">
        <f t="shared" si="12"/>
        <v>#N/A</v>
      </c>
      <c r="T29" s="631" t="s">
        <v>25</v>
      </c>
      <c r="U29" s="632" t="e">
        <f t="shared" si="13"/>
        <v>#N/A</v>
      </c>
      <c r="V29" s="631" t="s">
        <v>25</v>
      </c>
      <c r="W29" s="632" t="e">
        <f t="shared" si="14"/>
        <v>#N/A</v>
      </c>
      <c r="X29" s="1335"/>
      <c r="Y29" s="3502"/>
      <c r="Z29" s="1336" t="str">
        <f t="shared" si="15"/>
        <v>成新率</v>
      </c>
      <c r="AA29" s="1337" t="e">
        <f t="shared" si="3"/>
        <v>#N/A</v>
      </c>
      <c r="AB29" s="1337" t="e">
        <f t="shared" si="4"/>
        <v>#N/A</v>
      </c>
      <c r="AC29" s="1337" t="e">
        <f t="shared" si="5"/>
        <v>#N/A</v>
      </c>
    </row>
    <row r="30" spans="1:29" ht="15">
      <c r="A30" s="537"/>
      <c r="B30" s="535" t="s">
        <v>2414</v>
      </c>
      <c r="C30" s="538"/>
      <c r="D30" s="325">
        <v>100</v>
      </c>
      <c r="E30" s="538"/>
      <c r="F30" s="351">
        <f>SUMIF(88:88,E30,89:89)-SUMIF(88:88,C30,89:89)+100</f>
        <v>100</v>
      </c>
      <c r="G30" s="538"/>
      <c r="H30" s="325">
        <f>SUMIF(88:88,G30,89:89)-SUMIF(88:88,C30,89:89)+100</f>
        <v>100</v>
      </c>
      <c r="I30" s="538"/>
      <c r="J30" s="325">
        <f>SUMIF(88:88,I30,89:89)-SUMIF(88:88,C30,89:89)+100</f>
        <v>100</v>
      </c>
      <c r="K30" s="498"/>
      <c r="L30" s="3032"/>
      <c r="M30" s="3023"/>
      <c r="N30" s="3023"/>
      <c r="O30" s="3031"/>
      <c r="P30" s="3502"/>
      <c r="Q30" s="1334" t="str">
        <f t="shared" si="11"/>
        <v>物业等级</v>
      </c>
      <c r="R30" s="631" t="s">
        <v>25</v>
      </c>
      <c r="S30" s="632">
        <f t="shared" si="12"/>
        <v>100</v>
      </c>
      <c r="T30" s="631" t="s">
        <v>25</v>
      </c>
      <c r="U30" s="632">
        <f t="shared" si="13"/>
        <v>100</v>
      </c>
      <c r="V30" s="631" t="s">
        <v>25</v>
      </c>
      <c r="W30" s="632">
        <f t="shared" si="14"/>
        <v>100</v>
      </c>
      <c r="X30" s="1335"/>
      <c r="Y30" s="3502"/>
      <c r="Z30" s="1336" t="str">
        <f t="shared" si="15"/>
        <v>物业等级</v>
      </c>
      <c r="AA30" s="1337">
        <f t="shared" si="3"/>
        <v>1</v>
      </c>
      <c r="AB30" s="1337">
        <f t="shared" si="4"/>
        <v>1</v>
      </c>
      <c r="AC30" s="1337">
        <f t="shared" si="5"/>
        <v>1</v>
      </c>
    </row>
    <row r="31" spans="1:29" s="25" customFormat="1" ht="15">
      <c r="A31" s="539"/>
      <c r="B31" s="535" t="s">
        <v>2415</v>
      </c>
      <c r="C31" s="357"/>
      <c r="D31" s="29">
        <v>100</v>
      </c>
      <c r="E31" s="357"/>
      <c r="F31" s="351" t="e">
        <f>LOOKUP(E31,91:91,92:92)-LOOKUP(C31,91:91,92:92)+100</f>
        <v>#N/A</v>
      </c>
      <c r="G31" s="357"/>
      <c r="H31" s="325" t="e">
        <f>LOOKUP(G31,91:91,92:92)-LOOKUP(C31,91:91,92:92)+100</f>
        <v>#N/A</v>
      </c>
      <c r="I31" s="357"/>
      <c r="J31" s="325" t="e">
        <f>LOOKUP(I31,91:91,92:92)-LOOKUP(C31,91:91,92:92)+100</f>
        <v>#N/A</v>
      </c>
      <c r="K31" s="498"/>
      <c r="L31" s="3024"/>
      <c r="M31" s="3025"/>
      <c r="N31" s="3025"/>
      <c r="O31" s="3026"/>
      <c r="P31" s="3502"/>
      <c r="Q31" s="1327" t="str">
        <f t="shared" si="11"/>
        <v>停车位面积</v>
      </c>
      <c r="R31" s="627" t="s">
        <v>25</v>
      </c>
      <c r="S31" s="628" t="e">
        <f t="shared" si="12"/>
        <v>#N/A</v>
      </c>
      <c r="T31" s="627" t="s">
        <v>25</v>
      </c>
      <c r="U31" s="628" t="e">
        <f t="shared" si="13"/>
        <v>#N/A</v>
      </c>
      <c r="V31" s="627" t="s">
        <v>25</v>
      </c>
      <c r="W31" s="628" t="e">
        <f t="shared" si="14"/>
        <v>#N/A</v>
      </c>
      <c r="X31" s="629"/>
      <c r="Y31" s="3502"/>
      <c r="Z31" s="19" t="str">
        <f t="shared" si="15"/>
        <v>停车位面积</v>
      </c>
      <c r="AA31" s="630" t="e">
        <f t="shared" si="3"/>
        <v>#N/A</v>
      </c>
      <c r="AB31" s="630" t="e">
        <f t="shared" si="4"/>
        <v>#N/A</v>
      </c>
      <c r="AC31" s="630" t="e">
        <f t="shared" si="5"/>
        <v>#N/A</v>
      </c>
    </row>
    <row r="32" spans="1:29" ht="15">
      <c r="A32" s="537"/>
      <c r="B32" s="535" t="s">
        <v>2416</v>
      </c>
      <c r="C32" s="350"/>
      <c r="D32" s="325">
        <v>100</v>
      </c>
      <c r="E32" s="350"/>
      <c r="F32" s="351">
        <f>SUMIF(93:93,E32,94:94)-SUMIF(93:93,C32,94:94)+100</f>
        <v>100</v>
      </c>
      <c r="G32" s="350"/>
      <c r="H32" s="325">
        <f>SUMIF(93:93,G32,94:94)-SUMIF(93:93,C32,94:94)+100</f>
        <v>100</v>
      </c>
      <c r="I32" s="350"/>
      <c r="J32" s="325">
        <f>SUMIF(93:93,I32,94:94)-SUMIF(93:93,C32,94:94)+100</f>
        <v>100</v>
      </c>
      <c r="K32" s="498"/>
      <c r="L32" s="3032"/>
      <c r="M32" s="3023"/>
      <c r="N32" s="3023"/>
      <c r="O32" s="3031"/>
      <c r="P32" s="3502" t="s">
        <v>2276</v>
      </c>
      <c r="Q32" s="1334" t="str">
        <f t="shared" si="11"/>
        <v>车位类型</v>
      </c>
      <c r="R32" s="631" t="s">
        <v>25</v>
      </c>
      <c r="S32" s="632">
        <f t="shared" si="12"/>
        <v>100</v>
      </c>
      <c r="T32" s="631" t="s">
        <v>25</v>
      </c>
      <c r="U32" s="632">
        <f t="shared" si="13"/>
        <v>100</v>
      </c>
      <c r="V32" s="631" t="s">
        <v>25</v>
      </c>
      <c r="W32" s="632">
        <f t="shared" si="14"/>
        <v>100</v>
      </c>
      <c r="X32" s="1335"/>
      <c r="Y32" s="3502" t="s">
        <v>2276</v>
      </c>
      <c r="Z32" s="1336" t="str">
        <f t="shared" si="15"/>
        <v>车位类型</v>
      </c>
      <c r="AA32" s="1337">
        <f t="shared" si="3"/>
        <v>1</v>
      </c>
      <c r="AB32" s="1337">
        <f t="shared" si="4"/>
        <v>1</v>
      </c>
      <c r="AC32" s="1337">
        <f t="shared" si="5"/>
        <v>1</v>
      </c>
    </row>
    <row r="33" spans="1:29" ht="15">
      <c r="A33" s="537"/>
      <c r="B33" s="535" t="s">
        <v>2417</v>
      </c>
      <c r="C33" s="350"/>
      <c r="D33" s="325">
        <v>100</v>
      </c>
      <c r="E33" s="350"/>
      <c r="F33" s="351">
        <f>SUMIF(95:95,E33,96:96)-SUMIF(95:95,C33,96:96)+100</f>
        <v>100</v>
      </c>
      <c r="G33" s="350"/>
      <c r="H33" s="325">
        <f>SUMIF(95:95,G33,96:96)-SUMIF(95:95,C33,96:96)+100</f>
        <v>100</v>
      </c>
      <c r="I33" s="350"/>
      <c r="J33" s="325">
        <f>SUMIF(95:95,I33,96:96)-SUMIF(95:95,C33,96:96)+100</f>
        <v>100</v>
      </c>
      <c r="K33" s="498"/>
      <c r="L33" s="3032"/>
      <c r="M33" s="3023"/>
      <c r="N33" s="3023"/>
      <c r="O33" s="3031"/>
      <c r="P33" s="3502"/>
      <c r="Q33" s="1334" t="str">
        <f t="shared" si="11"/>
        <v>是否直接入户</v>
      </c>
      <c r="R33" s="631" t="s">
        <v>25</v>
      </c>
      <c r="S33" s="632">
        <f t="shared" si="12"/>
        <v>100</v>
      </c>
      <c r="T33" s="631" t="s">
        <v>25</v>
      </c>
      <c r="U33" s="632">
        <f t="shared" si="13"/>
        <v>100</v>
      </c>
      <c r="V33" s="631" t="s">
        <v>25</v>
      </c>
      <c r="W33" s="632">
        <f t="shared" si="14"/>
        <v>100</v>
      </c>
      <c r="X33" s="1335"/>
      <c r="Y33" s="3502"/>
      <c r="Z33" s="1336" t="str">
        <f t="shared" si="15"/>
        <v>是否直接入户</v>
      </c>
      <c r="AA33" s="1337">
        <f t="shared" si="3"/>
        <v>1</v>
      </c>
      <c r="AB33" s="1337">
        <f t="shared" si="4"/>
        <v>1</v>
      </c>
      <c r="AC33" s="1337">
        <f t="shared" si="5"/>
        <v>1</v>
      </c>
    </row>
    <row r="34" spans="1:29" ht="15">
      <c r="A34" s="537"/>
      <c r="B34" s="530">
        <v>111</v>
      </c>
      <c r="C34" s="322"/>
      <c r="D34" s="325">
        <v>100</v>
      </c>
      <c r="E34" s="322"/>
      <c r="F34" s="351">
        <f>SUMIF(97:97,E34,98:98)-SUMIF(97:97,C34,98:98)+100</f>
        <v>100</v>
      </c>
      <c r="G34" s="322"/>
      <c r="H34" s="325">
        <f>SUMIF(97:97,G34,98:98)-SUMIF(97:97,C34,98:98)+100</f>
        <v>100</v>
      </c>
      <c r="I34" s="322"/>
      <c r="J34" s="325">
        <f>SUMIF(97:97,I34,98:98)-SUMIF(97:97,C34,98:98)+100</f>
        <v>100</v>
      </c>
      <c r="K34" s="499"/>
      <c r="L34" s="3032"/>
      <c r="M34" s="3023"/>
      <c r="N34" s="3023"/>
      <c r="O34" s="3031"/>
      <c r="P34" s="3502"/>
      <c r="Q34" s="1334">
        <f t="shared" si="11"/>
        <v>111</v>
      </c>
      <c r="R34" s="631" t="s">
        <v>25</v>
      </c>
      <c r="S34" s="632">
        <f t="shared" si="12"/>
        <v>100</v>
      </c>
      <c r="T34" s="631" t="s">
        <v>25</v>
      </c>
      <c r="U34" s="632">
        <f t="shared" si="13"/>
        <v>100</v>
      </c>
      <c r="V34" s="631" t="s">
        <v>25</v>
      </c>
      <c r="W34" s="632">
        <f t="shared" si="14"/>
        <v>100</v>
      </c>
      <c r="X34" s="1335"/>
      <c r="Y34" s="3502"/>
      <c r="Z34" s="1336">
        <f t="shared" si="15"/>
        <v>111</v>
      </c>
      <c r="AA34" s="1337">
        <f t="shared" si="3"/>
        <v>1</v>
      </c>
      <c r="AB34" s="1337">
        <f t="shared" si="4"/>
        <v>1</v>
      </c>
      <c r="AC34" s="1337">
        <f t="shared" si="5"/>
        <v>1</v>
      </c>
    </row>
    <row r="35" spans="1:29" s="359" customFormat="1" ht="15">
      <c r="A35" s="534"/>
      <c r="B35" s="530">
        <v>111</v>
      </c>
      <c r="C35" s="322"/>
      <c r="D35" s="325">
        <v>100</v>
      </c>
      <c r="E35" s="322"/>
      <c r="F35" s="351">
        <f>SUMIF(99:99,E35,100:100)-SUMIF(99:99,C35,100:100)+100</f>
        <v>100</v>
      </c>
      <c r="G35" s="322"/>
      <c r="H35" s="325">
        <f>SUMIF(99:99,G35,100:100)-SUMIF(99:99,C35,100:100)+100</f>
        <v>100</v>
      </c>
      <c r="I35" s="322"/>
      <c r="J35" s="325">
        <f>SUMIF(99:99,I35,100:100)-SUMIF(99:99,C35,100:100)+100</f>
        <v>100</v>
      </c>
      <c r="K35" s="499"/>
      <c r="L35" s="3030"/>
      <c r="M35" s="358"/>
      <c r="N35" s="358"/>
      <c r="O35" s="3033"/>
      <c r="P35" s="3502"/>
      <c r="Q35" s="633">
        <f t="shared" si="11"/>
        <v>111</v>
      </c>
      <c r="R35" s="634" t="s">
        <v>25</v>
      </c>
      <c r="S35" s="635">
        <f t="shared" si="12"/>
        <v>100</v>
      </c>
      <c r="T35" s="634" t="s">
        <v>25</v>
      </c>
      <c r="U35" s="635">
        <f t="shared" si="13"/>
        <v>100</v>
      </c>
      <c r="V35" s="634" t="s">
        <v>25</v>
      </c>
      <c r="W35" s="635">
        <f t="shared" si="14"/>
        <v>100</v>
      </c>
      <c r="X35" s="636"/>
      <c r="Y35" s="3502"/>
      <c r="Z35" s="637">
        <f t="shared" si="15"/>
        <v>111</v>
      </c>
      <c r="AA35" s="1337">
        <f t="shared" si="3"/>
        <v>1</v>
      </c>
      <c r="AB35" s="1337">
        <f t="shared" si="4"/>
        <v>1</v>
      </c>
      <c r="AC35" s="1337">
        <f t="shared" si="5"/>
        <v>1</v>
      </c>
    </row>
    <row r="36" spans="1:29" ht="15.75" thickBot="1">
      <c r="A36" s="540"/>
      <c r="B36" s="517">
        <v>111</v>
      </c>
      <c r="C36" s="324"/>
      <c r="D36" s="325">
        <v>100</v>
      </c>
      <c r="E36" s="322"/>
      <c r="F36" s="351">
        <f>SUMIF(101:101,E36,102:102)-SUMIF(101:101,C36,102:102)+100</f>
        <v>100</v>
      </c>
      <c r="G36" s="322"/>
      <c r="H36" s="325">
        <f>SUMIF(101:101,G36,102:102)-SUMIF(101:101,C36,102:102)+100</f>
        <v>100</v>
      </c>
      <c r="I36" s="322"/>
      <c r="J36" s="325">
        <f>SUMIF(101:101,I36,102:102)-SUMIF(101:101,C36,102:102)+100</f>
        <v>100</v>
      </c>
      <c r="K36" s="499"/>
      <c r="L36" s="3032"/>
      <c r="M36" s="3023"/>
      <c r="N36" s="3023"/>
      <c r="O36" s="3031"/>
      <c r="P36" s="3502"/>
      <c r="Q36" s="1334">
        <f t="shared" si="11"/>
        <v>111</v>
      </c>
      <c r="R36" s="631" t="s">
        <v>25</v>
      </c>
      <c r="S36" s="632">
        <f t="shared" si="12"/>
        <v>100</v>
      </c>
      <c r="T36" s="631" t="s">
        <v>25</v>
      </c>
      <c r="U36" s="632">
        <f t="shared" si="13"/>
        <v>100</v>
      </c>
      <c r="V36" s="631" t="s">
        <v>25</v>
      </c>
      <c r="W36" s="632">
        <f t="shared" si="14"/>
        <v>100</v>
      </c>
      <c r="X36" s="1335"/>
      <c r="Y36" s="3502"/>
      <c r="Z36" s="1336">
        <f t="shared" si="15"/>
        <v>111</v>
      </c>
      <c r="AA36" s="1337">
        <f t="shared" si="3"/>
        <v>1</v>
      </c>
      <c r="AB36" s="1337">
        <f t="shared" si="4"/>
        <v>1</v>
      </c>
      <c r="AC36" s="1337">
        <f t="shared" si="5"/>
        <v>1</v>
      </c>
    </row>
    <row r="37" spans="1:29" ht="15">
      <c r="A37" s="367" t="s">
        <v>2418</v>
      </c>
      <c r="B37" s="840" t="s">
        <v>2419</v>
      </c>
      <c r="C37" s="1153" t="s">
        <v>1</v>
      </c>
      <c r="D37" s="1154"/>
      <c r="E37" s="1155"/>
      <c r="F37" s="1156"/>
      <c r="G37" s="1157"/>
      <c r="H37" s="1158"/>
      <c r="I37" s="1155"/>
      <c r="J37" s="1158"/>
      <c r="K37" s="503"/>
      <c r="L37" s="3034"/>
      <c r="N37" s="3023"/>
      <c r="P37" s="3496" t="str">
        <f>A37</f>
        <v>成交单价</v>
      </c>
      <c r="Q37" s="3496"/>
      <c r="R37" s="3497">
        <f>E37</f>
        <v>0</v>
      </c>
      <c r="S37" s="3497"/>
      <c r="T37" s="3497">
        <f>G37</f>
        <v>0</v>
      </c>
      <c r="U37" s="3497"/>
      <c r="V37" s="3497">
        <f>I37</f>
        <v>0</v>
      </c>
      <c r="W37" s="3497"/>
      <c r="X37" s="618"/>
      <c r="Y37" s="638"/>
      <c r="Z37" s="618"/>
      <c r="AA37" s="618"/>
      <c r="AB37" s="618"/>
      <c r="AC37" s="618"/>
    </row>
    <row r="38" spans="1:29" ht="15.75" thickBot="1">
      <c r="A38" s="374" t="s">
        <v>2420</v>
      </c>
      <c r="B38" s="375" t="str">
        <f>B37</f>
        <v>元/平方米</v>
      </c>
      <c r="C38" s="1159" t="e">
        <f>R39</f>
        <v>#DIV/0!</v>
      </c>
      <c r="D38" s="1797" t="s">
        <v>2745</v>
      </c>
      <c r="E38" s="1160" t="e">
        <f>R38</f>
        <v>#DIV/0!</v>
      </c>
      <c r="F38" s="1799"/>
      <c r="G38" s="1159" t="e">
        <f>T38</f>
        <v>#DIV/0!</v>
      </c>
      <c r="H38" s="1799"/>
      <c r="I38" s="1160" t="e">
        <f>V38</f>
        <v>#DIV/0!</v>
      </c>
      <c r="J38" s="1799"/>
      <c r="K38" s="2511">
        <f>F38+H38+J38</f>
        <v>0</v>
      </c>
      <c r="L38" s="3034"/>
      <c r="P38" s="3496" t="str">
        <f>A38</f>
        <v>比较价值</v>
      </c>
      <c r="Q38" s="3496"/>
      <c r="R38" s="3497" t="e">
        <f>IF(E1="售价",ROUND(PRODUCT(R37,AA7:AA36),0),ROUND(PRODUCT(R37,AA7:AA36),1))</f>
        <v>#DIV/0!</v>
      </c>
      <c r="S38" s="3497"/>
      <c r="T38" s="3497" t="e">
        <f>IF(E1="售价",ROUND(PRODUCT(T37,AB7:AB36),0),ROUND(PRODUCT(T37,AB7:AB36),1))</f>
        <v>#DIV/0!</v>
      </c>
      <c r="U38" s="3497"/>
      <c r="V38" s="3497" t="e">
        <f>IF(E1="售价",ROUND(PRODUCT(V37,AC7:AC36),0),ROUND(PRODUCT(V37,AC7:AC36),1))</f>
        <v>#DIV/0!</v>
      </c>
      <c r="W38" s="3497"/>
      <c r="X38" s="618"/>
      <c r="Y38" s="618"/>
      <c r="Z38" s="618"/>
      <c r="AA38" s="618"/>
      <c r="AB38" s="618"/>
      <c r="AC38" s="618"/>
    </row>
    <row r="39" spans="1:29" ht="15.75" thickBot="1">
      <c r="A39" s="378" t="s">
        <v>2421</v>
      </c>
      <c r="B39" s="379"/>
      <c r="C39" s="1161" t="e">
        <f>R39</f>
        <v>#DIV/0!</v>
      </c>
      <c r="D39" s="1161"/>
      <c r="E39" s="1161"/>
      <c r="F39" s="1161"/>
      <c r="G39" s="1161"/>
      <c r="H39" s="1161"/>
      <c r="I39" s="1161"/>
      <c r="J39" s="1161"/>
      <c r="K39" s="504"/>
      <c r="L39" s="3034"/>
      <c r="P39" s="3498" t="str">
        <f>A39</f>
        <v>估价对象XX用房的比较价值（楼面单价，元/平方米）</v>
      </c>
      <c r="Q39" s="3499"/>
      <c r="R39" s="3500" t="e">
        <f>IF(E1="售价",ROUND(IF(D38="简单平均",AVERAGE(R38:W38),R38*F38+T38*H38+V38*J38),0),ROUND(IF(D38="简单平均",AVERAGE(R38:V38),R38*F38+T38*H38+V38*J38),1))</f>
        <v>#DIV/0!</v>
      </c>
      <c r="S39" s="3500"/>
      <c r="T39" s="3500"/>
      <c r="U39" s="3500"/>
      <c r="V39" s="3500"/>
      <c r="W39" s="3500"/>
      <c r="X39" s="618"/>
      <c r="Y39" s="618"/>
      <c r="Z39" s="618"/>
      <c r="AA39" s="618"/>
      <c r="AB39" s="618"/>
      <c r="AC39" s="618"/>
    </row>
    <row r="40" spans="1:29">
      <c r="G40" s="3037"/>
      <c r="P40" s="618"/>
      <c r="Q40" s="618"/>
      <c r="R40" s="618"/>
      <c r="S40" s="618"/>
      <c r="T40" s="618"/>
      <c r="U40" s="618"/>
      <c r="V40" s="618"/>
      <c r="W40" s="618"/>
      <c r="X40" s="618"/>
      <c r="Y40" s="618"/>
      <c r="Z40" s="618"/>
      <c r="AA40" s="618"/>
      <c r="AB40" s="618"/>
      <c r="AC40" s="618"/>
    </row>
    <row r="41" spans="1:29">
      <c r="P41" s="618"/>
      <c r="Q41" s="618"/>
      <c r="R41" s="618"/>
      <c r="S41" s="618"/>
      <c r="T41" s="618"/>
      <c r="U41" s="618"/>
      <c r="V41" s="618"/>
      <c r="W41" s="618"/>
      <c r="X41" s="618"/>
      <c r="Y41" s="618"/>
      <c r="Z41" s="618"/>
      <c r="AA41" s="618"/>
      <c r="AB41" s="618"/>
      <c r="AC41" s="618"/>
    </row>
    <row r="42" spans="1:29" ht="13.5" customHeight="1">
      <c r="C42" s="383" t="s">
        <v>2422</v>
      </c>
      <c r="D42" s="384"/>
      <c r="E42" s="385" t="e">
        <f>IF(E37&lt;E38,E38/E37-1,E37/E38-1)</f>
        <v>#DIV/0!</v>
      </c>
      <c r="F42" s="386" t="e">
        <f>IF(OR(E42&gt;=0.3,E42&lt;=-0.3),"超过30%","")</f>
        <v>#DIV/0!</v>
      </c>
      <c r="G42" s="385" t="e">
        <f>IF(G37&lt;G38,G38/G37-1,G37/G38-1)</f>
        <v>#DIV/0!</v>
      </c>
      <c r="H42" s="386" t="e">
        <f>IF(OR(G42&gt;=0.3,G42&lt;=-0.3),"超过30%","")</f>
        <v>#DIV/0!</v>
      </c>
      <c r="I42" s="385" t="e">
        <f>IF(I37&lt;I38,I38/I37-1,I37/I38-1)</f>
        <v>#DIV/0!</v>
      </c>
      <c r="J42" s="386" t="e">
        <f>IF(OR(I42&gt;=0.3,I42&lt;=-0.3),"超过30%","")</f>
        <v>#DIV/0!</v>
      </c>
      <c r="P42" s="618"/>
      <c r="Q42" s="618"/>
      <c r="R42" s="618"/>
      <c r="S42" s="618"/>
      <c r="T42" s="618"/>
      <c r="U42" s="618"/>
      <c r="V42" s="618"/>
      <c r="W42" s="618"/>
      <c r="X42" s="618"/>
      <c r="Y42" s="618"/>
      <c r="Z42" s="618"/>
      <c r="AA42" s="618"/>
      <c r="AB42" s="618"/>
      <c r="AC42" s="618"/>
    </row>
    <row r="43" spans="1:29" ht="13.5" customHeight="1">
      <c r="C43" s="383" t="s">
        <v>2423</v>
      </c>
      <c r="D43" s="387"/>
      <c r="E43" s="385" t="e">
        <f>IF(E38&lt;G38,G38/E38-1,E38/G38-1)</f>
        <v>#DIV/0!</v>
      </c>
      <c r="F43" s="386" t="e">
        <f>IF(OR(E43&gt;=0.2,E43&lt;=-0.2),"超过20%","")</f>
        <v>#DIV/0!</v>
      </c>
      <c r="G43" s="385" t="e">
        <f>IF(G38&lt;I38,I38/G38-1,G38/I38-1)</f>
        <v>#DIV/0!</v>
      </c>
      <c r="H43" s="386" t="e">
        <f>IF(OR(G43&gt;=0.2,G43&lt;=-0.2),"超过20%","")</f>
        <v>#DIV/0!</v>
      </c>
      <c r="I43" s="385" t="e">
        <f>IF(I38&lt;E38,E38/I38-1,I38/E38-1)</f>
        <v>#DIV/0!</v>
      </c>
      <c r="J43" s="386" t="e">
        <f>IF(OR(I43&gt;=0.2,I43&lt;=-0.2),"超过20%","")</f>
        <v>#DIV/0!</v>
      </c>
      <c r="P43" s="618"/>
      <c r="Q43" s="618"/>
      <c r="R43" s="618"/>
      <c r="S43" s="618"/>
      <c r="T43" s="618"/>
      <c r="U43" s="618"/>
      <c r="V43" s="618"/>
      <c r="W43" s="618"/>
      <c r="X43" s="618"/>
      <c r="Y43" s="618"/>
      <c r="Z43" s="618"/>
      <c r="AA43" s="618"/>
      <c r="AB43" s="618"/>
      <c r="AC43" s="618"/>
    </row>
    <row r="44" spans="1:29" s="388" customFormat="1" ht="13.5" customHeight="1">
      <c r="C44" s="383" t="s">
        <v>2424</v>
      </c>
      <c r="D44" s="387"/>
      <c r="E44" s="385" t="e">
        <f>IF(E37&lt;G37,G37/E37-1,E37/G37-1)</f>
        <v>#DIV/0!</v>
      </c>
      <c r="F44" s="386" t="e">
        <f>IF(OR(E44&gt;=0.3,E44&lt;=-0.3),"超过30%","")</f>
        <v>#DIV/0!</v>
      </c>
      <c r="G44" s="385" t="e">
        <f>IF(G37&lt;I37,I37/G37-1,G37/I37-1)</f>
        <v>#DIV/0!</v>
      </c>
      <c r="H44" s="386" t="e">
        <f>IF(OR(G44&gt;=0.3,G44&lt;=-0.3),"超过30%","")</f>
        <v>#DIV/0!</v>
      </c>
      <c r="I44" s="385" t="e">
        <f>IF(I37&lt;E37,E37/I37-1,I37/E37-1)</f>
        <v>#DIV/0!</v>
      </c>
      <c r="J44" s="386" t="e">
        <f>IF(OR(I44&gt;=0.3,I44&lt;=-0.3),"超过30%","")</f>
        <v>#DIV/0!</v>
      </c>
      <c r="K44" s="3038"/>
      <c r="L44" s="3035"/>
      <c r="P44" s="619"/>
      <c r="Q44" s="619"/>
      <c r="R44" s="619"/>
      <c r="S44" s="619"/>
      <c r="T44" s="619"/>
      <c r="U44" s="619"/>
      <c r="V44" s="619"/>
      <c r="W44" s="619"/>
      <c r="X44" s="619"/>
      <c r="Y44" s="619"/>
      <c r="Z44" s="619"/>
      <c r="AA44" s="619"/>
      <c r="AB44" s="619"/>
      <c r="AC44" s="619"/>
    </row>
    <row r="45" spans="1:29" s="388" customFormat="1">
      <c r="B45" s="3036"/>
      <c r="C45" s="3039"/>
      <c r="K45" s="3038"/>
      <c r="L45" s="3035"/>
      <c r="P45" s="619"/>
      <c r="Q45" s="619"/>
      <c r="R45" s="619"/>
      <c r="S45" s="619"/>
      <c r="T45" s="619"/>
      <c r="U45" s="619"/>
      <c r="V45" s="619"/>
      <c r="W45" s="619"/>
      <c r="X45" s="619"/>
      <c r="Y45" s="619"/>
      <c r="Z45" s="619"/>
      <c r="AA45" s="619"/>
      <c r="AB45" s="619"/>
      <c r="AC45" s="619"/>
    </row>
    <row r="46" spans="1:29">
      <c r="B46" s="3036"/>
      <c r="C46" s="3039"/>
      <c r="P46" s="618"/>
      <c r="Q46" s="618"/>
      <c r="R46" s="618"/>
      <c r="S46" s="618"/>
      <c r="T46" s="618"/>
      <c r="U46" s="618"/>
      <c r="V46" s="618"/>
      <c r="W46" s="618"/>
      <c r="X46" s="618"/>
      <c r="Y46" s="618"/>
      <c r="Z46" s="618"/>
      <c r="AA46" s="618"/>
      <c r="AB46" s="618"/>
      <c r="AC46" s="618"/>
    </row>
    <row r="47" spans="1:29" ht="21.75" thickBot="1">
      <c r="A47" s="1163" t="s">
        <v>2425</v>
      </c>
      <c r="B47" s="955"/>
      <c r="C47" s="963"/>
      <c r="D47" s="963"/>
      <c r="E47" s="963"/>
      <c r="F47" s="1164"/>
      <c r="G47" s="1164"/>
      <c r="H47" s="963"/>
      <c r="I47" s="963"/>
      <c r="J47" s="963"/>
      <c r="K47" s="961"/>
      <c r="L47" s="624"/>
      <c r="M47" s="621"/>
      <c r="N47" s="621"/>
      <c r="O47" s="621"/>
      <c r="P47" s="621"/>
      <c r="Q47" s="1162"/>
      <c r="R47" s="618"/>
      <c r="S47" s="618"/>
      <c r="T47" s="618"/>
      <c r="U47" s="618"/>
      <c r="V47" s="618"/>
      <c r="W47" s="618"/>
      <c r="X47" s="618"/>
      <c r="Y47" s="618"/>
      <c r="Z47" s="618"/>
      <c r="AA47" s="618"/>
      <c r="AB47" s="618"/>
      <c r="AC47" s="618"/>
    </row>
    <row r="48" spans="1:29" s="394" customFormat="1" ht="15">
      <c r="A48" s="391" t="s">
        <v>2426</v>
      </c>
      <c r="B48" s="392"/>
      <c r="C48" s="1187" t="str">
        <f>YEAR(C7)&amp;"-"&amp;MONTH(C7)</f>
        <v>2021-5</v>
      </c>
      <c r="D48" s="1188">
        <f>EDATE(C48,-1)</f>
        <v>44287</v>
      </c>
      <c r="E48" s="1188">
        <f t="shared" ref="E48:O48" si="16">EDATE(D48,-1)</f>
        <v>44256</v>
      </c>
      <c r="F48" s="1188">
        <f t="shared" si="16"/>
        <v>44228</v>
      </c>
      <c r="G48" s="1188">
        <f t="shared" si="16"/>
        <v>44197</v>
      </c>
      <c r="H48" s="1188">
        <f t="shared" si="16"/>
        <v>44166</v>
      </c>
      <c r="I48" s="1188">
        <f t="shared" si="16"/>
        <v>44136</v>
      </c>
      <c r="J48" s="1188">
        <f t="shared" si="16"/>
        <v>44105</v>
      </c>
      <c r="K48" s="1188">
        <f t="shared" si="16"/>
        <v>44075</v>
      </c>
      <c r="L48" s="1188">
        <f t="shared" si="16"/>
        <v>44044</v>
      </c>
      <c r="M48" s="1188">
        <f t="shared" si="16"/>
        <v>44013</v>
      </c>
      <c r="N48" s="1188">
        <f t="shared" si="16"/>
        <v>43983</v>
      </c>
      <c r="O48" s="1188">
        <f t="shared" si="16"/>
        <v>43952</v>
      </c>
      <c r="P48" s="393"/>
    </row>
    <row r="49" spans="1:17" s="25" customFormat="1" ht="15">
      <c r="A49" s="395"/>
      <c r="B49" s="396"/>
      <c r="C49" s="1186">
        <v>100</v>
      </c>
      <c r="D49" s="397"/>
      <c r="E49" s="397"/>
      <c r="F49" s="397"/>
      <c r="G49" s="397"/>
      <c r="H49" s="397"/>
      <c r="I49" s="397"/>
      <c r="J49" s="397"/>
      <c r="K49" s="397"/>
      <c r="L49" s="397"/>
      <c r="M49" s="398"/>
      <c r="N49" s="397"/>
      <c r="O49" s="399"/>
      <c r="P49" s="390"/>
    </row>
    <row r="50" spans="1:17" s="25" customFormat="1" ht="15.75" thickBot="1">
      <c r="A50" s="400" t="s">
        <v>2296</v>
      </c>
      <c r="B50" s="401"/>
      <c r="C50" s="402"/>
      <c r="D50" s="403"/>
      <c r="E50" s="403"/>
      <c r="F50" s="403"/>
      <c r="G50" s="403"/>
      <c r="H50" s="403"/>
      <c r="I50" s="403"/>
      <c r="J50" s="403"/>
      <c r="K50" s="403"/>
      <c r="L50" s="403"/>
      <c r="M50" s="404"/>
      <c r="N50" s="403"/>
      <c r="O50" s="405"/>
      <c r="P50" s="390"/>
      <c r="Q50" s="390"/>
    </row>
    <row r="51" spans="1:17" s="25" customFormat="1" ht="15">
      <c r="A51" s="406" t="s">
        <v>2260</v>
      </c>
      <c r="B51" s="396"/>
      <c r="C51" s="407" t="s">
        <v>2261</v>
      </c>
      <c r="D51" s="408"/>
      <c r="E51" s="408"/>
      <c r="F51" s="408"/>
      <c r="G51" s="408"/>
      <c r="H51" s="408"/>
      <c r="I51" s="408"/>
      <c r="J51" s="408"/>
      <c r="K51" s="408"/>
      <c r="L51" s="409"/>
      <c r="M51" s="410"/>
      <c r="N51" s="27"/>
      <c r="O51" s="27"/>
      <c r="P51" s="411"/>
      <c r="Q51" s="390"/>
    </row>
    <row r="52" spans="1:17" s="25" customFormat="1" ht="15.75" thickBot="1">
      <c r="A52" s="406"/>
      <c r="B52" s="396"/>
      <c r="C52" s="521">
        <v>100</v>
      </c>
      <c r="D52" s="397"/>
      <c r="E52" s="397"/>
      <c r="F52" s="397"/>
      <c r="G52" s="397"/>
      <c r="H52" s="397"/>
      <c r="I52" s="397"/>
      <c r="J52" s="397"/>
      <c r="K52" s="397"/>
      <c r="L52" s="397"/>
      <c r="M52" s="399"/>
      <c r="N52" s="27"/>
      <c r="O52" s="27"/>
      <c r="P52" s="390"/>
      <c r="Q52" s="390"/>
    </row>
    <row r="53" spans="1:17">
      <c r="A53" s="412" t="s">
        <v>2299</v>
      </c>
      <c r="B53" s="413" t="s">
        <v>2264</v>
      </c>
      <c r="C53" s="414">
        <f>C9</f>
        <v>0</v>
      </c>
      <c r="D53" s="415"/>
      <c r="E53" s="415"/>
      <c r="F53" s="415"/>
      <c r="G53" s="415"/>
      <c r="H53" s="415"/>
      <c r="I53" s="415"/>
      <c r="J53" s="415"/>
      <c r="K53" s="416"/>
      <c r="L53" s="417"/>
      <c r="M53" s="418"/>
      <c r="N53" s="419"/>
      <c r="O53" s="419"/>
      <c r="P53" s="18"/>
      <c r="Q53" s="390"/>
    </row>
    <row r="54" spans="1:17" ht="15.75" thickBot="1">
      <c r="A54" s="420"/>
      <c r="B54" s="421"/>
      <c r="C54" s="422">
        <v>100</v>
      </c>
      <c r="D54" s="422"/>
      <c r="E54" s="422"/>
      <c r="F54" s="422"/>
      <c r="G54" s="422"/>
      <c r="H54" s="422"/>
      <c r="I54" s="422"/>
      <c r="J54" s="422"/>
      <c r="K54" s="422"/>
      <c r="L54" s="422"/>
      <c r="M54" s="423"/>
      <c r="N54" s="424"/>
      <c r="O54" s="424"/>
      <c r="P54" s="18"/>
      <c r="Q54" s="390"/>
    </row>
    <row r="55" spans="1:17" ht="27.75" thickTop="1">
      <c r="A55" s="420"/>
      <c r="B55" s="425" t="s">
        <v>2267</v>
      </c>
      <c r="C55" s="426" t="s">
        <v>2300</v>
      </c>
      <c r="D55" s="426" t="s">
        <v>2301</v>
      </c>
      <c r="E55" s="426" t="s">
        <v>2302</v>
      </c>
      <c r="F55" s="426" t="s">
        <v>2303</v>
      </c>
      <c r="G55" s="426" t="s">
        <v>2304</v>
      </c>
      <c r="H55" s="426" t="s">
        <v>2305</v>
      </c>
      <c r="I55" s="426" t="s">
        <v>2306</v>
      </c>
      <c r="J55" s="426"/>
      <c r="K55" s="427"/>
      <c r="L55" s="428"/>
      <c r="M55" s="429"/>
      <c r="N55" s="419"/>
      <c r="O55" s="419"/>
      <c r="P55" s="18"/>
      <c r="Q55" s="390"/>
    </row>
    <row r="56" spans="1:17" ht="15.75" thickBot="1">
      <c r="A56" s="420"/>
      <c r="B56" s="430"/>
      <c r="C56" s="431" t="s">
        <v>36</v>
      </c>
      <c r="D56" s="431" t="s">
        <v>37</v>
      </c>
      <c r="E56" s="431">
        <v>100</v>
      </c>
      <c r="F56" s="431">
        <f>E56-$K10</f>
        <v>100</v>
      </c>
      <c r="G56" s="431">
        <f>F56-$K10</f>
        <v>100</v>
      </c>
      <c r="H56" s="431">
        <f>G56-$K10</f>
        <v>100</v>
      </c>
      <c r="I56" s="431">
        <f>H56-$K10</f>
        <v>100</v>
      </c>
      <c r="J56" s="431"/>
      <c r="K56" s="431"/>
      <c r="L56" s="431"/>
      <c r="M56" s="432"/>
      <c r="N56" s="424"/>
      <c r="O56" s="424"/>
      <c r="P56" s="18"/>
      <c r="Q56" s="390"/>
    </row>
    <row r="57" spans="1:17" ht="15.75" thickTop="1">
      <c r="A57" s="420"/>
      <c r="B57" s="541">
        <f>B11</f>
        <v>111</v>
      </c>
      <c r="C57" s="436"/>
      <c r="D57" s="436"/>
      <c r="E57" s="436"/>
      <c r="F57" s="436"/>
      <c r="G57" s="436"/>
      <c r="H57" s="436"/>
      <c r="I57" s="436"/>
      <c r="J57" s="436"/>
      <c r="K57" s="437"/>
      <c r="L57" s="438"/>
      <c r="M57" s="439"/>
      <c r="N57" s="419"/>
      <c r="O57" s="419"/>
      <c r="P57" s="18"/>
      <c r="Q57" s="390"/>
    </row>
    <row r="58" spans="1:17" ht="15.75" thickBot="1">
      <c r="A58" s="420"/>
      <c r="B58" s="421"/>
      <c r="C58" s="448"/>
      <c r="D58" s="422"/>
      <c r="E58" s="422"/>
      <c r="F58" s="422"/>
      <c r="G58" s="422"/>
      <c r="H58" s="422"/>
      <c r="I58" s="422"/>
      <c r="J58" s="422"/>
      <c r="K58" s="422"/>
      <c r="L58" s="422"/>
      <c r="M58" s="423"/>
      <c r="N58" s="424"/>
      <c r="O58" s="424"/>
      <c r="P58" s="18"/>
      <c r="Q58" s="390"/>
    </row>
    <row r="59" spans="1:17" s="359" customFormat="1" ht="15.75" thickTop="1">
      <c r="A59" s="440"/>
      <c r="B59" s="425">
        <f>B12</f>
        <v>111</v>
      </c>
      <c r="C59" s="436"/>
      <c r="D59" s="436"/>
      <c r="E59" s="436"/>
      <c r="F59" s="436"/>
      <c r="G59" s="441"/>
      <c r="H59" s="442"/>
      <c r="I59" s="442"/>
      <c r="J59" s="442"/>
      <c r="K59" s="442"/>
      <c r="L59" s="443"/>
      <c r="M59" s="444"/>
      <c r="N59" s="445"/>
      <c r="O59" s="445"/>
      <c r="P59" s="446"/>
      <c r="Q59" s="447"/>
    </row>
    <row r="60" spans="1:17" s="359" customFormat="1" ht="15.75" thickBot="1">
      <c r="A60" s="440"/>
      <c r="B60" s="430"/>
      <c r="C60" s="448"/>
      <c r="D60" s="422"/>
      <c r="E60" s="422"/>
      <c r="F60" s="422"/>
      <c r="G60" s="422"/>
      <c r="H60" s="422"/>
      <c r="I60" s="422"/>
      <c r="J60" s="422"/>
      <c r="K60" s="422"/>
      <c r="L60" s="422"/>
      <c r="M60" s="423"/>
      <c r="N60" s="424"/>
      <c r="O60" s="424"/>
      <c r="P60" s="446"/>
      <c r="Q60" s="447"/>
    </row>
    <row r="61" spans="1:17" s="359" customFormat="1" ht="15.75" thickTop="1">
      <c r="A61" s="440"/>
      <c r="B61" s="425">
        <f>B13</f>
        <v>111</v>
      </c>
      <c r="C61" s="441"/>
      <c r="D61" s="441"/>
      <c r="E61" s="441"/>
      <c r="F61" s="441"/>
      <c r="G61" s="441"/>
      <c r="H61" s="442"/>
      <c r="I61" s="442"/>
      <c r="J61" s="442"/>
      <c r="K61" s="442"/>
      <c r="L61" s="443"/>
      <c r="M61" s="444"/>
      <c r="N61" s="445"/>
      <c r="O61" s="445"/>
      <c r="P61" s="358"/>
      <c r="Q61" s="449"/>
    </row>
    <row r="62" spans="1:17" s="359" customFormat="1" ht="15.75" thickBot="1">
      <c r="A62" s="440"/>
      <c r="B62" s="430"/>
      <c r="C62" s="448"/>
      <c r="D62" s="448"/>
      <c r="E62" s="448"/>
      <c r="F62" s="448"/>
      <c r="G62" s="448"/>
      <c r="H62" s="450"/>
      <c r="I62" s="450"/>
      <c r="J62" s="450"/>
      <c r="K62" s="450"/>
      <c r="L62" s="450"/>
      <c r="M62" s="451"/>
      <c r="N62" s="445"/>
      <c r="O62" s="445"/>
      <c r="P62" s="446"/>
      <c r="Q62" s="447"/>
    </row>
    <row r="63" spans="1:17" ht="15" thickTop="1">
      <c r="A63" s="412" t="s">
        <v>2269</v>
      </c>
      <c r="B63" s="413" t="s">
        <v>2313</v>
      </c>
      <c r="C63" s="461" t="s">
        <v>2308</v>
      </c>
      <c r="D63" s="461" t="s">
        <v>2309</v>
      </c>
      <c r="E63" s="461" t="s">
        <v>2310</v>
      </c>
      <c r="F63" s="461" t="s">
        <v>2311</v>
      </c>
      <c r="G63" s="461" t="s">
        <v>2312</v>
      </c>
      <c r="H63" s="414"/>
      <c r="I63" s="414"/>
      <c r="J63" s="414"/>
      <c r="K63" s="462"/>
      <c r="L63" s="463"/>
      <c r="M63" s="464"/>
      <c r="N63" s="419"/>
      <c r="O63" s="419"/>
      <c r="P63" s="465"/>
      <c r="Q63" s="390"/>
    </row>
    <row r="64" spans="1:17" ht="15.75" thickBot="1">
      <c r="A64" s="420"/>
      <c r="B64" s="430"/>
      <c r="C64" s="431">
        <v>100</v>
      </c>
      <c r="D64" s="431">
        <f>C64-$K14</f>
        <v>100</v>
      </c>
      <c r="E64" s="431">
        <f>D64-$K14</f>
        <v>100</v>
      </c>
      <c r="F64" s="431">
        <f>E64-$K14</f>
        <v>100</v>
      </c>
      <c r="G64" s="431">
        <f>F64-$K14</f>
        <v>100</v>
      </c>
      <c r="H64" s="431"/>
      <c r="I64" s="431"/>
      <c r="J64" s="431"/>
      <c r="K64" s="431"/>
      <c r="L64" s="431"/>
      <c r="M64" s="432"/>
      <c r="N64" s="424"/>
      <c r="O64" s="424"/>
      <c r="P64" s="18"/>
      <c r="Q64" s="390"/>
    </row>
    <row r="65" spans="1:17" ht="15.75" thickTop="1">
      <c r="A65" s="420"/>
      <c r="B65" s="425" t="s">
        <v>2314</v>
      </c>
      <c r="C65" s="466" t="s">
        <v>2308</v>
      </c>
      <c r="D65" s="466" t="s">
        <v>2309</v>
      </c>
      <c r="E65" s="466" t="s">
        <v>2310</v>
      </c>
      <c r="F65" s="466" t="s">
        <v>2311</v>
      </c>
      <c r="G65" s="466" t="s">
        <v>2312</v>
      </c>
      <c r="H65" s="426"/>
      <c r="I65" s="426"/>
      <c r="J65" s="426"/>
      <c r="K65" s="427"/>
      <c r="L65" s="428"/>
      <c r="M65" s="429"/>
      <c r="N65" s="419"/>
      <c r="O65" s="419"/>
      <c r="P65" s="18"/>
      <c r="Q65" s="390"/>
    </row>
    <row r="66" spans="1:17" ht="15.75" thickBot="1">
      <c r="A66" s="420"/>
      <c r="B66" s="430"/>
      <c r="C66" s="431">
        <v>100</v>
      </c>
      <c r="D66" s="431">
        <f>C66-$K16</f>
        <v>100</v>
      </c>
      <c r="E66" s="431">
        <f>D66-$K16</f>
        <v>100</v>
      </c>
      <c r="F66" s="431">
        <f>E66-$K16</f>
        <v>100</v>
      </c>
      <c r="G66" s="431">
        <f>F66-$K16</f>
        <v>100</v>
      </c>
      <c r="H66" s="431"/>
      <c r="I66" s="431"/>
      <c r="J66" s="431"/>
      <c r="K66" s="431"/>
      <c r="L66" s="431"/>
      <c r="M66" s="432"/>
      <c r="N66" s="424"/>
      <c r="O66" s="424"/>
      <c r="P66" s="18"/>
      <c r="Q66" s="390"/>
    </row>
    <row r="67" spans="1:17" ht="15.75" thickTop="1">
      <c r="A67" s="420"/>
      <c r="B67" s="433" t="s">
        <v>2386</v>
      </c>
      <c r="C67" s="426" t="s">
        <v>2315</v>
      </c>
      <c r="D67" s="426" t="s">
        <v>2316</v>
      </c>
      <c r="E67" s="426" t="s">
        <v>2317</v>
      </c>
      <c r="F67" s="426" t="s">
        <v>2318</v>
      </c>
      <c r="G67" s="426" t="s">
        <v>2319</v>
      </c>
      <c r="H67" s="426"/>
      <c r="I67" s="426"/>
      <c r="J67" s="426"/>
      <c r="K67" s="426"/>
      <c r="L67" s="426"/>
      <c r="M67" s="1130"/>
      <c r="N67" s="424"/>
      <c r="O67" s="424"/>
      <c r="P67" s="18"/>
      <c r="Q67" s="390"/>
    </row>
    <row r="68" spans="1:17" ht="15.75" thickBot="1">
      <c r="A68" s="420"/>
      <c r="B68" s="433"/>
      <c r="C68" s="431">
        <v>100</v>
      </c>
      <c r="D68" s="431">
        <f>C68-$K18</f>
        <v>100</v>
      </c>
      <c r="E68" s="431">
        <f>D68-$K18</f>
        <v>100</v>
      </c>
      <c r="F68" s="431">
        <f>E68-$K18</f>
        <v>100</v>
      </c>
      <c r="G68" s="431">
        <f>F68-$K18</f>
        <v>100</v>
      </c>
      <c r="H68" s="541"/>
      <c r="I68" s="541"/>
      <c r="J68" s="541"/>
      <c r="K68" s="541"/>
      <c r="L68" s="541"/>
      <c r="M68" s="339"/>
      <c r="N68" s="424"/>
      <c r="O68" s="424"/>
      <c r="P68" s="18"/>
      <c r="Q68" s="390"/>
    </row>
    <row r="69" spans="1:17" ht="15.75" thickTop="1">
      <c r="A69" s="420"/>
      <c r="B69" s="425" t="s">
        <v>2320</v>
      </c>
      <c r="C69" s="466" t="s">
        <v>2308</v>
      </c>
      <c r="D69" s="466" t="s">
        <v>2309</v>
      </c>
      <c r="E69" s="466" t="s">
        <v>2310</v>
      </c>
      <c r="F69" s="466" t="s">
        <v>2311</v>
      </c>
      <c r="G69" s="466" t="s">
        <v>2312</v>
      </c>
      <c r="H69" s="426"/>
      <c r="I69" s="426"/>
      <c r="J69" s="426"/>
      <c r="K69" s="427"/>
      <c r="L69" s="428"/>
      <c r="M69" s="429"/>
      <c r="N69" s="419"/>
      <c r="O69" s="419"/>
      <c r="P69" s="18"/>
      <c r="Q69" s="390"/>
    </row>
    <row r="70" spans="1:17" ht="15.75" thickBot="1">
      <c r="A70" s="420"/>
      <c r="B70" s="430"/>
      <c r="C70" s="431">
        <v>100</v>
      </c>
      <c r="D70" s="431">
        <f>C70-$K20</f>
        <v>100</v>
      </c>
      <c r="E70" s="431">
        <f>D70-$K20</f>
        <v>100</v>
      </c>
      <c r="F70" s="431">
        <f>E70-$K20</f>
        <v>100</v>
      </c>
      <c r="G70" s="431">
        <f>F70-$K20</f>
        <v>100</v>
      </c>
      <c r="H70" s="431"/>
      <c r="I70" s="431"/>
      <c r="J70" s="431"/>
      <c r="K70" s="431"/>
      <c r="L70" s="431"/>
      <c r="M70" s="432"/>
      <c r="N70" s="424"/>
      <c r="O70" s="424"/>
      <c r="P70" s="18"/>
      <c r="Q70" s="390"/>
    </row>
    <row r="71" spans="1:17" ht="15.75" thickTop="1">
      <c r="A71" s="420"/>
      <c r="B71" s="425" t="s">
        <v>2427</v>
      </c>
      <c r="C71" s="441"/>
      <c r="D71" s="441"/>
      <c r="E71" s="441"/>
      <c r="F71" s="441"/>
      <c r="G71" s="441"/>
      <c r="H71" s="471"/>
      <c r="I71" s="471"/>
      <c r="J71" s="471"/>
      <c r="K71" s="472"/>
      <c r="L71" s="473"/>
      <c r="M71" s="474"/>
      <c r="N71" s="419"/>
      <c r="O71" s="419"/>
      <c r="P71" s="18"/>
      <c r="Q71" s="390"/>
    </row>
    <row r="72" spans="1:17" ht="15.75" thickBot="1">
      <c r="A72" s="420"/>
      <c r="B72" s="430"/>
      <c r="C72" s="431">
        <v>100</v>
      </c>
      <c r="D72" s="431">
        <f>C72-$K22</f>
        <v>100</v>
      </c>
      <c r="E72" s="431">
        <f>D72-$K22</f>
        <v>100</v>
      </c>
      <c r="F72" s="431">
        <f>E72-$K22</f>
        <v>100</v>
      </c>
      <c r="G72" s="431">
        <f>F72-$K22</f>
        <v>100</v>
      </c>
      <c r="H72" s="431"/>
      <c r="I72" s="431"/>
      <c r="J72" s="431"/>
      <c r="K72" s="431"/>
      <c r="L72" s="431"/>
      <c r="M72" s="432"/>
      <c r="N72" s="424"/>
      <c r="O72" s="424"/>
      <c r="P72" s="18"/>
      <c r="Q72" s="390"/>
    </row>
    <row r="73" spans="1:17" s="25" customFormat="1" ht="15.75" thickTop="1">
      <c r="A73" s="467"/>
      <c r="B73" s="425">
        <f>B23</f>
        <v>111</v>
      </c>
      <c r="C73" s="436"/>
      <c r="D73" s="436"/>
      <c r="E73" s="436"/>
      <c r="F73" s="436"/>
      <c r="G73" s="441"/>
      <c r="H73" s="441"/>
      <c r="I73" s="441"/>
      <c r="J73" s="441"/>
      <c r="K73" s="441"/>
      <c r="L73" s="468"/>
      <c r="M73" s="469"/>
      <c r="N73" s="27"/>
      <c r="O73" s="27"/>
      <c r="P73" s="18"/>
      <c r="Q73" s="390"/>
    </row>
    <row r="74" spans="1:17" s="25" customFormat="1" ht="15.75" thickBot="1">
      <c r="A74" s="467"/>
      <c r="B74" s="430"/>
      <c r="C74" s="448"/>
      <c r="D74" s="422"/>
      <c r="E74" s="422"/>
      <c r="F74" s="422"/>
      <c r="G74" s="422"/>
      <c r="H74" s="422"/>
      <c r="I74" s="422"/>
      <c r="J74" s="422"/>
      <c r="K74" s="422"/>
      <c r="L74" s="422"/>
      <c r="M74" s="423"/>
      <c r="N74" s="424"/>
      <c r="O74" s="424"/>
      <c r="P74" s="18"/>
      <c r="Q74" s="390"/>
    </row>
    <row r="75" spans="1:17" s="25" customFormat="1" ht="15.75" thickTop="1">
      <c r="A75" s="467"/>
      <c r="B75" s="425">
        <f>B24</f>
        <v>111</v>
      </c>
      <c r="C75" s="436"/>
      <c r="D75" s="436"/>
      <c r="E75" s="436"/>
      <c r="F75" s="436"/>
      <c r="G75" s="441"/>
      <c r="H75" s="441"/>
      <c r="I75" s="441"/>
      <c r="J75" s="441"/>
      <c r="K75" s="441"/>
      <c r="L75" s="441"/>
      <c r="M75" s="469"/>
      <c r="N75" s="27"/>
      <c r="O75" s="27"/>
      <c r="P75" s="18"/>
      <c r="Q75" s="390"/>
    </row>
    <row r="76" spans="1:17" s="25" customFormat="1" ht="15.75" thickBot="1">
      <c r="A76" s="467"/>
      <c r="B76" s="430"/>
      <c r="C76" s="448"/>
      <c r="D76" s="422"/>
      <c r="E76" s="422"/>
      <c r="F76" s="422"/>
      <c r="G76" s="422"/>
      <c r="H76" s="422"/>
      <c r="I76" s="422"/>
      <c r="J76" s="422"/>
      <c r="K76" s="422"/>
      <c r="L76" s="422"/>
      <c r="M76" s="423"/>
      <c r="N76" s="424"/>
      <c r="O76" s="424"/>
      <c r="P76" s="18"/>
      <c r="Q76" s="390"/>
    </row>
    <row r="77" spans="1:17" s="359" customFormat="1" ht="15.75" thickTop="1">
      <c r="A77" s="440"/>
      <c r="B77" s="425">
        <f>B25</f>
        <v>111</v>
      </c>
      <c r="C77" s="441"/>
      <c r="D77" s="441"/>
      <c r="E77" s="441"/>
      <c r="F77" s="441"/>
      <c r="G77" s="441"/>
      <c r="H77" s="442"/>
      <c r="I77" s="442"/>
      <c r="J77" s="442"/>
      <c r="K77" s="442"/>
      <c r="L77" s="443"/>
      <c r="M77" s="444"/>
      <c r="N77" s="445"/>
      <c r="O77" s="445"/>
      <c r="P77" s="446"/>
      <c r="Q77" s="447"/>
    </row>
    <row r="78" spans="1:17" s="359" customFormat="1" ht="15.75" thickBot="1">
      <c r="A78" s="440"/>
      <c r="B78" s="430"/>
      <c r="C78" s="448"/>
      <c r="D78" s="448"/>
      <c r="E78" s="448"/>
      <c r="F78" s="448"/>
      <c r="G78" s="422"/>
      <c r="H78" s="422"/>
      <c r="I78" s="422"/>
      <c r="J78" s="422"/>
      <c r="K78" s="422"/>
      <c r="L78" s="422"/>
      <c r="M78" s="423"/>
      <c r="N78" s="445"/>
      <c r="O78" s="445"/>
      <c r="P78" s="446"/>
      <c r="Q78" s="447"/>
    </row>
    <row r="79" spans="1:17" ht="27.75" thickTop="1">
      <c r="A79" s="412" t="s">
        <v>2274</v>
      </c>
      <c r="B79" s="413" t="s">
        <v>2428</v>
      </c>
      <c r="C79" s="414">
        <f>C26</f>
        <v>0</v>
      </c>
      <c r="D79" s="415"/>
      <c r="E79" s="415"/>
      <c r="F79" s="415"/>
      <c r="G79" s="415"/>
      <c r="H79" s="415"/>
      <c r="I79" s="415"/>
      <c r="J79" s="415"/>
      <c r="K79" s="416"/>
      <c r="L79" s="417"/>
      <c r="M79" s="418"/>
      <c r="N79" s="419"/>
      <c r="O79" s="419"/>
      <c r="P79" s="18"/>
      <c r="Q79" s="390"/>
    </row>
    <row r="80" spans="1:17" ht="15.75" thickBot="1">
      <c r="A80" s="420"/>
      <c r="B80" s="430"/>
      <c r="C80" s="431">
        <v>100</v>
      </c>
      <c r="D80" s="431">
        <f t="shared" ref="D80:M80" si="17">C80-$K26</f>
        <v>100</v>
      </c>
      <c r="E80" s="431">
        <f t="shared" si="17"/>
        <v>100</v>
      </c>
      <c r="F80" s="431">
        <f t="shared" si="17"/>
        <v>100</v>
      </c>
      <c r="G80" s="431">
        <f t="shared" si="17"/>
        <v>100</v>
      </c>
      <c r="H80" s="431">
        <f t="shared" si="17"/>
        <v>100</v>
      </c>
      <c r="I80" s="431">
        <f t="shared" si="17"/>
        <v>100</v>
      </c>
      <c r="J80" s="431">
        <f t="shared" si="17"/>
        <v>100</v>
      </c>
      <c r="K80" s="431">
        <f t="shared" si="17"/>
        <v>100</v>
      </c>
      <c r="L80" s="431">
        <f t="shared" si="17"/>
        <v>100</v>
      </c>
      <c r="M80" s="432">
        <f t="shared" si="17"/>
        <v>100</v>
      </c>
      <c r="N80" s="424"/>
      <c r="O80" s="424"/>
      <c r="P80" s="18"/>
      <c r="Q80" s="390"/>
    </row>
    <row r="81" spans="1:17" ht="15.75" thickTop="1">
      <c r="A81" s="420"/>
      <c r="B81" s="425" t="s">
        <v>2429</v>
      </c>
      <c r="C81" s="542"/>
      <c r="D81" s="542"/>
      <c r="E81" s="542"/>
      <c r="F81" s="542"/>
      <c r="G81" s="542"/>
      <c r="H81" s="542"/>
      <c r="I81" s="542"/>
      <c r="J81" s="542"/>
      <c r="K81" s="543"/>
      <c r="L81" s="544"/>
      <c r="M81" s="545"/>
      <c r="N81" s="27"/>
      <c r="O81" s="27"/>
      <c r="P81" s="18"/>
      <c r="Q81" s="390"/>
    </row>
    <row r="82" spans="1:17" s="359" customFormat="1" ht="15.75" thickBot="1">
      <c r="A82" s="440"/>
      <c r="B82" s="430"/>
      <c r="C82" s="448"/>
      <c r="D82" s="422"/>
      <c r="E82" s="422"/>
      <c r="F82" s="422"/>
      <c r="G82" s="422"/>
      <c r="H82" s="422"/>
      <c r="I82" s="422"/>
      <c r="J82" s="422"/>
      <c r="K82" s="422"/>
      <c r="L82" s="422"/>
      <c r="M82" s="423"/>
      <c r="N82" s="424"/>
      <c r="O82" s="424"/>
      <c r="P82" s="446"/>
      <c r="Q82" s="447"/>
    </row>
    <row r="83" spans="1:17" ht="15" thickTop="1">
      <c r="A83" s="487"/>
      <c r="B83" s="425" t="s">
        <v>2327</v>
      </c>
      <c r="C83" s="441"/>
      <c r="D83" s="441"/>
      <c r="E83" s="471"/>
      <c r="F83" s="471"/>
      <c r="G83" s="471"/>
      <c r="H83" s="471"/>
      <c r="I83" s="471"/>
      <c r="J83" s="471"/>
      <c r="K83" s="472"/>
      <c r="L83" s="473"/>
      <c r="M83" s="474"/>
      <c r="N83" s="419"/>
      <c r="O83" s="419"/>
      <c r="P83" s="18"/>
      <c r="Q83" s="390"/>
    </row>
    <row r="84" spans="1:17" ht="15.75" thickBot="1">
      <c r="A84" s="420"/>
      <c r="B84" s="430"/>
      <c r="C84" s="431">
        <v>100</v>
      </c>
      <c r="D84" s="431">
        <f t="shared" ref="D84:M84" si="18">C84-$K28</f>
        <v>100</v>
      </c>
      <c r="E84" s="431">
        <f t="shared" si="18"/>
        <v>100</v>
      </c>
      <c r="F84" s="431">
        <f t="shared" si="18"/>
        <v>100</v>
      </c>
      <c r="G84" s="431">
        <f t="shared" si="18"/>
        <v>100</v>
      </c>
      <c r="H84" s="431">
        <f t="shared" si="18"/>
        <v>100</v>
      </c>
      <c r="I84" s="431">
        <f t="shared" si="18"/>
        <v>100</v>
      </c>
      <c r="J84" s="431">
        <f t="shared" si="18"/>
        <v>100</v>
      </c>
      <c r="K84" s="431">
        <f t="shared" si="18"/>
        <v>100</v>
      </c>
      <c r="L84" s="431">
        <f t="shared" si="18"/>
        <v>100</v>
      </c>
      <c r="M84" s="432">
        <f t="shared" si="18"/>
        <v>100</v>
      </c>
      <c r="N84" s="424"/>
      <c r="O84" s="424"/>
      <c r="P84" s="18"/>
      <c r="Q84" s="390"/>
    </row>
    <row r="85" spans="1:17" ht="15" thickTop="1">
      <c r="A85" s="487"/>
      <c r="B85" s="425" t="s">
        <v>2430</v>
      </c>
      <c r="C85" s="466" t="str">
        <f>C86&amp;"(含)"&amp;"-"&amp;D86</f>
        <v>0.5(含)-0.6</v>
      </c>
      <c r="D85" s="466" t="str">
        <f>D86&amp;"(含)"&amp;"-"&amp;E86</f>
        <v>0.6(含)-0.7</v>
      </c>
      <c r="E85" s="466" t="str">
        <f>E86&amp;"(含)"&amp;"-"&amp;F86</f>
        <v>0.7(含)-0.8</v>
      </c>
      <c r="F85" s="466" t="str">
        <f>F86&amp;"(含)"&amp;"-"&amp;G86</f>
        <v>0.8(含)-0.9</v>
      </c>
      <c r="G85" s="466" t="str">
        <f>G86&amp;"(含)"&amp;"-"&amp;H86</f>
        <v>0.9(含)-1</v>
      </c>
      <c r="H85" s="466"/>
      <c r="I85" s="471"/>
      <c r="J85" s="471"/>
      <c r="K85" s="472"/>
      <c r="L85" s="473"/>
      <c r="M85" s="474"/>
      <c r="N85" s="419"/>
      <c r="O85" s="419"/>
      <c r="P85" s="18"/>
      <c r="Q85" s="390"/>
    </row>
    <row r="86" spans="1:17">
      <c r="A86" s="487"/>
      <c r="B86" s="433"/>
      <c r="C86" s="491">
        <v>0.5</v>
      </c>
      <c r="D86" s="491">
        <v>0.6</v>
      </c>
      <c r="E86" s="491">
        <v>0.7</v>
      </c>
      <c r="F86" s="491">
        <v>0.8</v>
      </c>
      <c r="G86" s="491">
        <v>0.9</v>
      </c>
      <c r="H86" s="491">
        <v>1</v>
      </c>
      <c r="I86" s="506"/>
      <c r="J86" s="506"/>
      <c r="K86" s="507"/>
      <c r="L86" s="508"/>
      <c r="M86" s="509"/>
      <c r="N86" s="419"/>
      <c r="O86" s="419"/>
      <c r="P86" s="18"/>
      <c r="Q86" s="390"/>
    </row>
    <row r="87" spans="1:17" ht="15.75" thickBot="1">
      <c r="A87" s="420"/>
      <c r="B87" s="430"/>
      <c r="C87" s="470">
        <v>100</v>
      </c>
      <c r="D87" s="431">
        <f>C87+$K$29</f>
        <v>100</v>
      </c>
      <c r="E87" s="431">
        <f t="shared" ref="E87:M87" si="19">D87+$K$29</f>
        <v>100</v>
      </c>
      <c r="F87" s="431">
        <f t="shared" si="19"/>
        <v>100</v>
      </c>
      <c r="G87" s="431">
        <f t="shared" si="19"/>
        <v>100</v>
      </c>
      <c r="H87" s="431">
        <f t="shared" si="19"/>
        <v>100</v>
      </c>
      <c r="I87" s="431">
        <f t="shared" si="19"/>
        <v>100</v>
      </c>
      <c r="J87" s="431">
        <f t="shared" si="19"/>
        <v>100</v>
      </c>
      <c r="K87" s="431">
        <f t="shared" si="19"/>
        <v>100</v>
      </c>
      <c r="L87" s="431">
        <f t="shared" si="19"/>
        <v>100</v>
      </c>
      <c r="M87" s="431">
        <f t="shared" si="19"/>
        <v>100</v>
      </c>
      <c r="N87" s="424"/>
      <c r="O87" s="424"/>
      <c r="P87" s="18"/>
      <c r="Q87" s="390"/>
    </row>
    <row r="88" spans="1:17" ht="15" thickTop="1">
      <c r="A88" s="487"/>
      <c r="B88" s="433" t="s">
        <v>2431</v>
      </c>
      <c r="C88" s="415"/>
      <c r="D88" s="415"/>
      <c r="E88" s="415"/>
      <c r="F88" s="415"/>
      <c r="G88" s="415"/>
      <c r="H88" s="415"/>
      <c r="I88" s="415"/>
      <c r="J88" s="415"/>
      <c r="K88" s="416"/>
      <c r="L88" s="417"/>
      <c r="M88" s="418"/>
      <c r="N88" s="419"/>
      <c r="O88" s="419"/>
      <c r="P88" s="18"/>
      <c r="Q88" s="390"/>
    </row>
    <row r="89" spans="1:17" ht="15.75" thickBot="1">
      <c r="A89" s="420"/>
      <c r="B89" s="430"/>
      <c r="C89" s="470">
        <v>100</v>
      </c>
      <c r="D89" s="431">
        <f t="shared" ref="D89:M89" si="20">C89+$K30</f>
        <v>100</v>
      </c>
      <c r="E89" s="431">
        <f t="shared" si="20"/>
        <v>100</v>
      </c>
      <c r="F89" s="431">
        <f t="shared" si="20"/>
        <v>100</v>
      </c>
      <c r="G89" s="431">
        <f t="shared" si="20"/>
        <v>100</v>
      </c>
      <c r="H89" s="431">
        <f t="shared" si="20"/>
        <v>100</v>
      </c>
      <c r="I89" s="431">
        <f t="shared" si="20"/>
        <v>100</v>
      </c>
      <c r="J89" s="431">
        <f t="shared" si="20"/>
        <v>100</v>
      </c>
      <c r="K89" s="431">
        <f t="shared" si="20"/>
        <v>100</v>
      </c>
      <c r="L89" s="431">
        <f t="shared" si="20"/>
        <v>100</v>
      </c>
      <c r="M89" s="431">
        <f t="shared" si="20"/>
        <v>100</v>
      </c>
      <c r="N89" s="424"/>
      <c r="O89" s="424"/>
      <c r="P89" s="18"/>
      <c r="Q89" s="390"/>
    </row>
    <row r="90" spans="1:17" s="359" customFormat="1" ht="15" thickTop="1">
      <c r="A90" s="481"/>
      <c r="B90" s="425" t="s">
        <v>2432</v>
      </c>
      <c r="C90" s="466" t="str">
        <f>C91&amp;"(含)"&amp;"-"&amp;D91</f>
        <v>(含)-</v>
      </c>
      <c r="D90" s="466" t="str">
        <f t="shared" ref="D90:L90" si="21">D91&amp;"(含)"&amp;"-"&amp;E91</f>
        <v>(含)-</v>
      </c>
      <c r="E90" s="466" t="str">
        <f t="shared" si="21"/>
        <v>(含)-</v>
      </c>
      <c r="F90" s="466" t="str">
        <f t="shared" si="21"/>
        <v>(含)-</v>
      </c>
      <c r="G90" s="466" t="str">
        <f t="shared" si="21"/>
        <v>(含)-</v>
      </c>
      <c r="H90" s="466" t="str">
        <f t="shared" si="21"/>
        <v>(含)-</v>
      </c>
      <c r="I90" s="466" t="str">
        <f t="shared" si="21"/>
        <v>(含)-</v>
      </c>
      <c r="J90" s="466" t="str">
        <f t="shared" si="21"/>
        <v>(含)-</v>
      </c>
      <c r="K90" s="466" t="str">
        <f t="shared" si="21"/>
        <v>(含)-</v>
      </c>
      <c r="L90" s="466" t="str">
        <f t="shared" si="21"/>
        <v>(含)-</v>
      </c>
      <c r="M90" s="505" t="str">
        <f>M91&amp;"(含)"&amp;"-"&amp;P91</f>
        <v>(含)-</v>
      </c>
      <c r="N90" s="445"/>
      <c r="O90" s="445"/>
      <c r="P90" s="446"/>
      <c r="Q90" s="447"/>
    </row>
    <row r="91" spans="1:17" s="359" customFormat="1">
      <c r="A91" s="481"/>
      <c r="B91" s="433"/>
      <c r="C91" s="483"/>
      <c r="D91" s="483"/>
      <c r="E91" s="483"/>
      <c r="F91" s="483"/>
      <c r="G91" s="483"/>
      <c r="H91" s="483"/>
      <c r="I91" s="483"/>
      <c r="J91" s="484"/>
      <c r="K91" s="484"/>
      <c r="L91" s="485"/>
      <c r="M91" s="486"/>
      <c r="N91" s="445"/>
      <c r="O91" s="445"/>
      <c r="P91" s="446"/>
      <c r="Q91" s="447"/>
    </row>
    <row r="92" spans="1:17" s="359" customFormat="1" ht="15.75" thickBot="1">
      <c r="A92" s="440"/>
      <c r="B92" s="430"/>
      <c r="C92" s="448"/>
      <c r="D92" s="422"/>
      <c r="E92" s="422"/>
      <c r="F92" s="422"/>
      <c r="G92" s="422"/>
      <c r="H92" s="422"/>
      <c r="I92" s="422"/>
      <c r="J92" s="422"/>
      <c r="K92" s="422"/>
      <c r="L92" s="422"/>
      <c r="M92" s="423"/>
      <c r="N92" s="445"/>
      <c r="O92" s="445"/>
      <c r="P92" s="446"/>
      <c r="Q92" s="447"/>
    </row>
    <row r="93" spans="1:17" ht="15" thickTop="1">
      <c r="A93" s="487"/>
      <c r="B93" s="425" t="s">
        <v>2433</v>
      </c>
      <c r="C93" s="441"/>
      <c r="D93" s="441"/>
      <c r="E93" s="471"/>
      <c r="F93" s="471"/>
      <c r="G93" s="471"/>
      <c r="H93" s="471"/>
      <c r="I93" s="471"/>
      <c r="J93" s="471"/>
      <c r="K93" s="472"/>
      <c r="L93" s="473"/>
      <c r="M93" s="474"/>
      <c r="N93" s="419"/>
      <c r="O93" s="419"/>
      <c r="P93" s="18"/>
      <c r="Q93" s="390"/>
    </row>
    <row r="94" spans="1:17" ht="15.75" thickBot="1">
      <c r="A94" s="420"/>
      <c r="B94" s="430"/>
      <c r="C94" s="431">
        <v>100</v>
      </c>
      <c r="D94" s="431">
        <f t="shared" ref="D94:M94" si="22">C94-$K32</f>
        <v>100</v>
      </c>
      <c r="E94" s="431">
        <f t="shared" si="22"/>
        <v>100</v>
      </c>
      <c r="F94" s="431">
        <f t="shared" si="22"/>
        <v>100</v>
      </c>
      <c r="G94" s="431">
        <f t="shared" si="22"/>
        <v>100</v>
      </c>
      <c r="H94" s="431">
        <f t="shared" si="22"/>
        <v>100</v>
      </c>
      <c r="I94" s="431">
        <f t="shared" si="22"/>
        <v>100</v>
      </c>
      <c r="J94" s="431">
        <f t="shared" si="22"/>
        <v>100</v>
      </c>
      <c r="K94" s="431">
        <f t="shared" si="22"/>
        <v>100</v>
      </c>
      <c r="L94" s="431">
        <f t="shared" si="22"/>
        <v>100</v>
      </c>
      <c r="M94" s="432">
        <f t="shared" si="22"/>
        <v>100</v>
      </c>
      <c r="N94" s="424"/>
      <c r="O94" s="424"/>
      <c r="P94" s="18"/>
      <c r="Q94" s="390"/>
    </row>
    <row r="95" spans="1:17" ht="15" thickTop="1">
      <c r="A95" s="487"/>
      <c r="B95" s="425" t="s">
        <v>2434</v>
      </c>
      <c r="C95" s="415"/>
      <c r="D95" s="415"/>
      <c r="E95" s="415"/>
      <c r="F95" s="415"/>
      <c r="G95" s="415"/>
      <c r="H95" s="415"/>
      <c r="I95" s="415"/>
      <c r="J95" s="415"/>
      <c r="K95" s="416"/>
      <c r="L95" s="417"/>
      <c r="M95" s="418"/>
      <c r="N95" s="419"/>
      <c r="O95" s="419"/>
      <c r="P95" s="18"/>
      <c r="Q95" s="390"/>
    </row>
    <row r="96" spans="1:17" ht="15.75" thickBot="1">
      <c r="A96" s="420"/>
      <c r="B96" s="430"/>
      <c r="C96" s="431">
        <v>100</v>
      </c>
      <c r="D96" s="431">
        <f>C96-$K33</f>
        <v>100</v>
      </c>
      <c r="E96" s="431">
        <f>D96-$K33</f>
        <v>100</v>
      </c>
      <c r="F96" s="431">
        <f>E96-$K33</f>
        <v>100</v>
      </c>
      <c r="G96" s="431">
        <f>F96-$K33</f>
        <v>100</v>
      </c>
      <c r="H96" s="431"/>
      <c r="I96" s="431"/>
      <c r="J96" s="431"/>
      <c r="K96" s="431"/>
      <c r="L96" s="431"/>
      <c r="M96" s="432"/>
      <c r="N96" s="424"/>
      <c r="O96" s="424"/>
      <c r="P96" s="18"/>
      <c r="Q96" s="390"/>
    </row>
    <row r="97" spans="1:17" ht="15" thickTop="1">
      <c r="A97" s="487"/>
      <c r="B97" s="518">
        <f>B34</f>
        <v>111</v>
      </c>
      <c r="C97" s="436"/>
      <c r="D97" s="436"/>
      <c r="E97" s="436"/>
      <c r="F97" s="436"/>
      <c r="G97" s="441"/>
      <c r="H97" s="442"/>
      <c r="I97" s="442"/>
      <c r="J97" s="442"/>
      <c r="K97" s="442"/>
      <c r="L97" s="443"/>
      <c r="M97" s="444"/>
      <c r="N97" s="424"/>
      <c r="O97" s="424"/>
      <c r="P97" s="519"/>
      <c r="Q97" s="520"/>
    </row>
    <row r="98" spans="1:17" ht="15.75" thickBot="1">
      <c r="A98" s="420"/>
      <c r="B98" s="430"/>
      <c r="C98" s="448"/>
      <c r="D98" s="422"/>
      <c r="E98" s="422"/>
      <c r="F98" s="422"/>
      <c r="G98" s="448"/>
      <c r="H98" s="450"/>
      <c r="I98" s="450"/>
      <c r="J98" s="450"/>
      <c r="K98" s="450"/>
      <c r="L98" s="450"/>
      <c r="M98" s="451"/>
      <c r="N98" s="424"/>
      <c r="O98" s="424"/>
      <c r="P98" s="18"/>
      <c r="Q98" s="390"/>
    </row>
    <row r="99" spans="1:17" s="359" customFormat="1" ht="15" thickTop="1">
      <c r="A99" s="481"/>
      <c r="B99" s="425">
        <f>B35</f>
        <v>111</v>
      </c>
      <c r="C99" s="436"/>
      <c r="D99" s="436"/>
      <c r="E99" s="436"/>
      <c r="F99" s="436"/>
      <c r="G99" s="441"/>
      <c r="H99" s="442"/>
      <c r="I99" s="442"/>
      <c r="J99" s="442"/>
      <c r="K99" s="442"/>
      <c r="L99" s="443"/>
      <c r="M99" s="444"/>
      <c r="N99" s="445"/>
      <c r="O99" s="445"/>
      <c r="P99" s="446"/>
      <c r="Q99" s="447"/>
    </row>
    <row r="100" spans="1:17" s="359" customFormat="1" ht="15.75" thickBot="1">
      <c r="A100" s="440"/>
      <c r="B100" s="421"/>
      <c r="C100" s="448"/>
      <c r="D100" s="422"/>
      <c r="E100" s="422"/>
      <c r="F100" s="422"/>
      <c r="G100" s="448"/>
      <c r="H100" s="450"/>
      <c r="I100" s="450"/>
      <c r="J100" s="450"/>
      <c r="K100" s="450"/>
      <c r="L100" s="450"/>
      <c r="M100" s="451"/>
      <c r="N100" s="445"/>
      <c r="O100" s="445"/>
      <c r="P100" s="446"/>
      <c r="Q100" s="447"/>
    </row>
    <row r="101" spans="1:17" ht="15" thickTop="1">
      <c r="A101" s="487"/>
      <c r="B101" s="425">
        <f>B36</f>
        <v>111</v>
      </c>
      <c r="C101" s="441"/>
      <c r="D101" s="441"/>
      <c r="E101" s="441"/>
      <c r="F101" s="441"/>
      <c r="G101" s="441"/>
      <c r="H101" s="442"/>
      <c r="I101" s="442"/>
      <c r="J101" s="442"/>
      <c r="K101" s="442"/>
      <c r="L101" s="443"/>
      <c r="M101" s="444"/>
      <c r="N101" s="419"/>
      <c r="O101" s="419"/>
      <c r="P101" s="18"/>
      <c r="Q101" s="390"/>
    </row>
    <row r="102" spans="1:17" ht="15.75" thickBot="1">
      <c r="A102" s="420"/>
      <c r="B102" s="430"/>
      <c r="C102" s="448"/>
      <c r="D102" s="448"/>
      <c r="E102" s="448"/>
      <c r="F102" s="448"/>
      <c r="G102" s="448"/>
      <c r="H102" s="450"/>
      <c r="I102" s="450"/>
      <c r="J102" s="450"/>
      <c r="K102" s="450"/>
      <c r="L102" s="450"/>
      <c r="M102" s="451"/>
      <c r="N102" s="424"/>
      <c r="O102" s="424"/>
      <c r="P102" s="18"/>
      <c r="Q102" s="390"/>
    </row>
    <row r="103" spans="1:17" ht="15" thickTop="1"/>
  </sheetData>
  <sheetProtection password="CEE9" sheet="1" objects="1" scenarios="1" formatCells="0" formatColumns="0" formatRows="0"/>
  <mergeCells count="40">
    <mergeCell ref="E6:F6"/>
    <mergeCell ref="G6:H6"/>
    <mergeCell ref="P9:P13"/>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4:P25"/>
    <mergeCell ref="Y14:Y25"/>
    <mergeCell ref="Y9:Y13"/>
    <mergeCell ref="Y7:Z7"/>
    <mergeCell ref="P26:P36"/>
    <mergeCell ref="Y26:Y36"/>
    <mergeCell ref="P37:Q37"/>
    <mergeCell ref="R37:S37"/>
    <mergeCell ref="T37:U37"/>
    <mergeCell ref="V37:W37"/>
    <mergeCell ref="P38:Q38"/>
    <mergeCell ref="R38:S38"/>
    <mergeCell ref="T38:U38"/>
    <mergeCell ref="V38:W38"/>
    <mergeCell ref="P39:Q39"/>
    <mergeCell ref="R39:W39"/>
  </mergeCells>
  <phoneticPr fontId="26" type="noConversion"/>
  <conditionalFormatting sqref="F42 H42 J42">
    <cfRule type="containsText" dxfId="75" priority="18" stopIfTrue="1" operator="containsText" text="超过">
      <formula>NOT(ISERROR(SEARCH("超过",F42)))</formula>
    </cfRule>
  </conditionalFormatting>
  <conditionalFormatting sqref="J44">
    <cfRule type="containsText" dxfId="74" priority="17" stopIfTrue="1" operator="containsText" text="超过">
      <formula>NOT(ISERROR(SEARCH("超过",J44)))</formula>
    </cfRule>
  </conditionalFormatting>
  <conditionalFormatting sqref="H44">
    <cfRule type="containsText" dxfId="73" priority="16" stopIfTrue="1" operator="containsText" text="超过">
      <formula>NOT(ISERROR(SEARCH("超过",H44)))</formula>
    </cfRule>
  </conditionalFormatting>
  <conditionalFormatting sqref="F44">
    <cfRule type="containsText" dxfId="72" priority="15" stopIfTrue="1" operator="containsText" text="超过">
      <formula>NOT(ISERROR(SEARCH("超过",F44)))</formula>
    </cfRule>
  </conditionalFormatting>
  <conditionalFormatting sqref="F43 H43 J43">
    <cfRule type="containsText" dxfId="71" priority="14" stopIfTrue="1" operator="containsText" text="超过">
      <formula>NOT(ISERROR(SEARCH("超过",F43)))</formula>
    </cfRule>
  </conditionalFormatting>
  <conditionalFormatting sqref="E42">
    <cfRule type="expression" dxfId="70" priority="13" stopIfTrue="1">
      <formula>$F$42="超过30%"</formula>
    </cfRule>
  </conditionalFormatting>
  <conditionalFormatting sqref="G44">
    <cfRule type="expression" dxfId="69" priority="12" stopIfTrue="1">
      <formula>$H$54+$H$44="超过30%"</formula>
    </cfRule>
  </conditionalFormatting>
  <conditionalFormatting sqref="E43">
    <cfRule type="expression" dxfId="68" priority="11" stopIfTrue="1">
      <formula>$F$43="超过20%"</formula>
    </cfRule>
  </conditionalFormatting>
  <conditionalFormatting sqref="E44">
    <cfRule type="expression" dxfId="67" priority="10" stopIfTrue="1">
      <formula>$F$44="超过30%"</formula>
    </cfRule>
  </conditionalFormatting>
  <conditionalFormatting sqref="G42">
    <cfRule type="expression" dxfId="66" priority="9" stopIfTrue="1">
      <formula>$H$52+$H$42="超过30%"</formula>
    </cfRule>
  </conditionalFormatting>
  <conditionalFormatting sqref="G43">
    <cfRule type="expression" dxfId="65" priority="8" stopIfTrue="1">
      <formula>$H$43="超过20%"</formula>
    </cfRule>
  </conditionalFormatting>
  <conditionalFormatting sqref="I42">
    <cfRule type="expression" dxfId="64" priority="7" stopIfTrue="1">
      <formula>$J$52+$J$42="超过30%"</formula>
    </cfRule>
  </conditionalFormatting>
  <conditionalFormatting sqref="I43">
    <cfRule type="expression" dxfId="63" priority="6" stopIfTrue="1">
      <formula>$J$53+$J$43="超过20%"</formula>
    </cfRule>
  </conditionalFormatting>
  <conditionalFormatting sqref="I44">
    <cfRule type="expression" dxfId="62" priority="5" stopIfTrue="1">
      <formula>$J$44="超过30%"</formula>
    </cfRule>
  </conditionalFormatting>
  <conditionalFormatting sqref="F38">
    <cfRule type="expression" dxfId="61" priority="4">
      <formula>$D$38="简单平均"</formula>
    </cfRule>
  </conditionalFormatting>
  <conditionalFormatting sqref="H38">
    <cfRule type="expression" dxfId="60" priority="3">
      <formula>$D$38="简单平均"</formula>
    </cfRule>
  </conditionalFormatting>
  <conditionalFormatting sqref="J38">
    <cfRule type="expression" dxfId="59" priority="2">
      <formula>$D$38="简单平均"</formula>
    </cfRule>
  </conditionalFormatting>
  <conditionalFormatting sqref="F7:F36 H7:H36 J7:J36">
    <cfRule type="cellIs" dxfId="58" priority="1" operator="notEqual">
      <formula>100</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G17 C17 I17 E17">
      <formula1>公共配套设施</formula1>
    </dataValidation>
    <dataValidation type="list" allowBlank="1" showInputMessage="1" showErrorMessage="1" sqref="G15 E15 C15 I15">
      <formula1>交通便捷度</formula1>
    </dataValidation>
    <dataValidation type="list" allowBlank="1" showInputMessage="1" showErrorMessage="1" sqref="C8 E8 G8 I8">
      <formula1>车位交易情况</formula1>
    </dataValidation>
    <dataValidation type="list" allowBlank="1" showInputMessage="1" showErrorMessage="1" sqref="E9 G9 I9">
      <formula1>车位用途</formula1>
    </dataValidation>
    <dataValidation type="list" allowBlank="1" showInputMessage="1" showErrorMessage="1" sqref="C22 E22 G22 I22">
      <formula1>车位楼层</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1">
      <formula1>地类判定</formula1>
    </dataValidation>
    <dataValidation type="list" allowBlank="1" showInputMessage="1" showErrorMessage="1" sqref="I26 E26 G26">
      <formula1>车位配套类型</formula1>
    </dataValidation>
    <dataValidation type="list" allowBlank="1" showInputMessage="1" showErrorMessage="1" sqref="C28 E28 G28 I28">
      <formula1>车位公共部分装修</formula1>
    </dataValidation>
    <dataValidation type="list" allowBlank="1" showInputMessage="1" showErrorMessage="1" sqref="C21 E21 G21 I21">
      <formula1>环境</formula1>
    </dataValidation>
    <dataValidation type="list" allowBlank="1" showInputMessage="1" showErrorMessage="1" sqref="B37">
      <formula1>"元/平方米,元/车位"</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3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rgb="FF92D050"/>
    <pageSetUpPr fitToPage="1"/>
  </sheetPr>
  <dimension ref="A1:AC97"/>
  <sheetViews>
    <sheetView view="pageBreakPreview" zoomScale="70" zoomScaleNormal="60" zoomScaleSheetLayoutView="70" workbookViewId="0">
      <selection activeCell="J7" activeCellId="2" sqref="F7:F34 H7:H34 J7:J34"/>
    </sheetView>
  </sheetViews>
  <sheetFormatPr defaultColWidth="9" defaultRowHeight="14.25"/>
  <cols>
    <col min="1" max="1" width="10.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4.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1229" customFormat="1" ht="28.5" customHeight="1" thickBot="1">
      <c r="A1" s="1220" t="s">
        <v>2405</v>
      </c>
      <c r="B1" s="1582"/>
      <c r="C1" s="1221"/>
      <c r="D1" s="1231"/>
      <c r="E1" s="1559" t="s">
        <v>2746</v>
      </c>
      <c r="F1" s="1232" t="s">
        <v>2243</v>
      </c>
      <c r="G1" s="1231"/>
      <c r="H1" s="1231"/>
      <c r="I1" s="1231"/>
      <c r="J1" s="1231"/>
      <c r="K1" s="1233"/>
      <c r="L1" s="1225"/>
      <c r="M1" s="1226"/>
      <c r="N1" s="1226"/>
      <c r="O1" s="1226"/>
      <c r="P1" s="1227"/>
      <c r="Q1" s="1227"/>
      <c r="R1" s="1227"/>
      <c r="S1" s="1227"/>
      <c r="T1" s="1227"/>
      <c r="U1" s="1227"/>
      <c r="V1" s="1227"/>
      <c r="W1" s="1227"/>
      <c r="X1" s="1227"/>
      <c r="Y1" s="1227"/>
      <c r="Z1" s="1227"/>
      <c r="AA1" s="1227"/>
      <c r="AB1" s="1227"/>
      <c r="AC1" s="1228"/>
    </row>
    <row r="2" spans="1:29" s="291" customFormat="1" ht="28.5" customHeight="1" thickTop="1">
      <c r="A2" s="1219" t="s">
        <v>1914</v>
      </c>
      <c r="B2" s="1217" t="e">
        <f ca="1">IF(D2="——",IF(C2="元",ROUND(C37*D3,0),ROUND(C37*D3/10000,0)),IF(C2="元",ROUND(C37*D3,0),ROUND(C37*D3/10000,0))-E2)</f>
        <v>#DIV/0!</v>
      </c>
      <c r="C2" s="79" t="str">
        <f>'数据-取费表'!B3</f>
        <v>万元</v>
      </c>
      <c r="D2" s="1560"/>
      <c r="E2" s="1230" t="e">
        <f ca="1">SUMIF(INDIRECT("'"&amp;G2&amp;"'"&amp;"!A:A"),"承租人权益价值",INDIRECT("'"&amp;G2&amp;"'"&amp;"!c:c"))</f>
        <v>#REF!</v>
      </c>
      <c r="F2" s="1561" t="str">
        <f>C2</f>
        <v>万元</v>
      </c>
      <c r="G2" s="1562"/>
      <c r="H2" s="3017"/>
      <c r="I2" s="3017"/>
      <c r="J2" s="3017"/>
      <c r="K2" s="3021"/>
      <c r="L2" s="3018"/>
      <c r="M2" s="3019"/>
      <c r="N2" s="3019"/>
      <c r="O2" s="3019"/>
      <c r="P2" s="625"/>
      <c r="Q2" s="625"/>
      <c r="R2" s="625"/>
      <c r="S2" s="625"/>
      <c r="T2" s="625"/>
      <c r="U2" s="625"/>
      <c r="V2" s="625"/>
      <c r="W2" s="625"/>
      <c r="X2" s="625"/>
      <c r="Y2" s="625"/>
      <c r="Z2" s="625"/>
      <c r="AA2" s="625"/>
      <c r="AB2" s="625"/>
      <c r="AC2" s="626"/>
    </row>
    <row r="3" spans="1:29" s="291" customFormat="1" ht="28.5" customHeight="1" thickBot="1">
      <c r="A3" s="83" t="s">
        <v>1915</v>
      </c>
      <c r="B3" s="495" t="e">
        <f ca="1">ROUND(IF(D2="——",C37,IF(C2="万元",B2*10000/D3,B2/D3)),0)</f>
        <v>#DIV/0!</v>
      </c>
      <c r="C3" s="293" t="s">
        <v>2244</v>
      </c>
      <c r="D3" s="292">
        <f>IF(C1="仅计算典型户型",'数据-取费表'!E5,'数据-取费表'!B5)</f>
        <v>841.27</v>
      </c>
      <c r="E3" s="3017"/>
      <c r="F3" s="3020"/>
      <c r="G3" s="3017"/>
      <c r="H3" s="3017"/>
      <c r="I3" s="3017"/>
      <c r="J3" s="3017"/>
      <c r="K3" s="3021"/>
      <c r="L3" s="3018"/>
      <c r="M3" s="3019"/>
      <c r="N3" s="3019"/>
      <c r="O3" s="3019"/>
      <c r="P3" s="625"/>
      <c r="Q3" s="625"/>
      <c r="R3" s="625"/>
      <c r="S3" s="625"/>
      <c r="T3" s="625"/>
      <c r="U3" s="625"/>
      <c r="V3" s="625"/>
      <c r="W3" s="625"/>
      <c r="X3" s="625"/>
      <c r="Y3" s="625"/>
      <c r="Z3" s="625"/>
      <c r="AA3" s="625"/>
      <c r="AB3" s="644"/>
      <c r="AC3" s="639"/>
    </row>
    <row r="4" spans="1:29" ht="15">
      <c r="A4" s="294" t="s">
        <v>2245</v>
      </c>
      <c r="B4" s="295"/>
      <c r="C4" s="3519" t="s">
        <v>2246</v>
      </c>
      <c r="D4" s="3520"/>
      <c r="E4" s="3521" t="s">
        <v>2247</v>
      </c>
      <c r="F4" s="3522"/>
      <c r="G4" s="3519" t="s">
        <v>2248</v>
      </c>
      <c r="H4" s="3520"/>
      <c r="I4" s="3519" t="s">
        <v>2249</v>
      </c>
      <c r="J4" s="3520"/>
      <c r="K4" s="496" t="s">
        <v>2250</v>
      </c>
      <c r="L4" s="3022"/>
      <c r="M4" s="3023"/>
      <c r="N4" s="3023"/>
      <c r="O4" s="3023"/>
      <c r="P4" s="3523" t="s">
        <v>2251</v>
      </c>
      <c r="Q4" s="3524"/>
      <c r="R4" s="3506" t="s">
        <v>2247</v>
      </c>
      <c r="S4" s="3507"/>
      <c r="T4" s="3506" t="s">
        <v>2248</v>
      </c>
      <c r="U4" s="3507"/>
      <c r="V4" s="3529" t="s">
        <v>2249</v>
      </c>
      <c r="W4" s="3529"/>
      <c r="X4" s="1335"/>
      <c r="Y4" s="3506" t="s">
        <v>2251</v>
      </c>
      <c r="Z4" s="3507"/>
      <c r="AA4" s="3516" t="s">
        <v>2247</v>
      </c>
      <c r="AB4" s="3517" t="s">
        <v>2248</v>
      </c>
      <c r="AC4" s="3516" t="s">
        <v>2249</v>
      </c>
    </row>
    <row r="5" spans="1:29" ht="15">
      <c r="A5" s="297"/>
      <c r="B5" s="298"/>
      <c r="C5" s="3532" t="s">
        <v>2252</v>
      </c>
      <c r="D5" s="3533"/>
      <c r="E5" s="3530" t="s">
        <v>2253</v>
      </c>
      <c r="F5" s="3531"/>
      <c r="G5" s="3532" t="s">
        <v>2254</v>
      </c>
      <c r="H5" s="3533"/>
      <c r="I5" s="3532" t="s">
        <v>2255</v>
      </c>
      <c r="J5" s="3533"/>
      <c r="K5" s="496"/>
      <c r="L5" s="3022"/>
      <c r="M5" s="3023"/>
      <c r="N5" s="3023"/>
      <c r="O5" s="3023"/>
      <c r="P5" s="3525"/>
      <c r="Q5" s="3526"/>
      <c r="R5" s="3508"/>
      <c r="S5" s="3509"/>
      <c r="T5" s="3508"/>
      <c r="U5" s="3509"/>
      <c r="V5" s="3529"/>
      <c r="W5" s="3529"/>
      <c r="X5" s="1335"/>
      <c r="Y5" s="3508"/>
      <c r="Z5" s="3509"/>
      <c r="AA5" s="3517"/>
      <c r="AB5" s="3517"/>
      <c r="AC5" s="3517"/>
    </row>
    <row r="6" spans="1:29" ht="15.75" thickBot="1">
      <c r="A6" s="299"/>
      <c r="B6" s="300"/>
      <c r="C6" s="3534" t="s">
        <v>2256</v>
      </c>
      <c r="D6" s="3535"/>
      <c r="E6" s="3536" t="s">
        <v>2256</v>
      </c>
      <c r="F6" s="3537"/>
      <c r="G6" s="3534" t="s">
        <v>2256</v>
      </c>
      <c r="H6" s="3535"/>
      <c r="I6" s="3534" t="s">
        <v>2256</v>
      </c>
      <c r="J6" s="3535"/>
      <c r="K6" s="496" t="s">
        <v>2257</v>
      </c>
      <c r="L6" s="3022"/>
      <c r="M6" s="3023"/>
      <c r="N6" s="3023"/>
      <c r="O6" s="3023"/>
      <c r="P6" s="3527"/>
      <c r="Q6" s="3528"/>
      <c r="R6" s="3508"/>
      <c r="S6" s="3509"/>
      <c r="T6" s="3510"/>
      <c r="U6" s="3511"/>
      <c r="V6" s="3529"/>
      <c r="W6" s="3529"/>
      <c r="X6" s="1335"/>
      <c r="Y6" s="3510"/>
      <c r="Z6" s="3511"/>
      <c r="AA6" s="3518"/>
      <c r="AB6" s="3518"/>
      <c r="AC6" s="3518"/>
    </row>
    <row r="7" spans="1:29" s="25" customFormat="1" ht="15.75" thickBot="1">
      <c r="A7" s="301" t="s">
        <v>2258</v>
      </c>
      <c r="B7" s="302"/>
      <c r="C7" s="303">
        <f>'数据-取费表'!B2</f>
        <v>44334</v>
      </c>
      <c r="D7" s="304">
        <v>100</v>
      </c>
      <c r="E7" s="1575"/>
      <c r="F7" s="304">
        <f>SUMIF(46:46,YEAR(E7)&amp;"-"&amp;MONTH(E7),47:47)</f>
        <v>0</v>
      </c>
      <c r="G7" s="305"/>
      <c r="H7" s="304">
        <f>SUMIF(46:46,YEAR(G7)&amp;"-"&amp;MONTH(G7),47:47)</f>
        <v>0</v>
      </c>
      <c r="I7" s="305"/>
      <c r="J7" s="304">
        <f>SUMIF(46:46,YEAR(I7)&amp;"-"&amp;MONTH(I7),47:47)</f>
        <v>0</v>
      </c>
      <c r="K7" s="497"/>
      <c r="L7" s="3024"/>
      <c r="M7" s="3025"/>
      <c r="N7" s="3025"/>
      <c r="O7" s="3025"/>
      <c r="P7" s="3504" t="s">
        <v>2259</v>
      </c>
      <c r="Q7" s="3512"/>
      <c r="R7" s="627" t="s">
        <v>25</v>
      </c>
      <c r="S7" s="628">
        <f t="shared" ref="S7:S14" si="0">F7</f>
        <v>0</v>
      </c>
      <c r="T7" s="627" t="s">
        <v>25</v>
      </c>
      <c r="U7" s="628">
        <f t="shared" ref="U7:U14" si="1">H7</f>
        <v>0</v>
      </c>
      <c r="V7" s="627" t="s">
        <v>25</v>
      </c>
      <c r="W7" s="628">
        <f t="shared" ref="W7:W14" si="2">J7</f>
        <v>0</v>
      </c>
      <c r="X7" s="629"/>
      <c r="Y7" s="3504" t="s">
        <v>2259</v>
      </c>
      <c r="Z7" s="3505"/>
      <c r="AA7" s="630" t="e">
        <f>D7/F7</f>
        <v>#DIV/0!</v>
      </c>
      <c r="AB7" s="630" t="e">
        <f>D7/H7</f>
        <v>#DIV/0!</v>
      </c>
      <c r="AC7" s="630" t="e">
        <f>D7/J7</f>
        <v>#DIV/0!</v>
      </c>
    </row>
    <row r="8" spans="1:29" s="25" customFormat="1" ht="15.75" thickBot="1">
      <c r="A8" s="301" t="s">
        <v>2260</v>
      </c>
      <c r="B8" s="302"/>
      <c r="C8" s="307" t="s">
        <v>2261</v>
      </c>
      <c r="D8" s="304">
        <v>100</v>
      </c>
      <c r="E8" s="307"/>
      <c r="F8" s="306">
        <f>SUMIF(49:49,E8,50:50)-SUMIF(49:49,C8,50:50)+100</f>
        <v>0</v>
      </c>
      <c r="G8" s="307"/>
      <c r="H8" s="304">
        <f>SUMIF(49:49,G8,50:50)-SUMIF(49:49,C8,50:50)+100</f>
        <v>0</v>
      </c>
      <c r="I8" s="307"/>
      <c r="J8" s="304">
        <f>SUMIF(49:49,I8,50:50)-SUMIF(49:49,C8,50:50)+100</f>
        <v>0</v>
      </c>
      <c r="K8" s="497"/>
      <c r="L8" s="3024"/>
      <c r="M8" s="3025"/>
      <c r="N8" s="3025"/>
      <c r="O8" s="3025"/>
      <c r="P8" s="3504" t="s">
        <v>2262</v>
      </c>
      <c r="Q8" s="3505"/>
      <c r="R8" s="627" t="s">
        <v>25</v>
      </c>
      <c r="S8" s="628">
        <f t="shared" si="0"/>
        <v>0</v>
      </c>
      <c r="T8" s="627" t="s">
        <v>25</v>
      </c>
      <c r="U8" s="628">
        <f t="shared" si="1"/>
        <v>0</v>
      </c>
      <c r="V8" s="627" t="s">
        <v>25</v>
      </c>
      <c r="W8" s="628">
        <f t="shared" si="2"/>
        <v>0</v>
      </c>
      <c r="X8" s="629"/>
      <c r="Y8" s="3504" t="s">
        <v>2262</v>
      </c>
      <c r="Z8" s="3505"/>
      <c r="AA8" s="630" t="e">
        <f t="shared" ref="AA8:AA34" si="3">D8/F8</f>
        <v>#DIV/0!</v>
      </c>
      <c r="AB8" s="630" t="e">
        <f t="shared" ref="AB8:AB34" si="4">D8/H8</f>
        <v>#DIV/0!</v>
      </c>
      <c r="AC8" s="630" t="e">
        <f t="shared" ref="AC8:AC34" si="5">D8/J8</f>
        <v>#DIV/0!</v>
      </c>
    </row>
    <row r="9" spans="1:29" s="25" customFormat="1">
      <c r="A9" s="308" t="s">
        <v>2263</v>
      </c>
      <c r="B9" s="24" t="s">
        <v>2264</v>
      </c>
      <c r="C9" s="309"/>
      <c r="D9" s="28">
        <v>100</v>
      </c>
      <c r="E9" s="311"/>
      <c r="F9" s="28">
        <f>SUMIF(51:51,E9,52:52)-SUMIF(51:51,C9,52:52)+100</f>
        <v>100</v>
      </c>
      <c r="G9" s="311"/>
      <c r="H9" s="28">
        <f>SUMIF(51:51,G9,52:52)-SUMIF(51:51,C9,52:52)+100</f>
        <v>100</v>
      </c>
      <c r="I9" s="311"/>
      <c r="J9" s="28">
        <f>SUMIF(51:51,I9,52:52)-SUMIF(51:51,C9,52:52)+100</f>
        <v>100</v>
      </c>
      <c r="K9" s="497"/>
      <c r="L9" s="3024"/>
      <c r="M9" s="3025"/>
      <c r="N9" s="3025"/>
      <c r="O9" s="3026"/>
      <c r="P9" s="3496" t="s">
        <v>2265</v>
      </c>
      <c r="Q9" s="1327" t="str">
        <f t="shared" ref="Q9:Q14" si="6">B9</f>
        <v>用途</v>
      </c>
      <c r="R9" s="627" t="s">
        <v>25</v>
      </c>
      <c r="S9" s="628">
        <f t="shared" si="0"/>
        <v>100</v>
      </c>
      <c r="T9" s="627" t="s">
        <v>25</v>
      </c>
      <c r="U9" s="628">
        <f t="shared" si="1"/>
        <v>100</v>
      </c>
      <c r="V9" s="627" t="s">
        <v>25</v>
      </c>
      <c r="W9" s="628">
        <f t="shared" si="2"/>
        <v>100</v>
      </c>
      <c r="X9" s="629"/>
      <c r="Y9" s="3515" t="s">
        <v>2266</v>
      </c>
      <c r="Z9" s="19" t="str">
        <f t="shared" ref="Z9:Z14" si="7">Q9</f>
        <v>用途</v>
      </c>
      <c r="AA9" s="630">
        <f t="shared" si="3"/>
        <v>1</v>
      </c>
      <c r="AB9" s="630">
        <f t="shared" si="4"/>
        <v>1</v>
      </c>
      <c r="AC9" s="630">
        <f t="shared" si="5"/>
        <v>1</v>
      </c>
    </row>
    <row r="10" spans="1:29" s="317" customFormat="1" ht="27">
      <c r="A10" s="312"/>
      <c r="B10" s="313" t="s">
        <v>2267</v>
      </c>
      <c r="C10" s="314"/>
      <c r="D10" s="29">
        <v>100</v>
      </c>
      <c r="E10" s="314"/>
      <c r="F10" s="29">
        <f>SUMIF(53:53,E10,54:54)-SUMIF(53:53,C10,54:54)+100</f>
        <v>100</v>
      </c>
      <c r="G10" s="315"/>
      <c r="H10" s="29">
        <f>SUMIF(53:53,G10,54:54)-SUMIF(53:53,C10,54:54)+100</f>
        <v>100</v>
      </c>
      <c r="I10" s="314"/>
      <c r="J10" s="29">
        <f>SUMIF(53:53,I10,54:54)-SUMIF(53:53,C10,54:54)+100</f>
        <v>100</v>
      </c>
      <c r="K10" s="498"/>
      <c r="L10" s="3027"/>
      <c r="M10" s="3028"/>
      <c r="N10" s="3028"/>
      <c r="O10" s="3029"/>
      <c r="P10" s="3496"/>
      <c r="Q10" s="1327" t="str">
        <f t="shared" si="6"/>
        <v>土地使用年限（年）</v>
      </c>
      <c r="R10" s="627" t="s">
        <v>25</v>
      </c>
      <c r="S10" s="628">
        <f t="shared" si="0"/>
        <v>100</v>
      </c>
      <c r="T10" s="627" t="s">
        <v>25</v>
      </c>
      <c r="U10" s="628">
        <f t="shared" si="1"/>
        <v>100</v>
      </c>
      <c r="V10" s="627" t="s">
        <v>25</v>
      </c>
      <c r="W10" s="628">
        <f t="shared" si="2"/>
        <v>100</v>
      </c>
      <c r="X10" s="629"/>
      <c r="Y10" s="3515"/>
      <c r="Z10" s="19" t="str">
        <f t="shared" si="7"/>
        <v>土地使用年限（年）</v>
      </c>
      <c r="AA10" s="630">
        <f t="shared" si="3"/>
        <v>1</v>
      </c>
      <c r="AB10" s="630">
        <f t="shared" si="4"/>
        <v>1</v>
      </c>
      <c r="AC10" s="630">
        <f t="shared" si="5"/>
        <v>1</v>
      </c>
    </row>
    <row r="11" spans="1:29" ht="15">
      <c r="A11" s="318"/>
      <c r="B11" s="1563">
        <v>111</v>
      </c>
      <c r="C11" s="322"/>
      <c r="D11" s="29">
        <v>100</v>
      </c>
      <c r="E11" s="357"/>
      <c r="F11" s="29">
        <f>SUMIF(55:55,E11,56:56)-SUMIF(55:55,C11,56:56)+100</f>
        <v>100</v>
      </c>
      <c r="G11" s="357"/>
      <c r="H11" s="29">
        <f>SUMIF(55:55,G11,56:56)-SUMIF(55:55,C11,56:56)+100</f>
        <v>100</v>
      </c>
      <c r="I11" s="357"/>
      <c r="J11" s="29">
        <f>SUMIF(55:55,I11,56:56)-SUMIF(55:55,C11,56:56)+100</f>
        <v>100</v>
      </c>
      <c r="K11" s="499"/>
      <c r="L11" s="3030"/>
      <c r="M11" s="3023"/>
      <c r="N11" s="3023"/>
      <c r="O11" s="3031"/>
      <c r="P11" s="3496"/>
      <c r="Q11" s="1327">
        <f t="shared" si="6"/>
        <v>111</v>
      </c>
      <c r="R11" s="627" t="s">
        <v>25</v>
      </c>
      <c r="S11" s="628">
        <f t="shared" si="0"/>
        <v>100</v>
      </c>
      <c r="T11" s="627" t="s">
        <v>25</v>
      </c>
      <c r="U11" s="628">
        <f t="shared" si="1"/>
        <v>100</v>
      </c>
      <c r="V11" s="627" t="s">
        <v>25</v>
      </c>
      <c r="W11" s="628">
        <f t="shared" si="2"/>
        <v>100</v>
      </c>
      <c r="X11" s="629"/>
      <c r="Y11" s="3515"/>
      <c r="Z11" s="19">
        <f t="shared" si="7"/>
        <v>111</v>
      </c>
      <c r="AA11" s="630">
        <f t="shared" si="3"/>
        <v>1</v>
      </c>
      <c r="AB11" s="630">
        <f t="shared" si="4"/>
        <v>1</v>
      </c>
      <c r="AC11" s="630">
        <f t="shared" si="5"/>
        <v>1</v>
      </c>
    </row>
    <row r="12" spans="1:29" s="25" customFormat="1" ht="15">
      <c r="A12" s="321"/>
      <c r="B12" s="1563">
        <v>111</v>
      </c>
      <c r="C12" s="322"/>
      <c r="D12" s="323">
        <v>100</v>
      </c>
      <c r="E12" s="357"/>
      <c r="F12" s="29">
        <f>SUMIF(57:57,E12,58:58)-SUMIF(57:57,C12,58:58)+100</f>
        <v>100</v>
      </c>
      <c r="G12" s="357"/>
      <c r="H12" s="29">
        <f>SUMIF(57:57,G12,58:58)-SUMIF(57:57,C12,58:58)+100</f>
        <v>100</v>
      </c>
      <c r="I12" s="357"/>
      <c r="J12" s="29">
        <f>SUMIF(57:57,I12,58:58)-SUMIF(57:57,C12,58:58)+100</f>
        <v>100</v>
      </c>
      <c r="K12" s="499"/>
      <c r="L12" s="3024"/>
      <c r="M12" s="3025"/>
      <c r="N12" s="3025"/>
      <c r="O12" s="3026"/>
      <c r="P12" s="3496"/>
      <c r="Q12" s="1327">
        <f t="shared" si="6"/>
        <v>111</v>
      </c>
      <c r="R12" s="627" t="s">
        <v>25</v>
      </c>
      <c r="S12" s="628">
        <f t="shared" si="0"/>
        <v>100</v>
      </c>
      <c r="T12" s="627" t="s">
        <v>25</v>
      </c>
      <c r="U12" s="628">
        <f t="shared" si="1"/>
        <v>100</v>
      </c>
      <c r="V12" s="627" t="s">
        <v>25</v>
      </c>
      <c r="W12" s="628">
        <f t="shared" si="2"/>
        <v>100</v>
      </c>
      <c r="X12" s="629"/>
      <c r="Y12" s="3515"/>
      <c r="Z12" s="19">
        <f t="shared" si="7"/>
        <v>111</v>
      </c>
      <c r="AA12" s="630">
        <f>D12/F12</f>
        <v>1</v>
      </c>
      <c r="AB12" s="630">
        <f>D12/H12</f>
        <v>1</v>
      </c>
      <c r="AC12" s="630">
        <f>D12/J12</f>
        <v>1</v>
      </c>
    </row>
    <row r="13" spans="1:29" ht="15.75" thickBot="1">
      <c r="A13" s="318"/>
      <c r="B13" s="1563">
        <v>111</v>
      </c>
      <c r="C13" s="324"/>
      <c r="D13" s="325">
        <v>100</v>
      </c>
      <c r="E13" s="357"/>
      <c r="F13" s="29">
        <f>SUMIF(59:59,E13,60:60)-SUMIF(59:59,C13,60:60)+100</f>
        <v>100</v>
      </c>
      <c r="G13" s="357"/>
      <c r="H13" s="325">
        <f>SUMIF(59:59,G13,60:60)-SUMIF(59:59,C13,60:60)+100</f>
        <v>100</v>
      </c>
      <c r="I13" s="357"/>
      <c r="J13" s="325">
        <f>SUMIF(59:59,I13,60:60)-SUMIF(59:59,C13,60:60)+100</f>
        <v>100</v>
      </c>
      <c r="K13" s="499"/>
      <c r="L13" s="3032"/>
      <c r="M13" s="3023"/>
      <c r="N13" s="3023"/>
      <c r="O13" s="3031"/>
      <c r="P13" s="3496"/>
      <c r="Q13" s="1327">
        <f t="shared" si="6"/>
        <v>111</v>
      </c>
      <c r="R13" s="627" t="s">
        <v>25</v>
      </c>
      <c r="S13" s="628">
        <f t="shared" si="0"/>
        <v>100</v>
      </c>
      <c r="T13" s="627" t="s">
        <v>25</v>
      </c>
      <c r="U13" s="628">
        <f t="shared" si="1"/>
        <v>100</v>
      </c>
      <c r="V13" s="627" t="s">
        <v>25</v>
      </c>
      <c r="W13" s="628">
        <f t="shared" si="2"/>
        <v>100</v>
      </c>
      <c r="X13" s="629"/>
      <c r="Y13" s="3515"/>
      <c r="Z13" s="19">
        <f t="shared" si="7"/>
        <v>111</v>
      </c>
      <c r="AA13" s="630">
        <f t="shared" si="3"/>
        <v>1</v>
      </c>
      <c r="AB13" s="630">
        <f t="shared" si="4"/>
        <v>1</v>
      </c>
      <c r="AC13" s="630">
        <f t="shared" si="5"/>
        <v>1</v>
      </c>
    </row>
    <row r="14" spans="1:29" ht="85.5">
      <c r="A14" s="329" t="s">
        <v>2269</v>
      </c>
      <c r="B14" s="22" t="s">
        <v>2407</v>
      </c>
      <c r="C14" s="1581" t="str">
        <f>IF(B1="工业",估价对象房地状况!G4,估价对象房地状况!C6)</f>
        <v>估价对象周边道路状况、公共交通通达情况、停车便捷程度，综合评价交通便捷度较好</v>
      </c>
      <c r="D14" s="330">
        <v>100</v>
      </c>
      <c r="E14" s="331"/>
      <c r="F14" s="332">
        <f>SUMIF(61:61,E15,62:62)-SUMIF(61:61,C15,62:62)+100</f>
        <v>100</v>
      </c>
      <c r="G14" s="333"/>
      <c r="H14" s="330">
        <f>SUMIF(61:61,G15,62:62)-SUMIF(61:61,C15,62:62)+100</f>
        <v>100</v>
      </c>
      <c r="I14" s="331"/>
      <c r="J14" s="330">
        <f>SUMIF(61:61,I15,62:62)-SUMIF(61:61,C15,62:62)+100</f>
        <v>100</v>
      </c>
      <c r="K14" s="500"/>
      <c r="L14" s="3032"/>
      <c r="M14" s="3023"/>
      <c r="N14" s="3023"/>
      <c r="O14" s="3031"/>
      <c r="P14" s="3513" t="s">
        <v>2270</v>
      </c>
      <c r="Q14" s="1334" t="str">
        <f t="shared" si="6"/>
        <v>交通便捷度</v>
      </c>
      <c r="R14" s="631" t="s">
        <v>25</v>
      </c>
      <c r="S14" s="632">
        <f t="shared" si="0"/>
        <v>100</v>
      </c>
      <c r="T14" s="631" t="s">
        <v>25</v>
      </c>
      <c r="U14" s="632">
        <f t="shared" si="1"/>
        <v>100</v>
      </c>
      <c r="V14" s="631" t="s">
        <v>25</v>
      </c>
      <c r="W14" s="632">
        <f t="shared" si="2"/>
        <v>100</v>
      </c>
      <c r="X14" s="1335"/>
      <c r="Y14" s="3513" t="s">
        <v>2270</v>
      </c>
      <c r="Z14" s="1336" t="str">
        <f t="shared" si="7"/>
        <v>交通便捷度</v>
      </c>
      <c r="AA14" s="1337">
        <f t="shared" si="3"/>
        <v>1</v>
      </c>
      <c r="AB14" s="1337">
        <f t="shared" si="4"/>
        <v>1</v>
      </c>
      <c r="AC14" s="1337">
        <f t="shared" si="5"/>
        <v>1</v>
      </c>
    </row>
    <row r="15" spans="1:29" ht="15">
      <c r="A15" s="318"/>
      <c r="B15" s="334"/>
      <c r="C15" s="335"/>
      <c r="D15" s="336"/>
      <c r="E15" s="335"/>
      <c r="F15" s="338"/>
      <c r="G15" s="335"/>
      <c r="H15" s="339"/>
      <c r="I15" s="335"/>
      <c r="J15" s="336"/>
      <c r="K15" s="501"/>
      <c r="L15" s="3032"/>
      <c r="M15" s="3023"/>
      <c r="N15" s="3023"/>
      <c r="O15" s="3031"/>
      <c r="P15" s="3514"/>
      <c r="Q15" s="1334"/>
      <c r="R15" s="631"/>
      <c r="S15" s="632"/>
      <c r="T15" s="631"/>
      <c r="U15" s="632"/>
      <c r="V15" s="631"/>
      <c r="W15" s="632"/>
      <c r="X15" s="1335"/>
      <c r="Y15" s="3514"/>
      <c r="Z15" s="1336"/>
      <c r="AA15" s="1337">
        <v>1</v>
      </c>
      <c r="AB15" s="1337">
        <v>1</v>
      </c>
      <c r="AC15" s="1337">
        <v>1</v>
      </c>
    </row>
    <row r="16" spans="1:29" ht="42.75">
      <c r="A16" s="318"/>
      <c r="B16" s="513" t="s">
        <v>2385</v>
      </c>
      <c r="C16" s="1567" t="str">
        <f>IF(B1="工业",估价对象房地状况!G5,估价对象房地状况!C7)</f>
        <v>估价对象所在区域公共配套设施齐备情况</v>
      </c>
      <c r="D16" s="339">
        <v>100</v>
      </c>
      <c r="E16" s="341"/>
      <c r="F16" s="342">
        <f>SUMIF(63:63,E17,64:64)-SUMIF(63:63,C17,64:64)+100</f>
        <v>100</v>
      </c>
      <c r="G16" s="343"/>
      <c r="H16" s="344">
        <f>SUMIF(63:63,G17,64:64)-SUMIF(63:63,C17,64:64)+100</f>
        <v>100</v>
      </c>
      <c r="I16" s="341"/>
      <c r="J16" s="344">
        <f>SUMIF(63:63,I17,64:64)-SUMIF(63:63,C17,64:64)+100</f>
        <v>100</v>
      </c>
      <c r="K16" s="500"/>
      <c r="L16" s="3032"/>
      <c r="M16" s="3023"/>
      <c r="N16" s="3023"/>
      <c r="O16" s="3031"/>
      <c r="P16" s="3514"/>
      <c r="Q16" s="1334" t="str">
        <f>B16</f>
        <v>公共配套设施</v>
      </c>
      <c r="R16" s="631" t="s">
        <v>25</v>
      </c>
      <c r="S16" s="632">
        <f>F16</f>
        <v>100</v>
      </c>
      <c r="T16" s="631" t="s">
        <v>25</v>
      </c>
      <c r="U16" s="632">
        <f>H16</f>
        <v>100</v>
      </c>
      <c r="V16" s="631" t="s">
        <v>25</v>
      </c>
      <c r="W16" s="632">
        <f>J16</f>
        <v>100</v>
      </c>
      <c r="X16" s="1335"/>
      <c r="Y16" s="3514"/>
      <c r="Z16" s="1336" t="str">
        <f>Q16</f>
        <v>公共配套设施</v>
      </c>
      <c r="AA16" s="1337">
        <f t="shared" si="3"/>
        <v>1</v>
      </c>
      <c r="AB16" s="1337">
        <f t="shared" si="4"/>
        <v>1</v>
      </c>
      <c r="AC16" s="1337">
        <f t="shared" si="5"/>
        <v>1</v>
      </c>
    </row>
    <row r="17" spans="1:29" ht="15">
      <c r="A17" s="318"/>
      <c r="B17" s="514"/>
      <c r="C17" s="346"/>
      <c r="D17" s="336"/>
      <c r="E17" s="335"/>
      <c r="F17" s="338"/>
      <c r="G17" s="335"/>
      <c r="H17" s="336"/>
      <c r="I17" s="335"/>
      <c r="J17" s="336"/>
      <c r="K17" s="501"/>
      <c r="L17" s="3032"/>
      <c r="M17" s="3023"/>
      <c r="N17" s="3023"/>
      <c r="O17" s="3031"/>
      <c r="P17" s="3514"/>
      <c r="Q17" s="1334"/>
      <c r="R17" s="631"/>
      <c r="S17" s="632"/>
      <c r="T17" s="631"/>
      <c r="U17" s="632"/>
      <c r="V17" s="631"/>
      <c r="W17" s="632"/>
      <c r="X17" s="1335"/>
      <c r="Y17" s="3514"/>
      <c r="Z17" s="1336"/>
      <c r="AA17" s="1337">
        <v>1</v>
      </c>
      <c r="AB17" s="1337">
        <v>1</v>
      </c>
      <c r="AC17" s="1337">
        <v>1</v>
      </c>
    </row>
    <row r="18" spans="1:29" ht="28.5">
      <c r="A18" s="318"/>
      <c r="B18" s="515" t="s">
        <v>2386</v>
      </c>
      <c r="C18" s="1567" t="str">
        <f>IF(B1="工业",估价对象房地状况!G6,估价对象房地状况!C8)</f>
        <v>估价对象所在区域基础设施水平</v>
      </c>
      <c r="D18" s="339">
        <v>100</v>
      </c>
      <c r="E18" s="341"/>
      <c r="F18" s="342">
        <f>SUMIF(65:65,E19,66:66)-SUMIF(65:65,C19,66:66)+100</f>
        <v>100</v>
      </c>
      <c r="G18" s="343"/>
      <c r="H18" s="339">
        <f>SUMIF(65:65,G19,66:66)-SUMIF(65:65,C19,66:66)+100</f>
        <v>100</v>
      </c>
      <c r="I18" s="341"/>
      <c r="J18" s="339">
        <f>SUMIF(65:65,I19,66:66)-SUMIF(65:65,C19,66:66)+100</f>
        <v>100</v>
      </c>
      <c r="K18" s="500"/>
      <c r="L18" s="3032"/>
      <c r="M18" s="3023"/>
      <c r="N18" s="3023"/>
      <c r="O18" s="3031"/>
      <c r="P18" s="3514"/>
      <c r="Q18" s="1334" t="str">
        <f>B18</f>
        <v>基础设施水平</v>
      </c>
      <c r="R18" s="631" t="s">
        <v>25</v>
      </c>
      <c r="S18" s="632">
        <f>F18</f>
        <v>100</v>
      </c>
      <c r="T18" s="631" t="s">
        <v>25</v>
      </c>
      <c r="U18" s="632">
        <f>H18</f>
        <v>100</v>
      </c>
      <c r="V18" s="631" t="s">
        <v>25</v>
      </c>
      <c r="W18" s="632">
        <f>J18</f>
        <v>100</v>
      </c>
      <c r="X18" s="1335"/>
      <c r="Y18" s="3514"/>
      <c r="Z18" s="1336" t="str">
        <f>Q18</f>
        <v>基础设施水平</v>
      </c>
      <c r="AA18" s="1337">
        <f t="shared" ref="AA18" si="8">D18/F18</f>
        <v>1</v>
      </c>
      <c r="AB18" s="1337">
        <f t="shared" ref="AB18" si="9">D18/H18</f>
        <v>1</v>
      </c>
      <c r="AC18" s="1337">
        <f t="shared" ref="AC18" si="10">D18/J18</f>
        <v>1</v>
      </c>
    </row>
    <row r="19" spans="1:29" ht="15">
      <c r="A19" s="318"/>
      <c r="B19" s="515"/>
      <c r="C19" s="346"/>
      <c r="D19" s="336"/>
      <c r="E19" s="346"/>
      <c r="F19" s="342"/>
      <c r="G19" s="346"/>
      <c r="H19" s="336"/>
      <c r="I19" s="335"/>
      <c r="J19" s="336"/>
      <c r="K19" s="1132"/>
      <c r="L19" s="3032"/>
      <c r="M19" s="3023"/>
      <c r="N19" s="3023"/>
      <c r="O19" s="3031"/>
      <c r="P19" s="3514"/>
      <c r="Q19" s="1334"/>
      <c r="R19" s="631"/>
      <c r="S19" s="632"/>
      <c r="T19" s="631"/>
      <c r="U19" s="632"/>
      <c r="V19" s="631"/>
      <c r="W19" s="632"/>
      <c r="X19" s="1335"/>
      <c r="Y19" s="3514"/>
      <c r="Z19" s="1336"/>
      <c r="AA19" s="1337">
        <v>1</v>
      </c>
      <c r="AB19" s="1337">
        <v>1</v>
      </c>
      <c r="AC19" s="1337">
        <v>1</v>
      </c>
    </row>
    <row r="20" spans="1:29" ht="57">
      <c r="A20" s="318"/>
      <c r="B20" s="340" t="s">
        <v>2408</v>
      </c>
      <c r="C20" s="1567" t="str">
        <f>IF(B1="工业",估价对象房地状况!G7,估价对象房地状况!C9)</f>
        <v>区域自然环境：；人文环境；综合评价环境状况一般</v>
      </c>
      <c r="D20" s="344">
        <v>100</v>
      </c>
      <c r="E20" s="347"/>
      <c r="F20" s="348">
        <f>SUMIF(67:67,E21,68:68)-SUMIF(67:67,C21,68:68)+100</f>
        <v>100</v>
      </c>
      <c r="G20" s="349"/>
      <c r="H20" s="339">
        <f>SUMIF(67:67,G21,68:68)-SUMIF(67:67,C21,68:68)+100</f>
        <v>100</v>
      </c>
      <c r="I20" s="341"/>
      <c r="J20" s="339">
        <f>SUMIF(67:67,I21,68:68)-SUMIF(67:67,C21,68:68)+100</f>
        <v>100</v>
      </c>
      <c r="K20" s="500"/>
      <c r="L20" s="3032"/>
      <c r="M20" s="3023"/>
      <c r="N20" s="3023"/>
      <c r="O20" s="3031"/>
      <c r="P20" s="3514"/>
      <c r="Q20" s="1334" t="str">
        <f>B20</f>
        <v>自然及人文环境</v>
      </c>
      <c r="R20" s="631" t="s">
        <v>25</v>
      </c>
      <c r="S20" s="632">
        <f>F20</f>
        <v>100</v>
      </c>
      <c r="T20" s="631" t="s">
        <v>25</v>
      </c>
      <c r="U20" s="632">
        <f>H20</f>
        <v>100</v>
      </c>
      <c r="V20" s="631" t="s">
        <v>25</v>
      </c>
      <c r="W20" s="632">
        <f>J20</f>
        <v>100</v>
      </c>
      <c r="X20" s="1335"/>
      <c r="Y20" s="3514"/>
      <c r="Z20" s="1336" t="str">
        <f>Q20</f>
        <v>自然及人文环境</v>
      </c>
      <c r="AA20" s="1337">
        <f t="shared" si="3"/>
        <v>1</v>
      </c>
      <c r="AB20" s="1337">
        <f t="shared" si="4"/>
        <v>1</v>
      </c>
      <c r="AC20" s="1337">
        <f t="shared" si="5"/>
        <v>1</v>
      </c>
    </row>
    <row r="21" spans="1:29" ht="15">
      <c r="A21" s="318"/>
      <c r="B21" s="345"/>
      <c r="C21" s="335"/>
      <c r="D21" s="336"/>
      <c r="E21" s="335"/>
      <c r="F21" s="338"/>
      <c r="G21" s="335"/>
      <c r="H21" s="336"/>
      <c r="I21" s="335"/>
      <c r="J21" s="336"/>
      <c r="K21" s="501"/>
      <c r="L21" s="3032"/>
      <c r="M21" s="3023"/>
      <c r="N21" s="3023"/>
      <c r="O21" s="3031"/>
      <c r="P21" s="3514"/>
      <c r="Q21" s="1334"/>
      <c r="R21" s="631"/>
      <c r="S21" s="632"/>
      <c r="T21" s="631"/>
      <c r="U21" s="632"/>
      <c r="V21" s="631"/>
      <c r="W21" s="632"/>
      <c r="X21" s="1335"/>
      <c r="Y21" s="3514"/>
      <c r="Z21" s="1336"/>
      <c r="AA21" s="1337">
        <v>1</v>
      </c>
      <c r="AB21" s="1337">
        <v>1</v>
      </c>
      <c r="AC21" s="1337">
        <v>1</v>
      </c>
    </row>
    <row r="22" spans="1:29" ht="15">
      <c r="A22" s="318"/>
      <c r="B22" s="340" t="s">
        <v>2409</v>
      </c>
      <c r="C22" s="502"/>
      <c r="D22" s="339">
        <v>100</v>
      </c>
      <c r="E22" s="502"/>
      <c r="F22" s="351">
        <f>SUMIF(69:69,E22,70:70)-SUMIF(69:69,C22,70:70)+100</f>
        <v>100</v>
      </c>
      <c r="G22" s="502"/>
      <c r="H22" s="325">
        <f>SUMIF(69:69,G22,70:70)-SUMIF(69:69,C22,70:70)+100</f>
        <v>100</v>
      </c>
      <c r="I22" s="502"/>
      <c r="J22" s="325">
        <f>SUMIF(69:69,I22,70:70)-SUMIF(69:69,C22,70:70)+100</f>
        <v>100</v>
      </c>
      <c r="K22" s="498"/>
      <c r="L22" s="3032"/>
      <c r="M22" s="3023"/>
      <c r="N22" s="3023"/>
      <c r="O22" s="3031"/>
      <c r="P22" s="3514"/>
      <c r="Q22" s="1334" t="str">
        <f>B22</f>
        <v>楼层</v>
      </c>
      <c r="R22" s="631" t="s">
        <v>25</v>
      </c>
      <c r="S22" s="632">
        <f>F22</f>
        <v>100</v>
      </c>
      <c r="T22" s="631" t="s">
        <v>25</v>
      </c>
      <c r="U22" s="632">
        <f>H22</f>
        <v>100</v>
      </c>
      <c r="V22" s="631" t="s">
        <v>25</v>
      </c>
      <c r="W22" s="632">
        <f>J22</f>
        <v>100</v>
      </c>
      <c r="X22" s="1335"/>
      <c r="Y22" s="3514"/>
      <c r="Z22" s="1336" t="str">
        <f>Q22</f>
        <v>楼层</v>
      </c>
      <c r="AA22" s="1337">
        <f t="shared" si="3"/>
        <v>1</v>
      </c>
      <c r="AB22" s="1337">
        <f t="shared" si="4"/>
        <v>1</v>
      </c>
      <c r="AC22" s="1337">
        <f t="shared" si="5"/>
        <v>1</v>
      </c>
    </row>
    <row r="23" spans="1:29" ht="15">
      <c r="A23" s="297"/>
      <c r="B23" s="1563">
        <v>111</v>
      </c>
      <c r="C23" s="322"/>
      <c r="D23" s="325">
        <v>100</v>
      </c>
      <c r="E23" s="324"/>
      <c r="F23" s="351">
        <f>SUMIF(71:71,E23,72:72)-SUMIF(71:71,C23,72:72)+100</f>
        <v>100</v>
      </c>
      <c r="G23" s="324"/>
      <c r="H23" s="325">
        <f>SUMIF(71:71,G23,72:72)-SUMIF(71:71,C23,72:72)+100</f>
        <v>100</v>
      </c>
      <c r="I23" s="324"/>
      <c r="J23" s="325">
        <f>SUMIF(71:71,I23,72:72)-SUMIF(71:71,C23,72:72)+100</f>
        <v>100</v>
      </c>
      <c r="K23" s="499"/>
      <c r="L23" s="3032"/>
      <c r="M23" s="3023"/>
      <c r="N23" s="3023"/>
      <c r="O23" s="3031"/>
      <c r="P23" s="3514"/>
      <c r="Q23" s="1334">
        <f>B23</f>
        <v>111</v>
      </c>
      <c r="R23" s="631" t="s">
        <v>25</v>
      </c>
      <c r="S23" s="632">
        <f>F23</f>
        <v>100</v>
      </c>
      <c r="T23" s="631" t="s">
        <v>25</v>
      </c>
      <c r="U23" s="632">
        <f>H23</f>
        <v>100</v>
      </c>
      <c r="V23" s="631" t="s">
        <v>25</v>
      </c>
      <c r="W23" s="632">
        <f>J23</f>
        <v>100</v>
      </c>
      <c r="X23" s="1335"/>
      <c r="Y23" s="3514"/>
      <c r="Z23" s="1336">
        <f>Q23</f>
        <v>111</v>
      </c>
      <c r="AA23" s="1337">
        <f t="shared" si="3"/>
        <v>1</v>
      </c>
      <c r="AB23" s="1337">
        <f t="shared" si="4"/>
        <v>1</v>
      </c>
      <c r="AC23" s="1337">
        <f t="shared" si="5"/>
        <v>1</v>
      </c>
    </row>
    <row r="24" spans="1:29" ht="15">
      <c r="A24" s="318"/>
      <c r="B24" s="1563">
        <v>111</v>
      </c>
      <c r="C24" s="322"/>
      <c r="D24" s="325">
        <v>100</v>
      </c>
      <c r="E24" s="324"/>
      <c r="F24" s="351">
        <f>SUMIF(73:73,E24,74:74)-SUMIF(73:73,C24,74:74)+100</f>
        <v>100</v>
      </c>
      <c r="G24" s="324"/>
      <c r="H24" s="325">
        <f>SUMIF(73:73,G24,74:74)-SUMIF(73:73,C24,74:74)+100</f>
        <v>100</v>
      </c>
      <c r="I24" s="324"/>
      <c r="J24" s="325">
        <f>SUMIF(73:73,I24,74:74)-SUMIF(73:73,C24,74:74)+100</f>
        <v>100</v>
      </c>
      <c r="K24" s="499"/>
      <c r="L24" s="3032"/>
      <c r="M24" s="3023"/>
      <c r="N24" s="3023"/>
      <c r="O24" s="3031"/>
      <c r="P24" s="3514"/>
      <c r="Q24" s="1334">
        <f t="shared" ref="Q24:Q34" si="11">B24</f>
        <v>111</v>
      </c>
      <c r="R24" s="631" t="s">
        <v>25</v>
      </c>
      <c r="S24" s="632">
        <f>F24</f>
        <v>100</v>
      </c>
      <c r="T24" s="631" t="s">
        <v>25</v>
      </c>
      <c r="U24" s="632">
        <f>H24</f>
        <v>100</v>
      </c>
      <c r="V24" s="631" t="s">
        <v>25</v>
      </c>
      <c r="W24" s="632">
        <f>J24</f>
        <v>100</v>
      </c>
      <c r="X24" s="1335"/>
      <c r="Y24" s="3514"/>
      <c r="Z24" s="1336">
        <f>Q24</f>
        <v>111</v>
      </c>
      <c r="AA24" s="1337">
        <f t="shared" si="3"/>
        <v>1</v>
      </c>
      <c r="AB24" s="1337">
        <f t="shared" si="4"/>
        <v>1</v>
      </c>
      <c r="AC24" s="1337">
        <f t="shared" si="5"/>
        <v>1</v>
      </c>
    </row>
    <row r="25" spans="1:29" s="25" customFormat="1" ht="15.75" thickBot="1">
      <c r="A25" s="321"/>
      <c r="B25" s="1563">
        <v>111</v>
      </c>
      <c r="C25" s="1584"/>
      <c r="D25" s="546">
        <v>100</v>
      </c>
      <c r="E25" s="1584"/>
      <c r="F25" s="547">
        <f>SUMIF(75:75,E25,76:76)-SUMIF(75:75,C25,76:76)+100</f>
        <v>100</v>
      </c>
      <c r="G25" s="1584"/>
      <c r="H25" s="546">
        <f>SUMIF(75:75,G25,76:76)-SUMIF(75:75,C25,76:76)+100</f>
        <v>100</v>
      </c>
      <c r="I25" s="1584"/>
      <c r="J25" s="546">
        <f>SUMIF(75:75,I25,76:76)-SUMIF(75:75,C25,76:76)+100</f>
        <v>100</v>
      </c>
      <c r="K25" s="499"/>
      <c r="L25" s="3024"/>
      <c r="M25" s="3025"/>
      <c r="N25" s="3025"/>
      <c r="O25" s="3026"/>
      <c r="P25" s="3514"/>
      <c r="Q25" s="1327">
        <f t="shared" si="11"/>
        <v>111</v>
      </c>
      <c r="R25" s="627" t="s">
        <v>25</v>
      </c>
      <c r="S25" s="628">
        <f>F25</f>
        <v>100</v>
      </c>
      <c r="T25" s="627" t="s">
        <v>25</v>
      </c>
      <c r="U25" s="628">
        <f>H25</f>
        <v>100</v>
      </c>
      <c r="V25" s="627" t="s">
        <v>25</v>
      </c>
      <c r="W25" s="628">
        <f>J25</f>
        <v>100</v>
      </c>
      <c r="X25" s="629"/>
      <c r="Y25" s="3514"/>
      <c r="Z25" s="19">
        <f>Q25</f>
        <v>111</v>
      </c>
      <c r="AA25" s="1337">
        <f>D25/F25</f>
        <v>1</v>
      </c>
      <c r="AB25" s="1337">
        <f>D25/H25</f>
        <v>1</v>
      </c>
      <c r="AC25" s="1337">
        <f>D25/J25</f>
        <v>1</v>
      </c>
    </row>
    <row r="26" spans="1:29" ht="28.5">
      <c r="A26" s="354" t="s">
        <v>2274</v>
      </c>
      <c r="B26" s="24" t="s">
        <v>2412</v>
      </c>
      <c r="C26" s="1577"/>
      <c r="D26" s="355">
        <v>100</v>
      </c>
      <c r="E26" s="1577"/>
      <c r="F26" s="548">
        <f>SUMIF(77:77,E26,78:78)-SUMIF(77:77,C26,78:78)+100</f>
        <v>100</v>
      </c>
      <c r="G26" s="1577"/>
      <c r="H26" s="355">
        <f>SUMIF(77:77,G26,78:78)-SUMIF(77:77,C26,78:78)+100</f>
        <v>100</v>
      </c>
      <c r="I26" s="1577"/>
      <c r="J26" s="355">
        <f>SUMIF(77:77,I26,78:78)-SUMIF(77:77,C26,78:78)+100</f>
        <v>100</v>
      </c>
      <c r="K26" s="498"/>
      <c r="L26" s="3032"/>
      <c r="M26" s="3023"/>
      <c r="N26" s="3023"/>
      <c r="O26" s="3031"/>
      <c r="P26" s="3501" t="s">
        <v>2276</v>
      </c>
      <c r="Q26" s="1334" t="str">
        <f t="shared" si="11"/>
        <v>公共部分装修</v>
      </c>
      <c r="R26" s="631" t="s">
        <v>25</v>
      </c>
      <c r="S26" s="632">
        <f t="shared" ref="S26:S34" si="12">F26</f>
        <v>100</v>
      </c>
      <c r="T26" s="631" t="s">
        <v>25</v>
      </c>
      <c r="U26" s="632">
        <f t="shared" ref="U26:U34" si="13">H26</f>
        <v>100</v>
      </c>
      <c r="V26" s="631" t="s">
        <v>25</v>
      </c>
      <c r="W26" s="632">
        <f t="shared" ref="W26:W34" si="14">J26</f>
        <v>100</v>
      </c>
      <c r="X26" s="1335"/>
      <c r="Y26" s="3502" t="s">
        <v>2276</v>
      </c>
      <c r="Z26" s="1336" t="str">
        <f t="shared" ref="Z26:Z34" si="15">Q26</f>
        <v>公共部分装修</v>
      </c>
      <c r="AA26" s="1337">
        <f t="shared" si="3"/>
        <v>1</v>
      </c>
      <c r="AB26" s="1337">
        <f t="shared" si="4"/>
        <v>1</v>
      </c>
      <c r="AC26" s="1337">
        <f t="shared" si="5"/>
        <v>1</v>
      </c>
    </row>
    <row r="27" spans="1:29" s="359" customFormat="1" ht="15">
      <c r="A27" s="356"/>
      <c r="B27" s="313" t="s">
        <v>2413</v>
      </c>
      <c r="C27" s="362"/>
      <c r="D27" s="29">
        <v>100</v>
      </c>
      <c r="E27" s="363"/>
      <c r="F27" s="351" t="e">
        <f>LOOKUP(E27,80:80,81:81)-LOOKUP(C27,80:80,81:81)+100</f>
        <v>#N/A</v>
      </c>
      <c r="G27" s="364"/>
      <c r="H27" s="325" t="e">
        <f>LOOKUP(G27,80:80,81:81)-LOOKUP(C27,80:80,81:81)+100</f>
        <v>#N/A</v>
      </c>
      <c r="I27" s="364"/>
      <c r="J27" s="325" t="e">
        <f>LOOKUP(I27,80:80,81:81)-LOOKUP(C27,80:80,81:81)+100</f>
        <v>#N/A</v>
      </c>
      <c r="K27" s="498"/>
      <c r="L27" s="3030"/>
      <c r="M27" s="358"/>
      <c r="N27" s="358"/>
      <c r="O27" s="3033"/>
      <c r="P27" s="3502"/>
      <c r="Q27" s="633" t="str">
        <f t="shared" si="11"/>
        <v>成新率</v>
      </c>
      <c r="R27" s="634" t="s">
        <v>25</v>
      </c>
      <c r="S27" s="635" t="e">
        <f t="shared" si="12"/>
        <v>#N/A</v>
      </c>
      <c r="T27" s="634" t="s">
        <v>25</v>
      </c>
      <c r="U27" s="635" t="e">
        <f t="shared" si="13"/>
        <v>#N/A</v>
      </c>
      <c r="V27" s="634" t="s">
        <v>25</v>
      </c>
      <c r="W27" s="635" t="e">
        <f t="shared" si="14"/>
        <v>#N/A</v>
      </c>
      <c r="X27" s="636"/>
      <c r="Y27" s="3502"/>
      <c r="Z27" s="637" t="str">
        <f t="shared" si="15"/>
        <v>成新率</v>
      </c>
      <c r="AA27" s="1337" t="e">
        <f t="shared" si="3"/>
        <v>#N/A</v>
      </c>
      <c r="AB27" s="1337" t="e">
        <f t="shared" si="4"/>
        <v>#N/A</v>
      </c>
      <c r="AC27" s="1337" t="e">
        <f t="shared" si="5"/>
        <v>#N/A</v>
      </c>
    </row>
    <row r="28" spans="1:29" ht="15">
      <c r="A28" s="360"/>
      <c r="B28" s="313" t="s">
        <v>2414</v>
      </c>
      <c r="C28" s="350"/>
      <c r="D28" s="325">
        <v>100</v>
      </c>
      <c r="E28" s="350"/>
      <c r="F28" s="351">
        <f>SUMIF(82:82,E28,83:83)-SUMIF(82:82,C28,83:83)+100</f>
        <v>100</v>
      </c>
      <c r="G28" s="350"/>
      <c r="H28" s="325">
        <f>SUMIF(82:82,G28,83:83)-SUMIF(82:82,C28,83:83)+100</f>
        <v>100</v>
      </c>
      <c r="I28" s="350"/>
      <c r="J28" s="325">
        <f>SUMIF(82:82,I28,83:83)-SUMIF(82:82,C28,83:83)+100</f>
        <v>100</v>
      </c>
      <c r="K28" s="498"/>
      <c r="L28" s="3032"/>
      <c r="M28" s="3023"/>
      <c r="N28" s="3023"/>
      <c r="O28" s="3031"/>
      <c r="P28" s="3502"/>
      <c r="Q28" s="1334" t="str">
        <f t="shared" si="11"/>
        <v>物业等级</v>
      </c>
      <c r="R28" s="631" t="s">
        <v>25</v>
      </c>
      <c r="S28" s="632">
        <f t="shared" si="12"/>
        <v>100</v>
      </c>
      <c r="T28" s="631" t="s">
        <v>25</v>
      </c>
      <c r="U28" s="632">
        <f t="shared" si="13"/>
        <v>100</v>
      </c>
      <c r="V28" s="631" t="s">
        <v>25</v>
      </c>
      <c r="W28" s="632">
        <f t="shared" si="14"/>
        <v>100</v>
      </c>
      <c r="X28" s="1335"/>
      <c r="Y28" s="3502"/>
      <c r="Z28" s="1336" t="str">
        <f t="shared" si="15"/>
        <v>物业等级</v>
      </c>
      <c r="AA28" s="1337">
        <f t="shared" si="3"/>
        <v>1</v>
      </c>
      <c r="AB28" s="1337">
        <f t="shared" si="4"/>
        <v>1</v>
      </c>
      <c r="AC28" s="1337">
        <f t="shared" si="5"/>
        <v>1</v>
      </c>
    </row>
    <row r="29" spans="1:29" ht="15">
      <c r="A29" s="360"/>
      <c r="B29" s="313" t="s">
        <v>2435</v>
      </c>
      <c r="C29" s="538"/>
      <c r="D29" s="325">
        <v>100</v>
      </c>
      <c r="E29" s="538"/>
      <c r="F29" s="351">
        <f>SUMIF(84:84,E29,85:85)-SUMIF(84:84,C29,85:85)+100</f>
        <v>100</v>
      </c>
      <c r="G29" s="538"/>
      <c r="H29" s="325">
        <f>SUMIF(84:84,G29,85:85)-SUMIF(84:84,C29,85:85)+100</f>
        <v>100</v>
      </c>
      <c r="I29" s="538"/>
      <c r="J29" s="325">
        <f>SUMIF(84:84,I29,85:85)-SUMIF(84:84,C29,85:85)+100</f>
        <v>100</v>
      </c>
      <c r="K29" s="498"/>
      <c r="L29" s="3032"/>
      <c r="M29" s="3023"/>
      <c r="N29" s="3023"/>
      <c r="O29" s="3031"/>
      <c r="P29" s="3502"/>
      <c r="Q29" s="1334" t="str">
        <f t="shared" si="11"/>
        <v>有无电梯</v>
      </c>
      <c r="R29" s="631" t="s">
        <v>25</v>
      </c>
      <c r="S29" s="632">
        <f t="shared" si="12"/>
        <v>100</v>
      </c>
      <c r="T29" s="631" t="s">
        <v>25</v>
      </c>
      <c r="U29" s="632">
        <f t="shared" si="13"/>
        <v>100</v>
      </c>
      <c r="V29" s="631" t="s">
        <v>25</v>
      </c>
      <c r="W29" s="632">
        <f t="shared" si="14"/>
        <v>100</v>
      </c>
      <c r="X29" s="1335"/>
      <c r="Y29" s="3502"/>
      <c r="Z29" s="1336" t="str">
        <f t="shared" si="15"/>
        <v>有无电梯</v>
      </c>
      <c r="AA29" s="1337">
        <f t="shared" si="3"/>
        <v>1</v>
      </c>
      <c r="AB29" s="1337">
        <f t="shared" si="4"/>
        <v>1</v>
      </c>
      <c r="AC29" s="1337">
        <f t="shared" si="5"/>
        <v>1</v>
      </c>
    </row>
    <row r="30" spans="1:29" ht="15">
      <c r="A30" s="360"/>
      <c r="B30" s="313" t="s">
        <v>2436</v>
      </c>
      <c r="C30" s="357"/>
      <c r="D30" s="325">
        <v>100</v>
      </c>
      <c r="E30" s="357"/>
      <c r="F30" s="351" t="e">
        <f>LOOKUP(E30,87:87,88:88)-LOOKUP(C30,87:87,88:88)+100</f>
        <v>#N/A</v>
      </c>
      <c r="G30" s="357"/>
      <c r="H30" s="325" t="e">
        <f>LOOKUP(G30,87:87,88:88)-LOOKUP(C30,87:87,88:88)+100</f>
        <v>#N/A</v>
      </c>
      <c r="I30" s="357"/>
      <c r="J30" s="325" t="e">
        <f>LOOKUP(I30,87:87,88:88)-LOOKUP(C30,87:87,88:88)+100</f>
        <v>#N/A</v>
      </c>
      <c r="K30" s="499"/>
      <c r="L30" s="3032"/>
      <c r="M30" s="3023"/>
      <c r="N30" s="3023"/>
      <c r="O30" s="3031"/>
      <c r="P30" s="3502"/>
      <c r="Q30" s="1334" t="str">
        <f t="shared" si="11"/>
        <v>建筑面积</v>
      </c>
      <c r="R30" s="631" t="s">
        <v>25</v>
      </c>
      <c r="S30" s="632" t="e">
        <f t="shared" si="12"/>
        <v>#N/A</v>
      </c>
      <c r="T30" s="631" t="s">
        <v>25</v>
      </c>
      <c r="U30" s="632" t="e">
        <f t="shared" si="13"/>
        <v>#N/A</v>
      </c>
      <c r="V30" s="631" t="s">
        <v>25</v>
      </c>
      <c r="W30" s="632" t="e">
        <f t="shared" si="14"/>
        <v>#N/A</v>
      </c>
      <c r="X30" s="1335"/>
      <c r="Y30" s="3502"/>
      <c r="Z30" s="1336" t="str">
        <f t="shared" si="15"/>
        <v>建筑面积</v>
      </c>
      <c r="AA30" s="1337" t="e">
        <f t="shared" si="3"/>
        <v>#N/A</v>
      </c>
      <c r="AB30" s="1337" t="e">
        <f t="shared" si="4"/>
        <v>#N/A</v>
      </c>
      <c r="AC30" s="1337" t="e">
        <f t="shared" si="5"/>
        <v>#N/A</v>
      </c>
    </row>
    <row r="31" spans="1:29" s="25" customFormat="1" ht="15">
      <c r="A31" s="361"/>
      <c r="B31" s="313" t="s">
        <v>2437</v>
      </c>
      <c r="C31" s="538"/>
      <c r="D31" s="29">
        <v>100</v>
      </c>
      <c r="E31" s="538"/>
      <c r="F31" s="351">
        <f>SUMIF(89:89,E31,90:90)-SUMIF(89:89,C31,90:90)+100</f>
        <v>100</v>
      </c>
      <c r="G31" s="538"/>
      <c r="H31" s="325">
        <f>SUMIF(89:89,G31,90:90)-SUMIF(89:89,C31,90:90)+100</f>
        <v>100</v>
      </c>
      <c r="I31" s="538"/>
      <c r="J31" s="325">
        <f>SUMIF(89:89,I31,90:90)-SUMIF(89:89,C31,90:90)+100</f>
        <v>100</v>
      </c>
      <c r="K31" s="498"/>
      <c r="L31" s="3024"/>
      <c r="M31" s="3025"/>
      <c r="N31" s="3025"/>
      <c r="O31" s="3026"/>
      <c r="P31" s="3502"/>
      <c r="Q31" s="1327" t="str">
        <f t="shared" si="11"/>
        <v>是否封闭</v>
      </c>
      <c r="R31" s="627" t="s">
        <v>25</v>
      </c>
      <c r="S31" s="628">
        <f t="shared" si="12"/>
        <v>100</v>
      </c>
      <c r="T31" s="627" t="s">
        <v>25</v>
      </c>
      <c r="U31" s="628">
        <f t="shared" si="13"/>
        <v>100</v>
      </c>
      <c r="V31" s="627" t="s">
        <v>25</v>
      </c>
      <c r="W31" s="628">
        <f t="shared" si="14"/>
        <v>100</v>
      </c>
      <c r="X31" s="629"/>
      <c r="Y31" s="3502"/>
      <c r="Z31" s="19" t="str">
        <f t="shared" si="15"/>
        <v>是否封闭</v>
      </c>
      <c r="AA31" s="630">
        <f t="shared" si="3"/>
        <v>1</v>
      </c>
      <c r="AB31" s="630">
        <f t="shared" si="4"/>
        <v>1</v>
      </c>
      <c r="AC31" s="630">
        <f t="shared" si="5"/>
        <v>1</v>
      </c>
    </row>
    <row r="32" spans="1:29" ht="15">
      <c r="A32" s="360"/>
      <c r="B32" s="1563">
        <v>111</v>
      </c>
      <c r="C32" s="322"/>
      <c r="D32" s="325">
        <v>100</v>
      </c>
      <c r="E32" s="357"/>
      <c r="F32" s="351">
        <f>SUMIF(91:91,E32,92:92)-SUMIF(91:91,C32,92:92)+100</f>
        <v>100</v>
      </c>
      <c r="G32" s="357"/>
      <c r="H32" s="325">
        <f>SUMIF(91:91,G32,92:92)-SUMIF(91:91,C32,92:92)+100</f>
        <v>100</v>
      </c>
      <c r="I32" s="357"/>
      <c r="J32" s="325">
        <f>SUMIF(91:91,I32,92:92)-SUMIF(91:91,C32,92:92)+100</f>
        <v>100</v>
      </c>
      <c r="K32" s="499"/>
      <c r="L32" s="3032"/>
      <c r="M32" s="3023"/>
      <c r="N32" s="3023"/>
      <c r="O32" s="3031"/>
      <c r="P32" s="3502" t="s">
        <v>2276</v>
      </c>
      <c r="Q32" s="1334">
        <f t="shared" si="11"/>
        <v>111</v>
      </c>
      <c r="R32" s="631" t="s">
        <v>25</v>
      </c>
      <c r="S32" s="632">
        <f t="shared" si="12"/>
        <v>100</v>
      </c>
      <c r="T32" s="631" t="s">
        <v>25</v>
      </c>
      <c r="U32" s="632">
        <f t="shared" si="13"/>
        <v>100</v>
      </c>
      <c r="V32" s="631" t="s">
        <v>25</v>
      </c>
      <c r="W32" s="632">
        <f t="shared" si="14"/>
        <v>100</v>
      </c>
      <c r="X32" s="1335"/>
      <c r="Y32" s="3502" t="s">
        <v>2276</v>
      </c>
      <c r="Z32" s="1336">
        <f t="shared" si="15"/>
        <v>111</v>
      </c>
      <c r="AA32" s="1337">
        <f t="shared" si="3"/>
        <v>1</v>
      </c>
      <c r="AB32" s="1337">
        <f t="shared" si="4"/>
        <v>1</v>
      </c>
      <c r="AC32" s="1337">
        <f t="shared" si="5"/>
        <v>1</v>
      </c>
    </row>
    <row r="33" spans="1:29" ht="15">
      <c r="A33" s="360"/>
      <c r="B33" s="1563">
        <v>111</v>
      </c>
      <c r="C33" s="322"/>
      <c r="D33" s="325">
        <v>100</v>
      </c>
      <c r="E33" s="357"/>
      <c r="F33" s="351">
        <f>SUMIF(93:93,E33,94:94)-SUMIF(93:93,C33,94:94)+100</f>
        <v>100</v>
      </c>
      <c r="G33" s="357"/>
      <c r="H33" s="325">
        <f>SUMIF(93:93,G33,94:94)-SUMIF(93:93,C33,94:94)+100</f>
        <v>100</v>
      </c>
      <c r="I33" s="357"/>
      <c r="J33" s="325">
        <f>SUMIF(93:93,I33,94:94)-SUMIF(93:93,C33,94:94)+100</f>
        <v>100</v>
      </c>
      <c r="K33" s="499"/>
      <c r="L33" s="3032"/>
      <c r="M33" s="3023"/>
      <c r="N33" s="3023"/>
      <c r="O33" s="3031"/>
      <c r="P33" s="3502"/>
      <c r="Q33" s="1334">
        <f t="shared" si="11"/>
        <v>111</v>
      </c>
      <c r="R33" s="631" t="s">
        <v>25</v>
      </c>
      <c r="S33" s="632">
        <f t="shared" si="12"/>
        <v>100</v>
      </c>
      <c r="T33" s="631" t="s">
        <v>25</v>
      </c>
      <c r="U33" s="632">
        <f t="shared" si="13"/>
        <v>100</v>
      </c>
      <c r="V33" s="631" t="s">
        <v>25</v>
      </c>
      <c r="W33" s="632">
        <f t="shared" si="14"/>
        <v>100</v>
      </c>
      <c r="X33" s="1335"/>
      <c r="Y33" s="3502"/>
      <c r="Z33" s="1336">
        <f t="shared" si="15"/>
        <v>111</v>
      </c>
      <c r="AA33" s="1337">
        <f t="shared" si="3"/>
        <v>1</v>
      </c>
      <c r="AB33" s="1337">
        <f t="shared" si="4"/>
        <v>1</v>
      </c>
      <c r="AC33" s="1337">
        <f t="shared" si="5"/>
        <v>1</v>
      </c>
    </row>
    <row r="34" spans="1:29" ht="15.75" thickBot="1">
      <c r="A34" s="366"/>
      <c r="B34" s="1564">
        <v>111</v>
      </c>
      <c r="C34" s="1565"/>
      <c r="D34" s="327">
        <v>100</v>
      </c>
      <c r="E34" s="1585"/>
      <c r="F34" s="328">
        <f>SUMIF(95:95,E34,96:96)-SUMIF(95:95,C34,96:96)+100</f>
        <v>100</v>
      </c>
      <c r="G34" s="1585"/>
      <c r="H34" s="327">
        <f>SUMIF(95:95,G34,96:96)-SUMIF(95:95,C34,96:96)+100</f>
        <v>100</v>
      </c>
      <c r="I34" s="1585"/>
      <c r="J34" s="327">
        <f>SUMIF(95:95,I34,96:96)-SUMIF(95:95,C34,96:96)+100</f>
        <v>100</v>
      </c>
      <c r="K34" s="499"/>
      <c r="L34" s="3032"/>
      <c r="M34" s="3023"/>
      <c r="N34" s="3023"/>
      <c r="O34" s="3031"/>
      <c r="P34" s="3502"/>
      <c r="Q34" s="1334">
        <f t="shared" si="11"/>
        <v>111</v>
      </c>
      <c r="R34" s="631" t="s">
        <v>25</v>
      </c>
      <c r="S34" s="632">
        <f t="shared" si="12"/>
        <v>100</v>
      </c>
      <c r="T34" s="631" t="s">
        <v>25</v>
      </c>
      <c r="U34" s="632">
        <f t="shared" si="13"/>
        <v>100</v>
      </c>
      <c r="V34" s="631" t="s">
        <v>25</v>
      </c>
      <c r="W34" s="632">
        <f t="shared" si="14"/>
        <v>100</v>
      </c>
      <c r="X34" s="1335"/>
      <c r="Y34" s="3502"/>
      <c r="Z34" s="1336">
        <f t="shared" si="15"/>
        <v>111</v>
      </c>
      <c r="AA34" s="1337">
        <f t="shared" si="3"/>
        <v>1</v>
      </c>
      <c r="AB34" s="1337">
        <f t="shared" si="4"/>
        <v>1</v>
      </c>
      <c r="AC34" s="1337">
        <f t="shared" si="5"/>
        <v>1</v>
      </c>
    </row>
    <row r="35" spans="1:29" ht="15">
      <c r="A35" s="367" t="s">
        <v>2288</v>
      </c>
      <c r="B35" s="368"/>
      <c r="C35" s="1153" t="s">
        <v>1</v>
      </c>
      <c r="D35" s="1154"/>
      <c r="E35" s="1155"/>
      <c r="F35" s="1156"/>
      <c r="G35" s="1157"/>
      <c r="H35" s="1158"/>
      <c r="I35" s="1155"/>
      <c r="J35" s="1158"/>
      <c r="K35" s="640"/>
      <c r="L35" s="3034"/>
      <c r="N35" s="3023"/>
      <c r="P35" s="3496" t="str">
        <f>A35</f>
        <v>成交单价（元/平方米）</v>
      </c>
      <c r="Q35" s="3496"/>
      <c r="R35" s="3497">
        <f>E35</f>
        <v>0</v>
      </c>
      <c r="S35" s="3497"/>
      <c r="T35" s="3497">
        <f>G35</f>
        <v>0</v>
      </c>
      <c r="U35" s="3497"/>
      <c r="V35" s="3497">
        <f>I35</f>
        <v>0</v>
      </c>
      <c r="W35" s="3497"/>
      <c r="X35" s="618"/>
      <c r="Y35" s="638"/>
      <c r="Z35" s="618"/>
      <c r="AA35" s="618"/>
      <c r="AB35" s="618"/>
      <c r="AC35" s="618"/>
    </row>
    <row r="36" spans="1:29" ht="15.75" thickBot="1">
      <c r="A36" s="374" t="s">
        <v>2371</v>
      </c>
      <c r="B36" s="375"/>
      <c r="C36" s="1159" t="e">
        <f>R37</f>
        <v>#DIV/0!</v>
      </c>
      <c r="D36" s="1797" t="s">
        <v>2745</v>
      </c>
      <c r="E36" s="1160" t="e">
        <f>R36</f>
        <v>#DIV/0!</v>
      </c>
      <c r="F36" s="1799"/>
      <c r="G36" s="1159" t="e">
        <f>T36</f>
        <v>#DIV/0!</v>
      </c>
      <c r="H36" s="1799"/>
      <c r="I36" s="1160" t="e">
        <f>V36</f>
        <v>#DIV/0!</v>
      </c>
      <c r="J36" s="1799"/>
      <c r="K36" s="2511">
        <f>F36+H36+J36</f>
        <v>0</v>
      </c>
      <c r="L36" s="3034"/>
      <c r="N36" s="3023"/>
      <c r="P36" s="3496" t="str">
        <f>A36</f>
        <v>比较价值（元/平方米）</v>
      </c>
      <c r="Q36" s="3496"/>
      <c r="R36" s="3497" t="e">
        <f>IF(E1="售价",ROUND(PRODUCT(R35,AA7:AA34),0),ROUND(PRODUCT(R35,AA7:AA34),1))</f>
        <v>#DIV/0!</v>
      </c>
      <c r="S36" s="3497"/>
      <c r="T36" s="3497" t="e">
        <f>IF(E1="售价",ROUND(PRODUCT(T35,AB7:AB34),0),ROUND(PRODUCT(T35,AB7:AB34),1))</f>
        <v>#DIV/0!</v>
      </c>
      <c r="U36" s="3497"/>
      <c r="V36" s="3497" t="e">
        <f>IF(E1="售价",ROUND(PRODUCT(V35,AC7:AC34),0),ROUND(PRODUCT(V35,AC7:AC34),1))</f>
        <v>#DIV/0!</v>
      </c>
      <c r="W36" s="3497"/>
      <c r="X36" s="618"/>
      <c r="Y36" s="618"/>
      <c r="Z36" s="618"/>
      <c r="AA36" s="618"/>
      <c r="AB36" s="618"/>
      <c r="AC36" s="618"/>
    </row>
    <row r="37" spans="1:29" ht="15.75" thickBot="1">
      <c r="A37" s="378" t="s">
        <v>2394</v>
      </c>
      <c r="B37" s="379"/>
      <c r="C37" s="1161" t="e">
        <f>R37</f>
        <v>#DIV/0!</v>
      </c>
      <c r="D37" s="1161"/>
      <c r="E37" s="1161"/>
      <c r="F37" s="1161"/>
      <c r="G37" s="1161"/>
      <c r="H37" s="1161"/>
      <c r="I37" s="1161"/>
      <c r="J37" s="1161"/>
      <c r="K37" s="641"/>
      <c r="L37" s="3034"/>
      <c r="P37" s="3498" t="str">
        <f>A37</f>
        <v>估价对象XX用房的比较价值（楼面单价，元/平方米）</v>
      </c>
      <c r="Q37" s="3499"/>
      <c r="R37" s="3500" t="e">
        <f>IF(E1="售价",ROUND(IF(D36="简单平均",AVERAGE(R36:W36),R36*F36+T36*H36+V36*J36),0),ROUND(IF(D36="简单平均",AVERAGE(R36:V36),R36*F36+T36*H36+V36*J36),1))</f>
        <v>#DIV/0!</v>
      </c>
      <c r="S37" s="3500"/>
      <c r="T37" s="3500"/>
      <c r="U37" s="3500"/>
      <c r="V37" s="3500"/>
      <c r="W37" s="3500"/>
      <c r="X37" s="618"/>
      <c r="Y37" s="618"/>
      <c r="Z37" s="618"/>
      <c r="AA37" s="618"/>
      <c r="AB37" s="618"/>
      <c r="AC37" s="618"/>
    </row>
    <row r="38" spans="1:29">
      <c r="G38" s="3037"/>
    </row>
    <row r="40" spans="1:29" ht="13.5" customHeight="1">
      <c r="C40" s="383" t="s">
        <v>2373</v>
      </c>
      <c r="D40" s="384"/>
      <c r="E40" s="385" t="e">
        <f>IF(E35&lt;E36,E36/E35-1,E35/E36-1)</f>
        <v>#DIV/0!</v>
      </c>
      <c r="F40" s="386" t="e">
        <f>IF(OR(E40&gt;=0.3,E40&lt;=-0.3),"超过30%","")</f>
        <v>#DIV/0!</v>
      </c>
      <c r="G40" s="385" t="e">
        <f>IF(G35&lt;G36,G36/G35-1,G35/G36-1)</f>
        <v>#DIV/0!</v>
      </c>
      <c r="H40" s="386" t="e">
        <f>IF(OR(G40&gt;=0.3,G40&lt;=-0.3),"超过30%","")</f>
        <v>#DIV/0!</v>
      </c>
      <c r="I40" s="385" t="e">
        <f>IF(I35&lt;I36,I36/I35-1,I35/I36-1)</f>
        <v>#DIV/0!</v>
      </c>
      <c r="J40" s="386" t="e">
        <f>IF(OR(I40&gt;=0.3,I40&lt;=-0.3),"超过30%","")</f>
        <v>#DIV/0!</v>
      </c>
    </row>
    <row r="41" spans="1:29" ht="13.5" customHeight="1">
      <c r="C41" s="383" t="s">
        <v>2374</v>
      </c>
      <c r="D41" s="387"/>
      <c r="E41" s="385" t="e">
        <f>IF(E36&lt;G36,G36/E36-1,E36/G36-1)</f>
        <v>#DIV/0!</v>
      </c>
      <c r="F41" s="386" t="e">
        <f>IF(OR(E41&gt;=0.2,E41&lt;=-0.2),"超过20%","")</f>
        <v>#DIV/0!</v>
      </c>
      <c r="G41" s="385" t="e">
        <f>IF(G36&lt;I36,I36/G36-1,G36/I36-1)</f>
        <v>#DIV/0!</v>
      </c>
      <c r="H41" s="386" t="e">
        <f>IF(OR(G41&gt;=0.2,G41&lt;=-0.2),"超过20%","")</f>
        <v>#DIV/0!</v>
      </c>
      <c r="I41" s="385" t="e">
        <f>IF(I36&lt;E36,E36/I36-1,I36/E36-1)</f>
        <v>#DIV/0!</v>
      </c>
      <c r="J41" s="386" t="e">
        <f>IF(OR(I41&gt;=0.2,I41&lt;=-0.2),"超过20%","")</f>
        <v>#DIV/0!</v>
      </c>
    </row>
    <row r="42" spans="1:29" s="388" customFormat="1" ht="13.5" customHeight="1">
      <c r="C42" s="383" t="s">
        <v>2375</v>
      </c>
      <c r="D42" s="387"/>
      <c r="E42" s="385" t="e">
        <f>IF(E35&lt;G35,G35/E35-1,E35/G35-1)</f>
        <v>#DIV/0!</v>
      </c>
      <c r="F42" s="386" t="e">
        <f>IF(OR(E42&gt;=0.3,E42&lt;=-0.3),"超过30%","")</f>
        <v>#DIV/0!</v>
      </c>
      <c r="G42" s="385" t="e">
        <f>IF(G35&lt;I35,I35/G35-1,G35/I35-1)</f>
        <v>#DIV/0!</v>
      </c>
      <c r="H42" s="386" t="e">
        <f>IF(OR(G42&gt;=0.3,G42&lt;=-0.3),"超过30%","")</f>
        <v>#DIV/0!</v>
      </c>
      <c r="I42" s="385" t="e">
        <f>IF(I35&lt;E35,E35/I35-1,I35/E35-1)</f>
        <v>#DIV/0!</v>
      </c>
      <c r="J42" s="386" t="e">
        <f>IF(OR(I42&gt;=0.3,I42&lt;=-0.3),"超过30%","")</f>
        <v>#DIV/0!</v>
      </c>
      <c r="K42" s="3038"/>
      <c r="L42" s="3035"/>
    </row>
    <row r="43" spans="1:29" s="388" customFormat="1">
      <c r="B43" s="3036"/>
      <c r="C43" s="3039"/>
      <c r="K43" s="3038"/>
      <c r="L43" s="3035"/>
    </row>
    <row r="44" spans="1:29">
      <c r="B44" s="3036"/>
      <c r="C44" s="3039"/>
    </row>
    <row r="45" spans="1:29" ht="21.75" thickBot="1">
      <c r="A45" s="620" t="s">
        <v>2376</v>
      </c>
      <c r="B45" s="618"/>
      <c r="C45" s="621"/>
      <c r="D45" s="621"/>
      <c r="E45" s="621"/>
      <c r="F45" s="622"/>
      <c r="G45" s="622"/>
      <c r="H45" s="621"/>
      <c r="I45" s="621"/>
      <c r="J45" s="621"/>
      <c r="K45" s="623"/>
      <c r="L45" s="624"/>
      <c r="M45" s="621"/>
      <c r="N45" s="3040"/>
      <c r="O45" s="3040"/>
      <c r="P45" s="389"/>
      <c r="Q45" s="390"/>
    </row>
    <row r="46" spans="1:29" s="394" customFormat="1" ht="15">
      <c r="A46" s="391" t="s">
        <v>2258</v>
      </c>
      <c r="B46" s="392"/>
      <c r="C46" s="1187" t="str">
        <f>YEAR(C7)&amp;"-"&amp;MONTH(C7)</f>
        <v>2021-5</v>
      </c>
      <c r="D46" s="1188">
        <f>EDATE(C46,-1)</f>
        <v>44287</v>
      </c>
      <c r="E46" s="1188">
        <f t="shared" ref="E46:O46" si="16">EDATE(D46,-1)</f>
        <v>44256</v>
      </c>
      <c r="F46" s="1188">
        <f t="shared" si="16"/>
        <v>44228</v>
      </c>
      <c r="G46" s="1188">
        <f t="shared" si="16"/>
        <v>44197</v>
      </c>
      <c r="H46" s="1188">
        <f t="shared" si="16"/>
        <v>44166</v>
      </c>
      <c r="I46" s="1188">
        <f t="shared" si="16"/>
        <v>44136</v>
      </c>
      <c r="J46" s="1188">
        <f t="shared" si="16"/>
        <v>44105</v>
      </c>
      <c r="K46" s="1188">
        <f t="shared" si="16"/>
        <v>44075</v>
      </c>
      <c r="L46" s="1188">
        <f t="shared" si="16"/>
        <v>44044</v>
      </c>
      <c r="M46" s="1188">
        <f t="shared" si="16"/>
        <v>44013</v>
      </c>
      <c r="N46" s="1188">
        <f t="shared" si="16"/>
        <v>43983</v>
      </c>
      <c r="O46" s="1188">
        <f t="shared" si="16"/>
        <v>43952</v>
      </c>
      <c r="P46" s="393"/>
    </row>
    <row r="47" spans="1:29" s="25" customFormat="1" ht="15">
      <c r="A47" s="395"/>
      <c r="B47" s="396"/>
      <c r="C47" s="1186">
        <v>100</v>
      </c>
      <c r="D47" s="397"/>
      <c r="E47" s="397"/>
      <c r="F47" s="397"/>
      <c r="G47" s="397"/>
      <c r="H47" s="397"/>
      <c r="I47" s="397"/>
      <c r="J47" s="397"/>
      <c r="K47" s="397"/>
      <c r="L47" s="397"/>
      <c r="M47" s="398"/>
      <c r="N47" s="397"/>
      <c r="O47" s="399"/>
      <c r="P47" s="390"/>
    </row>
    <row r="48" spans="1:29" s="25" customFormat="1" ht="15.75" thickBot="1">
      <c r="A48" s="400" t="s">
        <v>2296</v>
      </c>
      <c r="B48" s="401"/>
      <c r="C48" s="402"/>
      <c r="D48" s="403"/>
      <c r="E48" s="403"/>
      <c r="F48" s="403"/>
      <c r="G48" s="403"/>
      <c r="H48" s="403"/>
      <c r="I48" s="403"/>
      <c r="J48" s="403"/>
      <c r="K48" s="403"/>
      <c r="L48" s="403"/>
      <c r="M48" s="404"/>
      <c r="N48" s="403"/>
      <c r="O48" s="405"/>
      <c r="P48" s="390"/>
      <c r="Q48" s="390"/>
    </row>
    <row r="49" spans="1:17" s="25" customFormat="1" ht="15">
      <c r="A49" s="406" t="s">
        <v>2260</v>
      </c>
      <c r="B49" s="396"/>
      <c r="C49" s="407" t="s">
        <v>2261</v>
      </c>
      <c r="D49" s="408"/>
      <c r="E49" s="408"/>
      <c r="F49" s="408"/>
      <c r="G49" s="408"/>
      <c r="H49" s="408"/>
      <c r="I49" s="408"/>
      <c r="J49" s="408"/>
      <c r="K49" s="408"/>
      <c r="L49" s="409"/>
      <c r="M49" s="410"/>
      <c r="N49" s="27"/>
      <c r="O49" s="27"/>
      <c r="P49" s="411"/>
      <c r="Q49" s="390"/>
    </row>
    <row r="50" spans="1:17" s="25" customFormat="1" ht="15.75" thickBot="1">
      <c r="A50" s="406"/>
      <c r="B50" s="396"/>
      <c r="C50" s="521">
        <v>100</v>
      </c>
      <c r="D50" s="397"/>
      <c r="E50" s="397"/>
      <c r="F50" s="397"/>
      <c r="G50" s="397"/>
      <c r="H50" s="397"/>
      <c r="I50" s="397"/>
      <c r="J50" s="397"/>
      <c r="K50" s="397"/>
      <c r="L50" s="397"/>
      <c r="M50" s="399"/>
      <c r="N50" s="27"/>
      <c r="O50" s="27"/>
      <c r="P50" s="390"/>
      <c r="Q50" s="390"/>
    </row>
    <row r="51" spans="1:17">
      <c r="A51" s="412" t="s">
        <v>2299</v>
      </c>
      <c r="B51" s="413" t="s">
        <v>2264</v>
      </c>
      <c r="C51" s="414">
        <f>C9</f>
        <v>0</v>
      </c>
      <c r="D51" s="415"/>
      <c r="E51" s="415"/>
      <c r="F51" s="415"/>
      <c r="G51" s="415"/>
      <c r="H51" s="415"/>
      <c r="I51" s="415"/>
      <c r="J51" s="415"/>
      <c r="K51" s="416"/>
      <c r="L51" s="417"/>
      <c r="M51" s="418"/>
      <c r="N51" s="419"/>
      <c r="O51" s="419"/>
      <c r="P51" s="18"/>
      <c r="Q51" s="390"/>
    </row>
    <row r="52" spans="1:17" ht="15.75" thickBot="1">
      <c r="A52" s="420"/>
      <c r="B52" s="421"/>
      <c r="C52" s="422">
        <v>100</v>
      </c>
      <c r="D52" s="422"/>
      <c r="E52" s="422"/>
      <c r="F52" s="422"/>
      <c r="G52" s="422"/>
      <c r="H52" s="422"/>
      <c r="I52" s="422"/>
      <c r="J52" s="422"/>
      <c r="K52" s="422"/>
      <c r="L52" s="422"/>
      <c r="M52" s="423"/>
      <c r="N52" s="424"/>
      <c r="O52" s="424"/>
      <c r="P52" s="18"/>
      <c r="Q52" s="390"/>
    </row>
    <row r="53" spans="1:17" ht="27.75" thickTop="1">
      <c r="A53" s="420"/>
      <c r="B53" s="425" t="s">
        <v>2267</v>
      </c>
      <c r="C53" s="426" t="s">
        <v>2300</v>
      </c>
      <c r="D53" s="426" t="s">
        <v>2301</v>
      </c>
      <c r="E53" s="426" t="s">
        <v>2302</v>
      </c>
      <c r="F53" s="426" t="s">
        <v>2303</v>
      </c>
      <c r="G53" s="426" t="s">
        <v>2304</v>
      </c>
      <c r="H53" s="426" t="s">
        <v>2305</v>
      </c>
      <c r="I53" s="426" t="s">
        <v>2306</v>
      </c>
      <c r="J53" s="426"/>
      <c r="K53" s="427"/>
      <c r="L53" s="428"/>
      <c r="M53" s="429"/>
      <c r="N53" s="419"/>
      <c r="O53" s="419"/>
      <c r="P53" s="18"/>
      <c r="Q53" s="390"/>
    </row>
    <row r="54" spans="1:17" ht="15.75" thickBot="1">
      <c r="A54" s="420"/>
      <c r="B54" s="430"/>
      <c r="C54" s="431" t="s">
        <v>36</v>
      </c>
      <c r="D54" s="431" t="s">
        <v>37</v>
      </c>
      <c r="E54" s="431">
        <v>100</v>
      </c>
      <c r="F54" s="431">
        <f>E54-$K10</f>
        <v>100</v>
      </c>
      <c r="G54" s="431">
        <f>F54-$K10</f>
        <v>100</v>
      </c>
      <c r="H54" s="431">
        <f>G54-$K10</f>
        <v>100</v>
      </c>
      <c r="I54" s="431">
        <f>H54-$K10</f>
        <v>100</v>
      </c>
      <c r="J54" s="431"/>
      <c r="K54" s="431"/>
      <c r="L54" s="431"/>
      <c r="M54" s="432"/>
      <c r="N54" s="424"/>
      <c r="O54" s="424"/>
      <c r="P54" s="18"/>
      <c r="Q54" s="390"/>
    </row>
    <row r="55" spans="1:17" ht="15.75" thickTop="1">
      <c r="A55" s="420"/>
      <c r="B55" s="541">
        <f>B11</f>
        <v>111</v>
      </c>
      <c r="C55" s="436"/>
      <c r="D55" s="436"/>
      <c r="E55" s="436"/>
      <c r="F55" s="436"/>
      <c r="G55" s="436"/>
      <c r="H55" s="436"/>
      <c r="I55" s="436"/>
      <c r="J55" s="436"/>
      <c r="K55" s="437"/>
      <c r="L55" s="438"/>
      <c r="M55" s="439"/>
      <c r="N55" s="419"/>
      <c r="O55" s="419"/>
      <c r="P55" s="18"/>
      <c r="Q55" s="390"/>
    </row>
    <row r="56" spans="1:17" ht="15.75" thickBot="1">
      <c r="A56" s="420"/>
      <c r="B56" s="421"/>
      <c r="C56" s="448"/>
      <c r="D56" s="422"/>
      <c r="E56" s="422"/>
      <c r="F56" s="422"/>
      <c r="G56" s="422"/>
      <c r="H56" s="422"/>
      <c r="I56" s="422"/>
      <c r="J56" s="422"/>
      <c r="K56" s="422"/>
      <c r="L56" s="422"/>
      <c r="M56" s="423"/>
      <c r="N56" s="424"/>
      <c r="O56" s="424"/>
      <c r="P56" s="18"/>
      <c r="Q56" s="390"/>
    </row>
    <row r="57" spans="1:17" s="359" customFormat="1" ht="15.75" thickTop="1">
      <c r="A57" s="440"/>
      <c r="B57" s="425">
        <f>B12</f>
        <v>111</v>
      </c>
      <c r="C57" s="436"/>
      <c r="D57" s="436"/>
      <c r="E57" s="436"/>
      <c r="F57" s="436"/>
      <c r="G57" s="441"/>
      <c r="H57" s="442"/>
      <c r="I57" s="442"/>
      <c r="J57" s="442"/>
      <c r="K57" s="442"/>
      <c r="L57" s="443"/>
      <c r="M57" s="444"/>
      <c r="N57" s="445"/>
      <c r="O57" s="445"/>
      <c r="P57" s="446"/>
      <c r="Q57" s="447"/>
    </row>
    <row r="58" spans="1:17" s="359" customFormat="1" ht="15.75" thickBot="1">
      <c r="A58" s="440"/>
      <c r="B58" s="430"/>
      <c r="C58" s="448"/>
      <c r="D58" s="422"/>
      <c r="E58" s="422"/>
      <c r="F58" s="422"/>
      <c r="G58" s="422"/>
      <c r="H58" s="422"/>
      <c r="I58" s="422"/>
      <c r="J58" s="422"/>
      <c r="K58" s="422"/>
      <c r="L58" s="422"/>
      <c r="M58" s="423"/>
      <c r="N58" s="424"/>
      <c r="O58" s="424"/>
      <c r="P58" s="446"/>
      <c r="Q58" s="447"/>
    </row>
    <row r="59" spans="1:17" s="359" customFormat="1" ht="15.75" thickTop="1">
      <c r="A59" s="440"/>
      <c r="B59" s="425">
        <f>B13</f>
        <v>111</v>
      </c>
      <c r="C59" s="436"/>
      <c r="D59" s="436"/>
      <c r="E59" s="436"/>
      <c r="F59" s="436"/>
      <c r="G59" s="441"/>
      <c r="H59" s="442"/>
      <c r="I59" s="442"/>
      <c r="J59" s="442"/>
      <c r="K59" s="442"/>
      <c r="L59" s="443"/>
      <c r="M59" s="444"/>
      <c r="N59" s="445"/>
      <c r="O59" s="445"/>
      <c r="P59" s="358"/>
      <c r="Q59" s="449"/>
    </row>
    <row r="60" spans="1:17" s="359" customFormat="1" ht="15.75" thickBot="1">
      <c r="A60" s="440"/>
      <c r="B60" s="430"/>
      <c r="C60" s="448"/>
      <c r="D60" s="448"/>
      <c r="E60" s="448"/>
      <c r="F60" s="448"/>
      <c r="G60" s="448"/>
      <c r="H60" s="450"/>
      <c r="I60" s="450"/>
      <c r="J60" s="450"/>
      <c r="K60" s="450"/>
      <c r="L60" s="450"/>
      <c r="M60" s="451"/>
      <c r="N60" s="445"/>
      <c r="O60" s="445"/>
      <c r="P60" s="446"/>
      <c r="Q60" s="447"/>
    </row>
    <row r="61" spans="1:17" ht="15" thickTop="1">
      <c r="A61" s="412" t="s">
        <v>2269</v>
      </c>
      <c r="B61" s="413" t="s">
        <v>2313</v>
      </c>
      <c r="C61" s="461" t="s">
        <v>2308</v>
      </c>
      <c r="D61" s="461" t="s">
        <v>2309</v>
      </c>
      <c r="E61" s="461" t="s">
        <v>2310</v>
      </c>
      <c r="F61" s="461" t="s">
        <v>2311</v>
      </c>
      <c r="G61" s="461" t="s">
        <v>2312</v>
      </c>
      <c r="H61" s="414"/>
      <c r="I61" s="414"/>
      <c r="J61" s="414"/>
      <c r="K61" s="462"/>
      <c r="L61" s="463"/>
      <c r="M61" s="464"/>
      <c r="N61" s="419"/>
      <c r="O61" s="419"/>
      <c r="P61" s="465"/>
      <c r="Q61" s="390"/>
    </row>
    <row r="62" spans="1:17" ht="15.75" thickBot="1">
      <c r="A62" s="420"/>
      <c r="B62" s="430"/>
      <c r="C62" s="431">
        <v>100</v>
      </c>
      <c r="D62" s="431">
        <f>C62-$K14</f>
        <v>100</v>
      </c>
      <c r="E62" s="431">
        <f>D62-$K14</f>
        <v>100</v>
      </c>
      <c r="F62" s="431">
        <f>E62-$K14</f>
        <v>100</v>
      </c>
      <c r="G62" s="431">
        <f>F62-$K14</f>
        <v>100</v>
      </c>
      <c r="H62" s="431"/>
      <c r="I62" s="431"/>
      <c r="J62" s="431"/>
      <c r="K62" s="431"/>
      <c r="L62" s="431"/>
      <c r="M62" s="432"/>
      <c r="N62" s="424"/>
      <c r="O62" s="424"/>
      <c r="P62" s="18"/>
      <c r="Q62" s="390"/>
    </row>
    <row r="63" spans="1:17" ht="15.75" thickTop="1">
      <c r="A63" s="420"/>
      <c r="B63" s="425" t="s">
        <v>2314</v>
      </c>
      <c r="C63" s="466" t="s">
        <v>2308</v>
      </c>
      <c r="D63" s="466" t="s">
        <v>2309</v>
      </c>
      <c r="E63" s="466" t="s">
        <v>2310</v>
      </c>
      <c r="F63" s="466" t="s">
        <v>2311</v>
      </c>
      <c r="G63" s="466" t="s">
        <v>2312</v>
      </c>
      <c r="H63" s="426"/>
      <c r="I63" s="426"/>
      <c r="J63" s="426"/>
      <c r="K63" s="427"/>
      <c r="L63" s="428"/>
      <c r="M63" s="429"/>
      <c r="N63" s="419"/>
      <c r="O63" s="419"/>
      <c r="P63" s="18"/>
      <c r="Q63" s="390"/>
    </row>
    <row r="64" spans="1:17" ht="15.75" thickBot="1">
      <c r="A64" s="420"/>
      <c r="B64" s="430"/>
      <c r="C64" s="431">
        <v>100</v>
      </c>
      <c r="D64" s="431">
        <f>C64-$K16</f>
        <v>100</v>
      </c>
      <c r="E64" s="431">
        <f>D64-$K16</f>
        <v>100</v>
      </c>
      <c r="F64" s="431">
        <f>E64-$K16</f>
        <v>100</v>
      </c>
      <c r="G64" s="431">
        <f>F64-$K16</f>
        <v>100</v>
      </c>
      <c r="H64" s="431"/>
      <c r="I64" s="431"/>
      <c r="J64" s="431"/>
      <c r="K64" s="431"/>
      <c r="L64" s="431"/>
      <c r="M64" s="432"/>
      <c r="N64" s="424"/>
      <c r="O64" s="424"/>
      <c r="P64" s="18"/>
      <c r="Q64" s="390"/>
    </row>
    <row r="65" spans="1:17" ht="15.75" thickTop="1">
      <c r="A65" s="420"/>
      <c r="B65" s="433" t="s">
        <v>2386</v>
      </c>
      <c r="C65" s="426" t="s">
        <v>2315</v>
      </c>
      <c r="D65" s="426" t="s">
        <v>2316</v>
      </c>
      <c r="E65" s="426" t="s">
        <v>2317</v>
      </c>
      <c r="F65" s="426" t="s">
        <v>2318</v>
      </c>
      <c r="G65" s="426" t="s">
        <v>2319</v>
      </c>
      <c r="H65" s="426"/>
      <c r="I65" s="426"/>
      <c r="J65" s="426"/>
      <c r="K65" s="426"/>
      <c r="L65" s="426"/>
      <c r="M65" s="1130"/>
      <c r="N65" s="424"/>
      <c r="O65" s="424"/>
      <c r="P65" s="18"/>
      <c r="Q65" s="390"/>
    </row>
    <row r="66" spans="1:17" ht="15.75" thickBot="1">
      <c r="A66" s="420"/>
      <c r="B66" s="433"/>
      <c r="C66" s="431">
        <v>100</v>
      </c>
      <c r="D66" s="431">
        <f>C66-$K18</f>
        <v>100</v>
      </c>
      <c r="E66" s="431">
        <f>D66-$K18</f>
        <v>100</v>
      </c>
      <c r="F66" s="431">
        <f>E66-$K18</f>
        <v>100</v>
      </c>
      <c r="G66" s="431">
        <f>F66-$K18</f>
        <v>100</v>
      </c>
      <c r="H66" s="541"/>
      <c r="I66" s="541"/>
      <c r="J66" s="541"/>
      <c r="K66" s="541"/>
      <c r="L66" s="541"/>
      <c r="M66" s="339"/>
      <c r="N66" s="424"/>
      <c r="O66" s="424"/>
      <c r="P66" s="18"/>
      <c r="Q66" s="390"/>
    </row>
    <row r="67" spans="1:17" ht="15.75" thickTop="1">
      <c r="A67" s="420"/>
      <c r="B67" s="425" t="s">
        <v>2320</v>
      </c>
      <c r="C67" s="466" t="s">
        <v>2308</v>
      </c>
      <c r="D67" s="466" t="s">
        <v>2309</v>
      </c>
      <c r="E67" s="466" t="s">
        <v>2310</v>
      </c>
      <c r="F67" s="466" t="s">
        <v>2311</v>
      </c>
      <c r="G67" s="466" t="s">
        <v>2312</v>
      </c>
      <c r="H67" s="426"/>
      <c r="I67" s="426"/>
      <c r="J67" s="426"/>
      <c r="K67" s="427"/>
      <c r="L67" s="428"/>
      <c r="M67" s="429"/>
      <c r="N67" s="419"/>
      <c r="O67" s="419"/>
      <c r="P67" s="18"/>
      <c r="Q67" s="390"/>
    </row>
    <row r="68" spans="1:17" ht="15.75" thickBot="1">
      <c r="A68" s="420"/>
      <c r="B68" s="430"/>
      <c r="C68" s="431">
        <v>100</v>
      </c>
      <c r="D68" s="431">
        <f>C68-$K20</f>
        <v>100</v>
      </c>
      <c r="E68" s="431">
        <f>D68-$K20</f>
        <v>100</v>
      </c>
      <c r="F68" s="431">
        <f>E68-$K20</f>
        <v>100</v>
      </c>
      <c r="G68" s="431">
        <f>F68-$K20</f>
        <v>100</v>
      </c>
      <c r="H68" s="431"/>
      <c r="I68" s="431"/>
      <c r="J68" s="431"/>
      <c r="K68" s="431"/>
      <c r="L68" s="431"/>
      <c r="M68" s="432"/>
      <c r="N68" s="424"/>
      <c r="O68" s="424"/>
      <c r="P68" s="18"/>
      <c r="Q68" s="390"/>
    </row>
    <row r="69" spans="1:17" ht="15.75" thickTop="1">
      <c r="A69" s="420"/>
      <c r="B69" s="425" t="s">
        <v>2427</v>
      </c>
      <c r="C69" s="441"/>
      <c r="D69" s="441"/>
      <c r="E69" s="441"/>
      <c r="F69" s="441"/>
      <c r="G69" s="441"/>
      <c r="H69" s="471"/>
      <c r="I69" s="471"/>
      <c r="J69" s="471"/>
      <c r="K69" s="472"/>
      <c r="L69" s="473"/>
      <c r="M69" s="474"/>
      <c r="N69" s="419"/>
      <c r="O69" s="419"/>
      <c r="P69" s="18"/>
      <c r="Q69" s="390"/>
    </row>
    <row r="70" spans="1:17" ht="15.75" thickBot="1">
      <c r="A70" s="420"/>
      <c r="B70" s="430"/>
      <c r="C70" s="431">
        <v>100</v>
      </c>
      <c r="D70" s="431">
        <f>C70-$K22</f>
        <v>100</v>
      </c>
      <c r="E70" s="431"/>
      <c r="F70" s="431"/>
      <c r="G70" s="431"/>
      <c r="H70" s="431"/>
      <c r="I70" s="431"/>
      <c r="J70" s="431"/>
      <c r="K70" s="431"/>
      <c r="L70" s="431"/>
      <c r="M70" s="432"/>
      <c r="N70" s="424"/>
      <c r="O70" s="424"/>
      <c r="P70" s="18"/>
      <c r="Q70" s="390"/>
    </row>
    <row r="71" spans="1:17" s="25" customFormat="1" ht="15.75" thickTop="1">
      <c r="A71" s="467"/>
      <c r="B71" s="425">
        <f>B23</f>
        <v>111</v>
      </c>
      <c r="C71" s="436"/>
      <c r="D71" s="436"/>
      <c r="E71" s="436"/>
      <c r="F71" s="436"/>
      <c r="G71" s="441"/>
      <c r="H71" s="441"/>
      <c r="I71" s="441"/>
      <c r="J71" s="441"/>
      <c r="K71" s="441"/>
      <c r="L71" s="468"/>
      <c r="M71" s="469"/>
      <c r="N71" s="27"/>
      <c r="O71" s="27"/>
      <c r="P71" s="18"/>
      <c r="Q71" s="390"/>
    </row>
    <row r="72" spans="1:17" s="25" customFormat="1" ht="15.75" thickBot="1">
      <c r="A72" s="467"/>
      <c r="B72" s="430"/>
      <c r="C72" s="448"/>
      <c r="D72" s="422"/>
      <c r="E72" s="422"/>
      <c r="F72" s="422"/>
      <c r="G72" s="422"/>
      <c r="H72" s="422"/>
      <c r="I72" s="422"/>
      <c r="J72" s="422"/>
      <c r="K72" s="422"/>
      <c r="L72" s="422"/>
      <c r="M72" s="423"/>
      <c r="N72" s="424"/>
      <c r="O72" s="424"/>
      <c r="P72" s="18"/>
      <c r="Q72" s="390"/>
    </row>
    <row r="73" spans="1:17" s="25" customFormat="1" ht="15.75" thickTop="1">
      <c r="A73" s="467"/>
      <c r="B73" s="425">
        <f>B24</f>
        <v>111</v>
      </c>
      <c r="C73" s="436"/>
      <c r="D73" s="436"/>
      <c r="E73" s="436"/>
      <c r="F73" s="436"/>
      <c r="G73" s="441"/>
      <c r="H73" s="441"/>
      <c r="I73" s="441"/>
      <c r="J73" s="441"/>
      <c r="K73" s="441"/>
      <c r="L73" s="441"/>
      <c r="M73" s="469"/>
      <c r="N73" s="27"/>
      <c r="O73" s="27"/>
      <c r="P73" s="18"/>
      <c r="Q73" s="390"/>
    </row>
    <row r="74" spans="1:17" s="25" customFormat="1" ht="15.75" thickBot="1">
      <c r="A74" s="467"/>
      <c r="B74" s="430"/>
      <c r="C74" s="448"/>
      <c r="D74" s="422"/>
      <c r="E74" s="422"/>
      <c r="F74" s="422"/>
      <c r="G74" s="422"/>
      <c r="H74" s="422"/>
      <c r="I74" s="422"/>
      <c r="J74" s="422"/>
      <c r="K74" s="422"/>
      <c r="L74" s="422"/>
      <c r="M74" s="423"/>
      <c r="N74" s="424"/>
      <c r="O74" s="424"/>
      <c r="P74" s="18"/>
      <c r="Q74" s="390"/>
    </row>
    <row r="75" spans="1:17" s="359" customFormat="1" ht="15.75" thickTop="1">
      <c r="A75" s="440"/>
      <c r="B75" s="425">
        <f>B25</f>
        <v>111</v>
      </c>
      <c r="C75" s="436"/>
      <c r="D75" s="436"/>
      <c r="E75" s="436"/>
      <c r="F75" s="436"/>
      <c r="G75" s="441"/>
      <c r="H75" s="442"/>
      <c r="I75" s="442"/>
      <c r="J75" s="442"/>
      <c r="K75" s="442"/>
      <c r="L75" s="443"/>
      <c r="M75" s="444"/>
      <c r="N75" s="445"/>
      <c r="O75" s="445"/>
      <c r="P75" s="446"/>
      <c r="Q75" s="447"/>
    </row>
    <row r="76" spans="1:17" s="359" customFormat="1" ht="15.75" thickBot="1">
      <c r="A76" s="440"/>
      <c r="B76" s="430"/>
      <c r="C76" s="448"/>
      <c r="D76" s="448"/>
      <c r="E76" s="448"/>
      <c r="F76" s="448"/>
      <c r="G76" s="422"/>
      <c r="H76" s="422"/>
      <c r="I76" s="422"/>
      <c r="J76" s="422"/>
      <c r="K76" s="422"/>
      <c r="L76" s="422"/>
      <c r="M76" s="423"/>
      <c r="N76" s="445"/>
      <c r="O76" s="445"/>
      <c r="P76" s="446"/>
      <c r="Q76" s="447"/>
    </row>
    <row r="77" spans="1:17" ht="15" thickTop="1">
      <c r="A77" s="412" t="s">
        <v>2274</v>
      </c>
      <c r="B77" s="413" t="s">
        <v>2327</v>
      </c>
      <c r="C77" s="441"/>
      <c r="D77" s="441"/>
      <c r="E77" s="415"/>
      <c r="F77" s="415"/>
      <c r="G77" s="415"/>
      <c r="H77" s="415"/>
      <c r="I77" s="415"/>
      <c r="J77" s="415"/>
      <c r="K77" s="416"/>
      <c r="L77" s="417"/>
      <c r="M77" s="418"/>
      <c r="N77" s="419"/>
      <c r="O77" s="419"/>
      <c r="P77" s="18"/>
      <c r="Q77" s="390"/>
    </row>
    <row r="78" spans="1:17" ht="15.75" thickBot="1">
      <c r="A78" s="420"/>
      <c r="B78" s="430"/>
      <c r="C78" s="431">
        <v>100</v>
      </c>
      <c r="D78" s="431">
        <f t="shared" ref="D78:M78" si="17">C78-$K26</f>
        <v>100</v>
      </c>
      <c r="E78" s="431">
        <f t="shared" si="17"/>
        <v>100</v>
      </c>
      <c r="F78" s="431">
        <f t="shared" si="17"/>
        <v>100</v>
      </c>
      <c r="G78" s="431">
        <f t="shared" si="17"/>
        <v>100</v>
      </c>
      <c r="H78" s="431">
        <f t="shared" si="17"/>
        <v>100</v>
      </c>
      <c r="I78" s="431">
        <f t="shared" si="17"/>
        <v>100</v>
      </c>
      <c r="J78" s="431">
        <f t="shared" si="17"/>
        <v>100</v>
      </c>
      <c r="K78" s="431">
        <f t="shared" si="17"/>
        <v>100</v>
      </c>
      <c r="L78" s="431">
        <f t="shared" si="17"/>
        <v>100</v>
      </c>
      <c r="M78" s="432">
        <f t="shared" si="17"/>
        <v>100</v>
      </c>
      <c r="N78" s="424"/>
      <c r="O78" s="424"/>
      <c r="P78" s="18"/>
      <c r="Q78" s="390"/>
    </row>
    <row r="79" spans="1:17" ht="15.75" thickTop="1">
      <c r="A79" s="420"/>
      <c r="B79" s="425" t="s">
        <v>2430</v>
      </c>
      <c r="C79" s="466" t="str">
        <f>C80&amp;"(含)"&amp;"-"&amp;D80</f>
        <v>0.5(含)-0.6</v>
      </c>
      <c r="D79" s="466" t="str">
        <f>D80&amp;"(含)"&amp;"-"&amp;E80</f>
        <v>0.6(含)-0.7</v>
      </c>
      <c r="E79" s="466" t="str">
        <f>E80&amp;"(含)"&amp;"-"&amp;F80</f>
        <v>0.7(含)-0.8</v>
      </c>
      <c r="F79" s="466" t="str">
        <f>F80&amp;"(含)"&amp;"-"&amp;G80</f>
        <v>0.8(含)-0.9</v>
      </c>
      <c r="G79" s="466" t="str">
        <f>G80&amp;"(含)"&amp;"-"&amp;H80</f>
        <v>0.9(含)-1</v>
      </c>
      <c r="H79" s="466"/>
      <c r="I79" s="426"/>
      <c r="J79" s="426"/>
      <c r="K79" s="427"/>
      <c r="L79" s="428"/>
      <c r="M79" s="429"/>
      <c r="N79" s="27"/>
      <c r="O79" s="27"/>
      <c r="P79" s="18"/>
      <c r="Q79" s="390"/>
    </row>
    <row r="80" spans="1:17" ht="15">
      <c r="A80" s="420"/>
      <c r="B80" s="433"/>
      <c r="C80" s="491">
        <v>0.5</v>
      </c>
      <c r="D80" s="491">
        <v>0.6</v>
      </c>
      <c r="E80" s="491">
        <v>0.7</v>
      </c>
      <c r="F80" s="491">
        <v>0.8</v>
      </c>
      <c r="G80" s="491">
        <v>0.9</v>
      </c>
      <c r="H80" s="491">
        <v>1</v>
      </c>
      <c r="I80" s="541"/>
      <c r="J80" s="541"/>
      <c r="K80" s="549"/>
      <c r="L80" s="550"/>
      <c r="M80" s="551"/>
      <c r="N80" s="27"/>
      <c r="O80" s="27"/>
      <c r="P80" s="18"/>
      <c r="Q80" s="390"/>
    </row>
    <row r="81" spans="1:17" s="359" customFormat="1" ht="15.75" thickBot="1">
      <c r="A81" s="440"/>
      <c r="B81" s="430"/>
      <c r="C81" s="470">
        <v>100</v>
      </c>
      <c r="D81" s="431">
        <f t="shared" ref="D81:M81" si="18">C81+$K27</f>
        <v>100</v>
      </c>
      <c r="E81" s="431">
        <f t="shared" si="18"/>
        <v>100</v>
      </c>
      <c r="F81" s="431">
        <f t="shared" si="18"/>
        <v>100</v>
      </c>
      <c r="G81" s="431">
        <f t="shared" si="18"/>
        <v>100</v>
      </c>
      <c r="H81" s="431">
        <f t="shared" si="18"/>
        <v>100</v>
      </c>
      <c r="I81" s="431">
        <f t="shared" si="18"/>
        <v>100</v>
      </c>
      <c r="J81" s="431">
        <f t="shared" si="18"/>
        <v>100</v>
      </c>
      <c r="K81" s="431">
        <f t="shared" si="18"/>
        <v>100</v>
      </c>
      <c r="L81" s="431">
        <f t="shared" si="18"/>
        <v>100</v>
      </c>
      <c r="M81" s="431">
        <f t="shared" si="18"/>
        <v>100</v>
      </c>
      <c r="N81" s="424"/>
      <c r="O81" s="424"/>
      <c r="P81" s="446"/>
      <c r="Q81" s="447"/>
    </row>
    <row r="82" spans="1:17" ht="15" thickTop="1">
      <c r="A82" s="487"/>
      <c r="B82" s="433" t="s">
        <v>2431</v>
      </c>
      <c r="C82" s="441"/>
      <c r="D82" s="441"/>
      <c r="E82" s="471"/>
      <c r="F82" s="471"/>
      <c r="G82" s="471"/>
      <c r="H82" s="471"/>
      <c r="I82" s="471"/>
      <c r="J82" s="471"/>
      <c r="K82" s="472"/>
      <c r="L82" s="473"/>
      <c r="M82" s="474"/>
      <c r="N82" s="419"/>
      <c r="O82" s="419"/>
      <c r="P82" s="18"/>
      <c r="Q82" s="390"/>
    </row>
    <row r="83" spans="1:17" ht="15.75" thickBot="1">
      <c r="A83" s="420"/>
      <c r="B83" s="430"/>
      <c r="C83" s="431">
        <v>100</v>
      </c>
      <c r="D83" s="431">
        <f t="shared" ref="D83:M83" si="19">C83-$K28</f>
        <v>100</v>
      </c>
      <c r="E83" s="431">
        <f t="shared" si="19"/>
        <v>100</v>
      </c>
      <c r="F83" s="431">
        <f t="shared" si="19"/>
        <v>100</v>
      </c>
      <c r="G83" s="431">
        <f t="shared" si="19"/>
        <v>100</v>
      </c>
      <c r="H83" s="431">
        <f t="shared" si="19"/>
        <v>100</v>
      </c>
      <c r="I83" s="431">
        <f t="shared" si="19"/>
        <v>100</v>
      </c>
      <c r="J83" s="431">
        <f t="shared" si="19"/>
        <v>100</v>
      </c>
      <c r="K83" s="431">
        <f t="shared" si="19"/>
        <v>100</v>
      </c>
      <c r="L83" s="431">
        <f t="shared" si="19"/>
        <v>100</v>
      </c>
      <c r="M83" s="432">
        <f t="shared" si="19"/>
        <v>100</v>
      </c>
      <c r="N83" s="424"/>
      <c r="O83" s="424"/>
      <c r="P83" s="18"/>
      <c r="Q83" s="390"/>
    </row>
    <row r="84" spans="1:17" ht="15" thickTop="1">
      <c r="A84" s="487"/>
      <c r="B84" s="425" t="s">
        <v>2438</v>
      </c>
      <c r="C84" s="441"/>
      <c r="D84" s="441"/>
      <c r="E84" s="441"/>
      <c r="F84" s="441"/>
      <c r="G84" s="441"/>
      <c r="H84" s="441"/>
      <c r="I84" s="471"/>
      <c r="J84" s="471"/>
      <c r="K84" s="472"/>
      <c r="L84" s="473"/>
      <c r="M84" s="474"/>
      <c r="N84" s="419"/>
      <c r="O84" s="419"/>
      <c r="P84" s="18"/>
      <c r="Q84" s="390"/>
    </row>
    <row r="85" spans="1:17" ht="15.75" thickBot="1">
      <c r="A85" s="420"/>
      <c r="B85" s="430"/>
      <c r="C85" s="470">
        <v>100</v>
      </c>
      <c r="D85" s="431">
        <f t="shared" ref="D85:M85" si="20">C85+$K29</f>
        <v>100</v>
      </c>
      <c r="E85" s="431">
        <f t="shared" si="20"/>
        <v>100</v>
      </c>
      <c r="F85" s="431">
        <f t="shared" si="20"/>
        <v>100</v>
      </c>
      <c r="G85" s="431">
        <f t="shared" si="20"/>
        <v>100</v>
      </c>
      <c r="H85" s="431">
        <f t="shared" si="20"/>
        <v>100</v>
      </c>
      <c r="I85" s="431">
        <f t="shared" si="20"/>
        <v>100</v>
      </c>
      <c r="J85" s="431">
        <f t="shared" si="20"/>
        <v>100</v>
      </c>
      <c r="K85" s="431">
        <f t="shared" si="20"/>
        <v>100</v>
      </c>
      <c r="L85" s="431">
        <f t="shared" si="20"/>
        <v>100</v>
      </c>
      <c r="M85" s="431">
        <f t="shared" si="20"/>
        <v>100</v>
      </c>
      <c r="N85" s="424"/>
      <c r="O85" s="424"/>
      <c r="P85" s="18"/>
      <c r="Q85" s="390"/>
    </row>
    <row r="86" spans="1:17" ht="15" thickTop="1">
      <c r="A86" s="487"/>
      <c r="B86" s="433" t="s">
        <v>2439</v>
      </c>
      <c r="C86" s="466" t="str">
        <f t="shared" ref="C86:L86" si="21">C87&amp;"(含)"&amp;"-"&amp;D87</f>
        <v>(含)-</v>
      </c>
      <c r="D86" s="466" t="str">
        <f t="shared" si="21"/>
        <v>(含)-</v>
      </c>
      <c r="E86" s="466" t="str">
        <f t="shared" si="21"/>
        <v>(含)-</v>
      </c>
      <c r="F86" s="466" t="str">
        <f t="shared" si="21"/>
        <v>(含)-</v>
      </c>
      <c r="G86" s="466" t="str">
        <f t="shared" si="21"/>
        <v>(含)-</v>
      </c>
      <c r="H86" s="466" t="str">
        <f t="shared" si="21"/>
        <v>(含)-</v>
      </c>
      <c r="I86" s="466" t="str">
        <f t="shared" si="21"/>
        <v>(含)-</v>
      </c>
      <c r="J86" s="466" t="str">
        <f t="shared" si="21"/>
        <v>(含)-</v>
      </c>
      <c r="K86" s="466" t="str">
        <f t="shared" si="21"/>
        <v>(含)-</v>
      </c>
      <c r="L86" s="466" t="str">
        <f t="shared" si="21"/>
        <v>(含)-</v>
      </c>
      <c r="M86" s="505" t="str">
        <f>M87&amp;"(含)"&amp;"-"&amp;P87</f>
        <v>(含)-</v>
      </c>
      <c r="N86" s="419"/>
      <c r="O86" s="419"/>
      <c r="P86" s="18"/>
      <c r="Q86" s="390"/>
    </row>
    <row r="87" spans="1:17">
      <c r="A87" s="487"/>
      <c r="B87" s="433"/>
      <c r="C87" s="483"/>
      <c r="D87" s="483"/>
      <c r="E87" s="483"/>
      <c r="F87" s="483"/>
      <c r="G87" s="483"/>
      <c r="H87" s="483"/>
      <c r="I87" s="483"/>
      <c r="J87" s="484"/>
      <c r="K87" s="484"/>
      <c r="L87" s="485"/>
      <c r="M87" s="486"/>
      <c r="N87" s="419"/>
      <c r="O87" s="419"/>
      <c r="P87" s="18"/>
      <c r="Q87" s="390"/>
    </row>
    <row r="88" spans="1:17" ht="15.75" thickBot="1">
      <c r="A88" s="420"/>
      <c r="B88" s="430"/>
      <c r="C88" s="448"/>
      <c r="D88" s="422"/>
      <c r="E88" s="422"/>
      <c r="F88" s="422"/>
      <c r="G88" s="422"/>
      <c r="H88" s="422"/>
      <c r="I88" s="422"/>
      <c r="J88" s="422"/>
      <c r="K88" s="422"/>
      <c r="L88" s="422"/>
      <c r="M88" s="422"/>
      <c r="N88" s="424"/>
      <c r="O88" s="424"/>
      <c r="P88" s="18"/>
      <c r="Q88" s="390"/>
    </row>
    <row r="89" spans="1:17" s="359" customFormat="1" ht="15" thickTop="1">
      <c r="A89" s="481"/>
      <c r="B89" s="425" t="s">
        <v>2440</v>
      </c>
      <c r="C89" s="441"/>
      <c r="D89" s="441"/>
      <c r="E89" s="441"/>
      <c r="F89" s="441"/>
      <c r="G89" s="441"/>
      <c r="H89" s="441"/>
      <c r="I89" s="441"/>
      <c r="J89" s="441"/>
      <c r="K89" s="441"/>
      <c r="L89" s="441"/>
      <c r="M89" s="469"/>
      <c r="N89" s="445"/>
      <c r="O89" s="445"/>
      <c r="P89" s="446"/>
      <c r="Q89" s="447"/>
    </row>
    <row r="90" spans="1:17" s="359" customFormat="1" ht="15.75" thickBot="1">
      <c r="A90" s="440"/>
      <c r="B90" s="430"/>
      <c r="C90" s="448"/>
      <c r="D90" s="422"/>
      <c r="E90" s="422"/>
      <c r="F90" s="422"/>
      <c r="G90" s="422"/>
      <c r="H90" s="422"/>
      <c r="I90" s="422"/>
      <c r="J90" s="422"/>
      <c r="K90" s="422"/>
      <c r="L90" s="422"/>
      <c r="M90" s="423"/>
      <c r="N90" s="445"/>
      <c r="O90" s="445"/>
      <c r="P90" s="446"/>
      <c r="Q90" s="447"/>
    </row>
    <row r="91" spans="1:17" ht="15" thickTop="1">
      <c r="A91" s="487"/>
      <c r="B91" s="425">
        <f>B32</f>
        <v>111</v>
      </c>
      <c r="C91" s="436"/>
      <c r="D91" s="436"/>
      <c r="E91" s="436"/>
      <c r="F91" s="436"/>
      <c r="G91" s="441"/>
      <c r="H91" s="442"/>
      <c r="I91" s="442"/>
      <c r="J91" s="442"/>
      <c r="K91" s="442"/>
      <c r="L91" s="443"/>
      <c r="M91" s="444"/>
      <c r="N91" s="419"/>
      <c r="O91" s="419"/>
      <c r="P91" s="18"/>
      <c r="Q91" s="390"/>
    </row>
    <row r="92" spans="1:17" ht="15.75" thickBot="1">
      <c r="A92" s="420"/>
      <c r="B92" s="430"/>
      <c r="C92" s="448"/>
      <c r="D92" s="422"/>
      <c r="E92" s="422"/>
      <c r="F92" s="422"/>
      <c r="G92" s="448"/>
      <c r="H92" s="450"/>
      <c r="I92" s="450"/>
      <c r="J92" s="450"/>
      <c r="K92" s="450"/>
      <c r="L92" s="450"/>
      <c r="M92" s="451"/>
      <c r="N92" s="424"/>
      <c r="O92" s="424"/>
      <c r="P92" s="18"/>
      <c r="Q92" s="390"/>
    </row>
    <row r="93" spans="1:17" ht="15" thickTop="1">
      <c r="A93" s="487"/>
      <c r="B93" s="425">
        <f>B33</f>
        <v>111</v>
      </c>
      <c r="C93" s="436"/>
      <c r="D93" s="436"/>
      <c r="E93" s="436"/>
      <c r="F93" s="436"/>
      <c r="G93" s="441"/>
      <c r="H93" s="442"/>
      <c r="I93" s="442"/>
      <c r="J93" s="442"/>
      <c r="K93" s="442"/>
      <c r="L93" s="443"/>
      <c r="M93" s="444"/>
      <c r="N93" s="419"/>
      <c r="O93" s="419"/>
      <c r="P93" s="18"/>
      <c r="Q93" s="390"/>
    </row>
    <row r="94" spans="1:17" ht="15.75" thickBot="1">
      <c r="A94" s="420"/>
      <c r="B94" s="430"/>
      <c r="C94" s="448"/>
      <c r="D94" s="422"/>
      <c r="E94" s="422"/>
      <c r="F94" s="422"/>
      <c r="G94" s="448"/>
      <c r="H94" s="450"/>
      <c r="I94" s="450"/>
      <c r="J94" s="450"/>
      <c r="K94" s="450"/>
      <c r="L94" s="450"/>
      <c r="M94" s="451"/>
      <c r="N94" s="424"/>
      <c r="O94" s="424"/>
      <c r="P94" s="18"/>
      <c r="Q94" s="390"/>
    </row>
    <row r="95" spans="1:17" ht="15" thickTop="1">
      <c r="A95" s="487"/>
      <c r="B95" s="518">
        <f>B34</f>
        <v>111</v>
      </c>
      <c r="C95" s="436"/>
      <c r="D95" s="436"/>
      <c r="E95" s="436"/>
      <c r="F95" s="436"/>
      <c r="G95" s="441"/>
      <c r="H95" s="442"/>
      <c r="I95" s="442"/>
      <c r="J95" s="442"/>
      <c r="K95" s="442"/>
      <c r="L95" s="443"/>
      <c r="M95" s="444"/>
      <c r="N95" s="424"/>
      <c r="O95" s="424"/>
      <c r="P95" s="519"/>
      <c r="Q95" s="520"/>
    </row>
    <row r="96" spans="1:17" ht="15.75" thickBot="1">
      <c r="A96" s="420"/>
      <c r="B96" s="430"/>
      <c r="C96" s="448"/>
      <c r="D96" s="448"/>
      <c r="E96" s="448"/>
      <c r="F96" s="448"/>
      <c r="G96" s="448"/>
      <c r="H96" s="450"/>
      <c r="I96" s="450"/>
      <c r="J96" s="450"/>
      <c r="K96" s="450"/>
      <c r="L96" s="450"/>
      <c r="M96" s="451"/>
      <c r="N96" s="424"/>
      <c r="O96" s="424"/>
      <c r="P96" s="18"/>
      <c r="Q96" s="390"/>
    </row>
    <row r="97" ht="15" thickTop="1"/>
  </sheetData>
  <sheetProtection password="CEE9" sheet="1" objects="1" scenarios="1" formatCells="0" formatColumns="0" formatRows="0"/>
  <mergeCells count="40">
    <mergeCell ref="E6:F6"/>
    <mergeCell ref="G6:H6"/>
    <mergeCell ref="P9:P13"/>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4:P25"/>
    <mergeCell ref="Y14:Y25"/>
    <mergeCell ref="Y9:Y13"/>
    <mergeCell ref="Y7:Z7"/>
    <mergeCell ref="P26:P34"/>
    <mergeCell ref="Y26:Y34"/>
    <mergeCell ref="P35:Q35"/>
    <mergeCell ref="R35:S35"/>
    <mergeCell ref="T35:U35"/>
    <mergeCell ref="V35:W35"/>
    <mergeCell ref="P36:Q36"/>
    <mergeCell ref="R36:S36"/>
    <mergeCell ref="T36:U36"/>
    <mergeCell ref="V36:W36"/>
    <mergeCell ref="P37:Q37"/>
    <mergeCell ref="R37:W37"/>
  </mergeCells>
  <phoneticPr fontId="26" type="noConversion"/>
  <conditionalFormatting sqref="F40 H40 J40">
    <cfRule type="containsText" dxfId="57" priority="18" stopIfTrue="1" operator="containsText" text="超过">
      <formula>NOT(ISERROR(SEARCH("超过",F40)))</formula>
    </cfRule>
  </conditionalFormatting>
  <conditionalFormatting sqref="J42">
    <cfRule type="containsText" dxfId="56" priority="17" stopIfTrue="1" operator="containsText" text="超过">
      <formula>NOT(ISERROR(SEARCH("超过",J42)))</formula>
    </cfRule>
  </conditionalFormatting>
  <conditionalFormatting sqref="H42">
    <cfRule type="containsText" dxfId="55" priority="16" stopIfTrue="1" operator="containsText" text="超过">
      <formula>NOT(ISERROR(SEARCH("超过",H42)))</formula>
    </cfRule>
  </conditionalFormatting>
  <conditionalFormatting sqref="F42">
    <cfRule type="containsText" dxfId="54" priority="15" stopIfTrue="1" operator="containsText" text="超过">
      <formula>NOT(ISERROR(SEARCH("超过",F42)))</formula>
    </cfRule>
  </conditionalFormatting>
  <conditionalFormatting sqref="F41 H41 J41">
    <cfRule type="containsText" dxfId="53" priority="14" stopIfTrue="1" operator="containsText" text="超过">
      <formula>NOT(ISERROR(SEARCH("超过",F41)))</formula>
    </cfRule>
  </conditionalFormatting>
  <conditionalFormatting sqref="E40">
    <cfRule type="expression" dxfId="52" priority="13" stopIfTrue="1">
      <formula>$F$40="超过30%"</formula>
    </cfRule>
  </conditionalFormatting>
  <conditionalFormatting sqref="G42">
    <cfRule type="expression" dxfId="51" priority="12" stopIfTrue="1">
      <formula>$H$54+$H$42="超过30%"</formula>
    </cfRule>
  </conditionalFormatting>
  <conditionalFormatting sqref="E41">
    <cfRule type="expression" dxfId="50" priority="11" stopIfTrue="1">
      <formula>$F$41="超过20%"</formula>
    </cfRule>
  </conditionalFormatting>
  <conditionalFormatting sqref="E42">
    <cfRule type="expression" dxfId="49" priority="10" stopIfTrue="1">
      <formula>$F$42="超过30%"</formula>
    </cfRule>
  </conditionalFormatting>
  <conditionalFormatting sqref="G40">
    <cfRule type="expression" dxfId="48" priority="9" stopIfTrue="1">
      <formula>$H$52+$H$40="超过30%"</formula>
    </cfRule>
  </conditionalFormatting>
  <conditionalFormatting sqref="G41">
    <cfRule type="expression" dxfId="47" priority="8" stopIfTrue="1">
      <formula>$H$53+$H$41="超过20%"</formula>
    </cfRule>
  </conditionalFormatting>
  <conditionalFormatting sqref="I40">
    <cfRule type="expression" dxfId="46" priority="7" stopIfTrue="1">
      <formula>$J$40="超过30%"</formula>
    </cfRule>
  </conditionalFormatting>
  <conditionalFormatting sqref="I41">
    <cfRule type="expression" dxfId="45" priority="6" stopIfTrue="1">
      <formula>$J$41="超过20%"</formula>
    </cfRule>
  </conditionalFormatting>
  <conditionalFormatting sqref="I42">
    <cfRule type="expression" dxfId="44" priority="5" stopIfTrue="1">
      <formula>$J$42="超过30%"</formula>
    </cfRule>
  </conditionalFormatting>
  <conditionalFormatting sqref="F36">
    <cfRule type="expression" dxfId="43" priority="4">
      <formula>$D$36="简单平均"</formula>
    </cfRule>
  </conditionalFormatting>
  <conditionalFormatting sqref="H36">
    <cfRule type="expression" dxfId="42" priority="3">
      <formula>$D$36="简单平均"</formula>
    </cfRule>
  </conditionalFormatting>
  <conditionalFormatting sqref="J36">
    <cfRule type="expression" dxfId="41" priority="2">
      <formula>$D$36="简单平均"</formula>
    </cfRule>
  </conditionalFormatting>
  <conditionalFormatting sqref="F7:F34 H7:H34 J7:J34">
    <cfRule type="cellIs" dxfId="40" priority="1" operator="notEqual">
      <formula>100</formula>
    </cfRule>
  </conditionalFormatting>
  <dataValidations count="18">
    <dataValidation type="list" allowBlank="1" showInputMessage="1" showErrorMessage="1" sqref="G15 E15 C15 I15">
      <formula1>交通便捷度</formula1>
    </dataValidation>
    <dataValidation type="list" allowBlank="1" showInputMessage="1" showErrorMessage="1" sqref="G17 C17 I17 E17">
      <formula1>公共配套设施</formula1>
    </dataValidation>
    <dataValidation type="list" allowBlank="1" showInputMessage="1" showErrorMessage="1" sqref="C10 E10 G10 I10">
      <formula1>土地年限区间</formula1>
    </dataValidation>
    <dataValidation type="list" allowBlank="1" showInputMessage="1" showErrorMessage="1" sqref="C8 E8 G8 I8">
      <formula1>仓储交易情况</formula1>
    </dataValidation>
    <dataValidation type="list" allowBlank="1" showInputMessage="1" showErrorMessage="1" sqref="E9 G9 I9">
      <formula1>仓储用途</formula1>
    </dataValidation>
    <dataValidation type="list" allowBlank="1" showInputMessage="1" showErrorMessage="1" sqref="C21 E21 G21 I21">
      <formula1>环境</formula1>
    </dataValidation>
    <dataValidation type="list" allowBlank="1" showInputMessage="1" showErrorMessage="1" sqref="C22 E22 G22 I22">
      <formula1>仓储楼层</formula1>
    </dataValidation>
    <dataValidation type="list" allowBlank="1" showInputMessage="1" showErrorMessage="1" sqref="C26 E26 G26 I26">
      <formula1>仓储公共部分装修</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B1">
      <formula1>地类判定</formula1>
    </dataValidation>
    <dataValidation type="list" allowBlank="1" showInputMessage="1" showErrorMessage="1" sqref="C28 E28 G28 I28">
      <formula1>仓储物业等级</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36">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92D050"/>
    <pageSetUpPr fitToPage="1"/>
  </sheetPr>
  <dimension ref="A1:AD132"/>
  <sheetViews>
    <sheetView view="pageBreakPreview" zoomScale="70" zoomScaleNormal="60" zoomScaleSheetLayoutView="70" workbookViewId="0">
      <selection activeCell="M40" sqref="M40"/>
    </sheetView>
  </sheetViews>
  <sheetFormatPr defaultColWidth="9" defaultRowHeight="14.25"/>
  <cols>
    <col min="1" max="1" width="11.875" style="1667" customWidth="1"/>
    <col min="2" max="2" width="15.75" style="1667" customWidth="1"/>
    <col min="3" max="3" width="14.375" style="1667" customWidth="1"/>
    <col min="4" max="4" width="12.25" style="1667" customWidth="1"/>
    <col min="5" max="5" width="14.375" style="1667" customWidth="1"/>
    <col min="6" max="6" width="12.25" style="1667" customWidth="1"/>
    <col min="7" max="7" width="14.5" style="1667" customWidth="1"/>
    <col min="8" max="8" width="12.25" style="1667" customWidth="1"/>
    <col min="9" max="9" width="14.5" style="1667" customWidth="1"/>
    <col min="10" max="10" width="12.25" style="1667" customWidth="1"/>
    <col min="11" max="11" width="12.25" style="1910" customWidth="1"/>
    <col min="12" max="12" width="12.25" style="1911" customWidth="1"/>
    <col min="13" max="15" width="12.25" style="1667" customWidth="1"/>
    <col min="16" max="16" width="4.75" style="1667" customWidth="1"/>
    <col min="17" max="17" width="19.5" style="1667" customWidth="1"/>
    <col min="18" max="22" width="6.125" style="1667" customWidth="1"/>
    <col min="23" max="23" width="5.75" style="1667" customWidth="1"/>
    <col min="24" max="24" width="4.25" style="1667" customWidth="1"/>
    <col min="25" max="25" width="3.5" style="1667" customWidth="1"/>
    <col min="26" max="26" width="19.75" style="1667" customWidth="1"/>
    <col min="27" max="28" width="9.375" style="1667" customWidth="1"/>
    <col min="29" max="16384" width="9" style="1667"/>
  </cols>
  <sheetData>
    <row r="1" spans="1:30" s="1960" customFormat="1" ht="28.5" customHeight="1">
      <c r="A1" s="1951" t="s">
        <v>2441</v>
      </c>
      <c r="B1" s="1952"/>
      <c r="C1" s="1953" t="s">
        <v>2442</v>
      </c>
      <c r="D1" s="1952"/>
      <c r="E1" s="1952"/>
      <c r="F1" s="1954" t="s">
        <v>2243</v>
      </c>
      <c r="G1" s="1952"/>
      <c r="H1" s="1952"/>
      <c r="I1" s="1952"/>
      <c r="J1" s="1952"/>
      <c r="K1" s="1955"/>
      <c r="L1" s="1956"/>
      <c r="M1" s="1952"/>
      <c r="N1" s="1952"/>
      <c r="O1" s="1952"/>
      <c r="P1" s="1957"/>
      <c r="Q1" s="1957"/>
      <c r="R1" s="1957"/>
      <c r="S1" s="1957"/>
      <c r="T1" s="1957"/>
      <c r="U1" s="1957"/>
      <c r="V1" s="1957"/>
      <c r="W1" s="1957"/>
      <c r="X1" s="1957"/>
      <c r="Y1" s="1957"/>
      <c r="Z1" s="1957"/>
      <c r="AA1" s="1957"/>
      <c r="AB1" s="1957"/>
      <c r="AC1" s="1958"/>
      <c r="AD1" s="1959"/>
    </row>
    <row r="2" spans="1:30" s="1960" customFormat="1" ht="28.5" customHeight="1">
      <c r="A2" s="1961" t="s">
        <v>1914</v>
      </c>
      <c r="B2" s="1962" t="e">
        <f>F66</f>
        <v>#DIV/0!</v>
      </c>
      <c r="C2" s="1657" t="s">
        <v>2443</v>
      </c>
      <c r="D2" s="3009"/>
      <c r="E2" s="3009"/>
      <c r="F2" s="3008"/>
      <c r="G2" s="3009"/>
      <c r="H2" s="3009"/>
      <c r="I2" s="3009"/>
      <c r="J2" s="3009"/>
      <c r="K2" s="3010"/>
      <c r="L2" s="3011"/>
      <c r="M2" s="3009"/>
      <c r="N2" s="3009"/>
      <c r="O2" s="3009"/>
      <c r="P2" s="1957"/>
      <c r="Q2" s="1957"/>
      <c r="R2" s="1957"/>
      <c r="S2" s="1957"/>
      <c r="T2" s="1957"/>
      <c r="U2" s="1957"/>
      <c r="V2" s="1957"/>
      <c r="W2" s="1957"/>
      <c r="X2" s="1957"/>
      <c r="Y2" s="1957"/>
      <c r="Z2" s="1957"/>
      <c r="AA2" s="1957"/>
      <c r="AB2" s="1957"/>
      <c r="AC2" s="1958"/>
      <c r="AD2" s="1959"/>
    </row>
    <row r="3" spans="1:30" s="1960" customFormat="1" ht="28.5" customHeight="1" thickBot="1">
      <c r="A3" s="1659" t="s">
        <v>1915</v>
      </c>
      <c r="B3" s="1963" t="e">
        <f>ROUND(B2/'数据-取费表'!B5,0)</f>
        <v>#DIV/0!</v>
      </c>
      <c r="C3" s="1657" t="s">
        <v>2444</v>
      </c>
      <c r="D3" s="3009"/>
      <c r="E3" s="3009"/>
      <c r="F3" s="3008"/>
      <c r="G3" s="3009"/>
      <c r="H3" s="3009"/>
      <c r="I3" s="3009"/>
      <c r="J3" s="3009"/>
      <c r="K3" s="3010"/>
      <c r="L3" s="3011"/>
      <c r="M3" s="3009"/>
      <c r="N3" s="3009"/>
      <c r="O3" s="3009"/>
      <c r="P3" s="1957"/>
      <c r="Q3" s="1957"/>
      <c r="R3" s="1957"/>
      <c r="S3" s="1957"/>
      <c r="T3" s="1957"/>
      <c r="U3" s="1957"/>
      <c r="V3" s="1957"/>
      <c r="W3" s="1957"/>
      <c r="X3" s="1957"/>
      <c r="Y3" s="1957"/>
      <c r="Z3" s="1957"/>
      <c r="AA3" s="1957"/>
      <c r="AB3" s="1964"/>
      <c r="AC3" s="1965"/>
    </row>
    <row r="4" spans="1:30" ht="15">
      <c r="A4" s="1663" t="s">
        <v>2245</v>
      </c>
      <c r="B4" s="1664"/>
      <c r="C4" s="3474" t="s">
        <v>2246</v>
      </c>
      <c r="D4" s="3475"/>
      <c r="E4" s="3476" t="s">
        <v>2247</v>
      </c>
      <c r="F4" s="3477"/>
      <c r="G4" s="3474" t="s">
        <v>2248</v>
      </c>
      <c r="H4" s="3475"/>
      <c r="I4" s="3474" t="s">
        <v>2249</v>
      </c>
      <c r="J4" s="3475"/>
      <c r="K4" s="1966" t="s">
        <v>2250</v>
      </c>
      <c r="L4" s="2994"/>
      <c r="M4" s="2995"/>
      <c r="N4" s="2995"/>
      <c r="O4" s="2995"/>
      <c r="P4" s="3478" t="s">
        <v>2251</v>
      </c>
      <c r="Q4" s="3479"/>
      <c r="R4" s="3463" t="s">
        <v>2247</v>
      </c>
      <c r="S4" s="3464"/>
      <c r="T4" s="3463" t="s">
        <v>2248</v>
      </c>
      <c r="U4" s="3464"/>
      <c r="V4" s="3484" t="s">
        <v>2249</v>
      </c>
      <c r="W4" s="3484"/>
      <c r="X4" s="1666"/>
      <c r="Y4" s="3463" t="s">
        <v>2251</v>
      </c>
      <c r="Z4" s="3464"/>
      <c r="AA4" s="3471" t="s">
        <v>2247</v>
      </c>
      <c r="AB4" s="3472" t="s">
        <v>2248</v>
      </c>
      <c r="AC4" s="3471" t="s">
        <v>2249</v>
      </c>
    </row>
    <row r="5" spans="1:30" ht="15">
      <c r="A5" s="1668"/>
      <c r="B5" s="1669"/>
      <c r="C5" s="3459" t="s">
        <v>2252</v>
      </c>
      <c r="D5" s="3460"/>
      <c r="E5" s="3485" t="s">
        <v>2253</v>
      </c>
      <c r="F5" s="3486"/>
      <c r="G5" s="3459" t="s">
        <v>2254</v>
      </c>
      <c r="H5" s="3460"/>
      <c r="I5" s="3459" t="s">
        <v>2255</v>
      </c>
      <c r="J5" s="3460"/>
      <c r="K5" s="1966"/>
      <c r="L5" s="2994"/>
      <c r="M5" s="2995"/>
      <c r="N5" s="2995"/>
      <c r="O5" s="2995"/>
      <c r="P5" s="3480"/>
      <c r="Q5" s="3481"/>
      <c r="R5" s="3465"/>
      <c r="S5" s="3466"/>
      <c r="T5" s="3465"/>
      <c r="U5" s="3466"/>
      <c r="V5" s="3484"/>
      <c r="W5" s="3484"/>
      <c r="X5" s="1666"/>
      <c r="Y5" s="3465"/>
      <c r="Z5" s="3466"/>
      <c r="AA5" s="3472"/>
      <c r="AB5" s="3472"/>
      <c r="AC5" s="3472"/>
    </row>
    <row r="6" spans="1:30" ht="15.75" thickBot="1">
      <c r="A6" s="1671"/>
      <c r="B6" s="1672"/>
      <c r="C6" s="3457" t="s">
        <v>2256</v>
      </c>
      <c r="D6" s="3458"/>
      <c r="E6" s="3487" t="s">
        <v>2256</v>
      </c>
      <c r="F6" s="3488"/>
      <c r="G6" s="3457" t="s">
        <v>2256</v>
      </c>
      <c r="H6" s="3458"/>
      <c r="I6" s="3457" t="s">
        <v>2256</v>
      </c>
      <c r="J6" s="3458"/>
      <c r="K6" s="1966" t="s">
        <v>2257</v>
      </c>
      <c r="L6" s="2994"/>
      <c r="M6" s="2995"/>
      <c r="N6" s="2995"/>
      <c r="O6" s="2995"/>
      <c r="P6" s="3482"/>
      <c r="Q6" s="3483"/>
      <c r="R6" s="3465"/>
      <c r="S6" s="3466"/>
      <c r="T6" s="3467"/>
      <c r="U6" s="3468"/>
      <c r="V6" s="3484"/>
      <c r="W6" s="3484"/>
      <c r="X6" s="1666"/>
      <c r="Y6" s="3467"/>
      <c r="Z6" s="3468"/>
      <c r="AA6" s="3473"/>
      <c r="AB6" s="3473"/>
      <c r="AC6" s="3473"/>
    </row>
    <row r="7" spans="1:30" s="1685" customFormat="1" ht="15.75" thickBot="1">
      <c r="A7" s="1673" t="s">
        <v>2258</v>
      </c>
      <c r="B7" s="1674"/>
      <c r="C7" s="1675">
        <f>'数据-取费表'!B2</f>
        <v>44334</v>
      </c>
      <c r="D7" s="1676">
        <v>100</v>
      </c>
      <c r="E7" s="1677"/>
      <c r="F7" s="1678">
        <f>SUMIF(70:70,YEAR(E7)&amp;"-"&amp;INT((MONTH(E7)+2)/3),71:71)</f>
        <v>0</v>
      </c>
      <c r="G7" s="1967"/>
      <c r="H7" s="1676">
        <f>SUMIF(70:70,YEAR(G7)&amp;"-"&amp;INT((MONTH(G7)+2)/3),71:71)</f>
        <v>0</v>
      </c>
      <c r="I7" s="1967"/>
      <c r="J7" s="1676">
        <f>SUMIF(70:70,YEAR(I7)&amp;"-"&amp;INT((MONTH(I7)+2)/3),71:71)</f>
        <v>0</v>
      </c>
      <c r="K7" s="1968"/>
      <c r="L7" s="2994"/>
      <c r="M7" s="2967"/>
      <c r="N7" s="2967"/>
      <c r="O7" s="2967"/>
      <c r="P7" s="3461" t="s">
        <v>2259</v>
      </c>
      <c r="Q7" s="3469"/>
      <c r="R7" s="1681" t="s">
        <v>25</v>
      </c>
      <c r="S7" s="1682">
        <f t="shared" ref="S7:S15" si="0">F7</f>
        <v>0</v>
      </c>
      <c r="T7" s="1681" t="s">
        <v>25</v>
      </c>
      <c r="U7" s="1682">
        <f t="shared" ref="U7:U15" si="1">H7</f>
        <v>0</v>
      </c>
      <c r="V7" s="1681" t="s">
        <v>25</v>
      </c>
      <c r="W7" s="1682">
        <f t="shared" ref="W7:W15" si="2">J7</f>
        <v>0</v>
      </c>
      <c r="X7" s="1683"/>
      <c r="Y7" s="3461" t="s">
        <v>2259</v>
      </c>
      <c r="Z7" s="3462"/>
      <c r="AA7" s="1684" t="e">
        <f>D7/F7</f>
        <v>#DIV/0!</v>
      </c>
      <c r="AB7" s="1684" t="e">
        <f>D7/H7</f>
        <v>#DIV/0!</v>
      </c>
      <c r="AC7" s="1684" t="e">
        <f>D7/J7</f>
        <v>#DIV/0!</v>
      </c>
    </row>
    <row r="8" spans="1:30" s="1685" customFormat="1" ht="15.75" thickBot="1">
      <c r="A8" s="1673" t="s">
        <v>2260</v>
      </c>
      <c r="B8" s="1674"/>
      <c r="C8" s="1686" t="s">
        <v>2445</v>
      </c>
      <c r="D8" s="1676">
        <v>100</v>
      </c>
      <c r="E8" s="1686"/>
      <c r="F8" s="1678">
        <f>SUMIF(73:73,E8,74:74)-SUMIF(73:73,C8,74:74)+100</f>
        <v>0</v>
      </c>
      <c r="G8" s="1686"/>
      <c r="H8" s="1676">
        <f>SUMIF(73:73,G8,74:74)-SUMIF(73:73,C8,74:74)+100</f>
        <v>0</v>
      </c>
      <c r="I8" s="1686"/>
      <c r="J8" s="1676">
        <f>SUMIF(73:73,I8,74:74)-SUMIF(73:73,C8,74:74)+100</f>
        <v>0</v>
      </c>
      <c r="K8" s="1968"/>
      <c r="L8" s="2994"/>
      <c r="M8" s="2967"/>
      <c r="N8" s="2967"/>
      <c r="O8" s="2967"/>
      <c r="P8" s="3461" t="s">
        <v>2262</v>
      </c>
      <c r="Q8" s="3462"/>
      <c r="R8" s="1681" t="s">
        <v>25</v>
      </c>
      <c r="S8" s="1682">
        <f t="shared" si="0"/>
        <v>0</v>
      </c>
      <c r="T8" s="1681" t="s">
        <v>25</v>
      </c>
      <c r="U8" s="1682">
        <f t="shared" si="1"/>
        <v>0</v>
      </c>
      <c r="V8" s="1681" t="s">
        <v>25</v>
      </c>
      <c r="W8" s="1682">
        <f t="shared" si="2"/>
        <v>0</v>
      </c>
      <c r="X8" s="1683"/>
      <c r="Y8" s="3461" t="s">
        <v>2262</v>
      </c>
      <c r="Z8" s="3462"/>
      <c r="AA8" s="1684" t="e">
        <f t="shared" ref="AA8:AA45" si="3">D8/F8</f>
        <v>#DIV/0!</v>
      </c>
      <c r="AB8" s="1684" t="e">
        <f t="shared" ref="AB8:AB45" si="4">D8/H8</f>
        <v>#DIV/0!</v>
      </c>
      <c r="AC8" s="1684" t="e">
        <f t="shared" ref="AC8:AC45" si="5">D8/J8</f>
        <v>#DIV/0!</v>
      </c>
    </row>
    <row r="9" spans="1:30" s="1685" customFormat="1">
      <c r="A9" s="1636" t="s">
        <v>2263</v>
      </c>
      <c r="B9" s="1688" t="s">
        <v>2264</v>
      </c>
      <c r="C9" s="1969"/>
      <c r="D9" s="1690">
        <v>100</v>
      </c>
      <c r="E9" s="1969"/>
      <c r="F9" s="1690">
        <f>SUMIF(75:75,E9,76:76)-SUMIF(75:75,C9,76:76)+100</f>
        <v>100</v>
      </c>
      <c r="G9" s="1969"/>
      <c r="H9" s="1690">
        <f>SUMIF(75:75,G9,76:76)-SUMIF(75:75,C9,76:76)+100</f>
        <v>100</v>
      </c>
      <c r="I9" s="1969"/>
      <c r="J9" s="1690">
        <f>SUMIF(75:75,I9,76:76)-SUMIF(75:75,C9,76:76)+100</f>
        <v>100</v>
      </c>
      <c r="K9" s="1968"/>
      <c r="L9" s="2994"/>
      <c r="M9" s="2967"/>
      <c r="N9" s="2967"/>
      <c r="O9" s="3041"/>
      <c r="P9" s="3447" t="s">
        <v>2265</v>
      </c>
      <c r="Q9" s="1635" t="str">
        <f t="shared" ref="Q9:Q15" si="6">B9</f>
        <v>用途</v>
      </c>
      <c r="R9" s="1681" t="s">
        <v>25</v>
      </c>
      <c r="S9" s="1682">
        <f t="shared" si="0"/>
        <v>100</v>
      </c>
      <c r="T9" s="1681" t="s">
        <v>25</v>
      </c>
      <c r="U9" s="1682">
        <f t="shared" si="1"/>
        <v>100</v>
      </c>
      <c r="V9" s="1681" t="s">
        <v>25</v>
      </c>
      <c r="W9" s="1682">
        <f t="shared" si="2"/>
        <v>100</v>
      </c>
      <c r="X9" s="1683"/>
      <c r="Y9" s="3286" t="s">
        <v>2266</v>
      </c>
      <c r="Z9" s="1694" t="str">
        <f t="shared" ref="Z9:Z15" si="7">Q9</f>
        <v>用途</v>
      </c>
      <c r="AA9" s="1684">
        <f t="shared" si="3"/>
        <v>1</v>
      </c>
      <c r="AB9" s="1684">
        <f t="shared" si="4"/>
        <v>1</v>
      </c>
      <c r="AC9" s="1684">
        <f t="shared" si="5"/>
        <v>1</v>
      </c>
    </row>
    <row r="10" spans="1:30" s="1702" customFormat="1" ht="27">
      <c r="A10" s="1695"/>
      <c r="B10" s="1696" t="s">
        <v>2267</v>
      </c>
      <c r="C10" s="1708"/>
      <c r="D10" s="1698">
        <v>100</v>
      </c>
      <c r="E10" s="1760"/>
      <c r="F10" s="1698">
        <f>ROUND(100/'数据-取费表'!B14,0)</f>
        <v>110</v>
      </c>
      <c r="G10" s="1758"/>
      <c r="H10" s="1698">
        <f>ROUND(100/'数据-取费表'!B14,0)</f>
        <v>110</v>
      </c>
      <c r="I10" s="1758"/>
      <c r="J10" s="1698">
        <f>ROUND(100/'数据-取费表'!B14,0)</f>
        <v>110</v>
      </c>
      <c r="K10" s="1970"/>
      <c r="L10" s="2996"/>
      <c r="M10" s="2997"/>
      <c r="N10" s="2997"/>
      <c r="O10" s="3042"/>
      <c r="P10" s="3447"/>
      <c r="Q10" s="1635" t="str">
        <f t="shared" si="6"/>
        <v>土地使用年限（年）</v>
      </c>
      <c r="R10" s="1681" t="s">
        <v>25</v>
      </c>
      <c r="S10" s="1682">
        <f t="shared" si="0"/>
        <v>110</v>
      </c>
      <c r="T10" s="1681" t="s">
        <v>25</v>
      </c>
      <c r="U10" s="1682">
        <f t="shared" si="1"/>
        <v>110</v>
      </c>
      <c r="V10" s="1681" t="s">
        <v>25</v>
      </c>
      <c r="W10" s="1682">
        <f t="shared" si="2"/>
        <v>110</v>
      </c>
      <c r="X10" s="1683"/>
      <c r="Y10" s="3286"/>
      <c r="Z10" s="1694" t="str">
        <f t="shared" si="7"/>
        <v>土地使用年限（年）</v>
      </c>
      <c r="AA10" s="1684">
        <f t="shared" si="3"/>
        <v>0.90909090909090906</v>
      </c>
      <c r="AB10" s="1684">
        <f t="shared" si="4"/>
        <v>0.90909090909090906</v>
      </c>
      <c r="AC10" s="1684">
        <f t="shared" si="5"/>
        <v>0.90909090909090906</v>
      </c>
    </row>
    <row r="11" spans="1:30" ht="15">
      <c r="A11" s="1703"/>
      <c r="B11" s="1696" t="s">
        <v>2268</v>
      </c>
      <c r="C11" s="1704"/>
      <c r="D11" s="1698">
        <v>100</v>
      </c>
      <c r="E11" s="1704"/>
      <c r="F11" s="1698" t="e">
        <f>LOOKUP(E11,80:80,81:81)-LOOKUP(C11,80:80,81:81)+100</f>
        <v>#N/A</v>
      </c>
      <c r="G11" s="1705"/>
      <c r="H11" s="1698" t="e">
        <f>LOOKUP(G11,80:80,81:81)-LOOKUP(C11,80:80,81:81)+100</f>
        <v>#N/A</v>
      </c>
      <c r="I11" s="1704"/>
      <c r="J11" s="1698" t="e">
        <f>LOOKUP(I11,80:80,81:81)-LOOKUP(C11,80:80,81:81)+100</f>
        <v>#N/A</v>
      </c>
      <c r="K11" s="1971"/>
      <c r="L11" s="2998"/>
      <c r="M11" s="2995"/>
      <c r="N11" s="2995"/>
      <c r="O11" s="3043"/>
      <c r="P11" s="3447"/>
      <c r="Q11" s="1635" t="str">
        <f t="shared" si="6"/>
        <v>容积率</v>
      </c>
      <c r="R11" s="1681" t="s">
        <v>25</v>
      </c>
      <c r="S11" s="1682" t="e">
        <f t="shared" si="0"/>
        <v>#N/A</v>
      </c>
      <c r="T11" s="1681" t="s">
        <v>25</v>
      </c>
      <c r="U11" s="1682" t="e">
        <f t="shared" si="1"/>
        <v>#N/A</v>
      </c>
      <c r="V11" s="1681" t="s">
        <v>25</v>
      </c>
      <c r="W11" s="1682" t="e">
        <f t="shared" si="2"/>
        <v>#N/A</v>
      </c>
      <c r="X11" s="1683"/>
      <c r="Y11" s="3286"/>
      <c r="Z11" s="1694" t="str">
        <f t="shared" si="7"/>
        <v>容积率</v>
      </c>
      <c r="AA11" s="1684" t="e">
        <f t="shared" si="3"/>
        <v>#N/A</v>
      </c>
      <c r="AB11" s="1684" t="e">
        <f t="shared" si="4"/>
        <v>#N/A</v>
      </c>
      <c r="AC11" s="1684" t="e">
        <f t="shared" si="5"/>
        <v>#N/A</v>
      </c>
    </row>
    <row r="12" spans="1:30" s="1685" customFormat="1" ht="15">
      <c r="A12" s="1706"/>
      <c r="B12" s="1707" t="s">
        <v>2446</v>
      </c>
      <c r="C12" s="1708"/>
      <c r="D12" s="1709">
        <v>100</v>
      </c>
      <c r="E12" s="1760"/>
      <c r="F12" s="1698">
        <f>SUMIF(82:82,E12,83:83)-SUMIF(82:82,C12,83:83)+100</f>
        <v>100</v>
      </c>
      <c r="G12" s="1758"/>
      <c r="H12" s="1698">
        <f>SUMIF(82:82,G12,83:83)-SUMIF(82:82,C12,83:83)+100</f>
        <v>100</v>
      </c>
      <c r="I12" s="1760"/>
      <c r="J12" s="1698">
        <f>SUMIF(82:82,I12,83:83)-SUMIF(82:82,C12,83:83)+100</f>
        <v>100</v>
      </c>
      <c r="K12" s="1970"/>
      <c r="L12" s="2994"/>
      <c r="M12" s="2967"/>
      <c r="N12" s="2967"/>
      <c r="O12" s="3041"/>
      <c r="P12" s="3447"/>
      <c r="Q12" s="1635" t="str">
        <f t="shared" si="6"/>
        <v>配建</v>
      </c>
      <c r="R12" s="1681" t="s">
        <v>25</v>
      </c>
      <c r="S12" s="1682">
        <f t="shared" si="0"/>
        <v>100</v>
      </c>
      <c r="T12" s="1681" t="s">
        <v>25</v>
      </c>
      <c r="U12" s="1682">
        <f t="shared" si="1"/>
        <v>100</v>
      </c>
      <c r="V12" s="1681" t="s">
        <v>25</v>
      </c>
      <c r="W12" s="1682">
        <f t="shared" si="2"/>
        <v>100</v>
      </c>
      <c r="X12" s="1683"/>
      <c r="Y12" s="3286"/>
      <c r="Z12" s="1694" t="str">
        <f t="shared" si="7"/>
        <v>配建</v>
      </c>
      <c r="AA12" s="1684">
        <f>D12/F12</f>
        <v>1</v>
      </c>
      <c r="AB12" s="1684">
        <f>D12/H12</f>
        <v>1</v>
      </c>
      <c r="AC12" s="1684">
        <f>D12/J12</f>
        <v>1</v>
      </c>
    </row>
    <row r="13" spans="1:30" ht="15">
      <c r="A13" s="1703"/>
      <c r="B13" s="1707">
        <v>111</v>
      </c>
      <c r="C13" s="1711"/>
      <c r="D13" s="1712">
        <v>100</v>
      </c>
      <c r="E13" s="1868"/>
      <c r="F13" s="1698">
        <f>SUMIF(84:84,E13,85:85)-SUMIF(84:84,C13,85:85)+100</f>
        <v>100</v>
      </c>
      <c r="G13" s="1972"/>
      <c r="H13" s="1712">
        <f>SUMIF(84:84,G13,85:85)-SUMIF(84:84,C13,85:85)+100</f>
        <v>100</v>
      </c>
      <c r="I13" s="1972"/>
      <c r="J13" s="1712">
        <f>SUMIF(84:84,I13,85:85)-SUMIF(84:84,C13,85:85)+100</f>
        <v>100</v>
      </c>
      <c r="K13" s="1970"/>
      <c r="L13" s="2999"/>
      <c r="M13" s="2995"/>
      <c r="N13" s="2995"/>
      <c r="O13" s="3043"/>
      <c r="P13" s="3447"/>
      <c r="Q13" s="1635">
        <f t="shared" si="6"/>
        <v>111</v>
      </c>
      <c r="R13" s="1681" t="s">
        <v>25</v>
      </c>
      <c r="S13" s="1682">
        <f t="shared" si="0"/>
        <v>100</v>
      </c>
      <c r="T13" s="1681" t="s">
        <v>25</v>
      </c>
      <c r="U13" s="1682">
        <f t="shared" si="1"/>
        <v>100</v>
      </c>
      <c r="V13" s="1681" t="s">
        <v>25</v>
      </c>
      <c r="W13" s="1682">
        <f t="shared" si="2"/>
        <v>100</v>
      </c>
      <c r="X13" s="1683"/>
      <c r="Y13" s="3286"/>
      <c r="Z13" s="1694">
        <f t="shared" si="7"/>
        <v>111</v>
      </c>
      <c r="AA13" s="1684">
        <f>D13/F13</f>
        <v>1</v>
      </c>
      <c r="AB13" s="1684">
        <f>D13/H13</f>
        <v>1</v>
      </c>
      <c r="AC13" s="1684">
        <f>D13/J13</f>
        <v>1</v>
      </c>
    </row>
    <row r="14" spans="1:30" ht="15.75" thickBot="1">
      <c r="A14" s="1713"/>
      <c r="B14" s="1714">
        <v>111</v>
      </c>
      <c r="C14" s="1715"/>
      <c r="D14" s="1716">
        <v>100</v>
      </c>
      <c r="E14" s="1868"/>
      <c r="F14" s="1716">
        <f>SUMIF(86:86,E14,87:87)-SUMIF(86:86,C14,87:87)+100</f>
        <v>100</v>
      </c>
      <c r="G14" s="1972"/>
      <c r="H14" s="1716">
        <f>SUMIF(86:86,G14,87:87)-SUMIF(86:86,C14,87:87)+100</f>
        <v>100</v>
      </c>
      <c r="I14" s="1972"/>
      <c r="J14" s="1716">
        <f>SUMIF(86:86,I14,87:87)-SUMIF(86:86,C14,87:87)+100</f>
        <v>100</v>
      </c>
      <c r="K14" s="1970"/>
      <c r="L14" s="2999"/>
      <c r="M14" s="2995"/>
      <c r="N14" s="2995"/>
      <c r="O14" s="3043"/>
      <c r="P14" s="3447"/>
      <c r="Q14" s="1635">
        <f t="shared" si="6"/>
        <v>111</v>
      </c>
      <c r="R14" s="1681" t="s">
        <v>25</v>
      </c>
      <c r="S14" s="1682">
        <f t="shared" si="0"/>
        <v>100</v>
      </c>
      <c r="T14" s="1681" t="s">
        <v>25</v>
      </c>
      <c r="U14" s="1682">
        <f t="shared" si="1"/>
        <v>100</v>
      </c>
      <c r="V14" s="1681" t="s">
        <v>25</v>
      </c>
      <c r="W14" s="1682">
        <f t="shared" si="2"/>
        <v>100</v>
      </c>
      <c r="X14" s="1683"/>
      <c r="Y14" s="3286"/>
      <c r="Z14" s="1694">
        <f t="shared" si="7"/>
        <v>111</v>
      </c>
      <c r="AA14" s="1684">
        <f>D14/F14</f>
        <v>1</v>
      </c>
      <c r="AB14" s="1684">
        <f>D14/H14</f>
        <v>1</v>
      </c>
      <c r="AC14" s="1684">
        <f>D14/J14</f>
        <v>1</v>
      </c>
    </row>
    <row r="15" spans="1:30" ht="99.75">
      <c r="A15" s="1663" t="s">
        <v>2269</v>
      </c>
      <c r="B15" s="1973" t="s">
        <v>1704</v>
      </c>
      <c r="C15" s="1974" t="str">
        <f>估价对象房地状况!C15</f>
        <v>估价对象周边居住用地比例、居住小区规模和社区发展完善程度，综合评价居住社区成熟度一般</v>
      </c>
      <c r="D15" s="1721">
        <v>100</v>
      </c>
      <c r="E15" s="1722"/>
      <c r="F15" s="1721">
        <f>SUMIF(88:88,E16,89:89)-SUMIF(88:88,C16,89:89)+100</f>
        <v>100</v>
      </c>
      <c r="G15" s="1722"/>
      <c r="H15" s="1721">
        <f>SUMIF(88:88,G16,89:89)-SUMIF(88:88,C16,89:89)+100</f>
        <v>100</v>
      </c>
      <c r="I15" s="1724"/>
      <c r="J15" s="1721">
        <f>SUMIF(88:88,I16,89:89)-SUMIF(88:88,C16,89:89)+100</f>
        <v>100</v>
      </c>
      <c r="K15" s="1971"/>
      <c r="L15" s="2999"/>
      <c r="M15" s="2995"/>
      <c r="N15" s="2995"/>
      <c r="O15" s="3043"/>
      <c r="P15" s="3450" t="s">
        <v>2270</v>
      </c>
      <c r="Q15" s="1616" t="str">
        <f t="shared" si="6"/>
        <v>居住社区成熟度</v>
      </c>
      <c r="R15" s="1726" t="s">
        <v>25</v>
      </c>
      <c r="S15" s="1727">
        <f t="shared" si="0"/>
        <v>100</v>
      </c>
      <c r="T15" s="1726" t="s">
        <v>25</v>
      </c>
      <c r="U15" s="1727">
        <f t="shared" si="1"/>
        <v>100</v>
      </c>
      <c r="V15" s="1726" t="s">
        <v>25</v>
      </c>
      <c r="W15" s="1727">
        <f t="shared" si="2"/>
        <v>100</v>
      </c>
      <c r="X15" s="1666"/>
      <c r="Y15" s="3450" t="s">
        <v>2270</v>
      </c>
      <c r="Z15" s="1728" t="str">
        <f t="shared" si="7"/>
        <v>居住社区成熟度</v>
      </c>
      <c r="AA15" s="1729">
        <f t="shared" si="3"/>
        <v>1</v>
      </c>
      <c r="AB15" s="1729">
        <f t="shared" si="4"/>
        <v>1</v>
      </c>
      <c r="AC15" s="1729">
        <f t="shared" si="5"/>
        <v>1</v>
      </c>
    </row>
    <row r="16" spans="1:30" ht="15">
      <c r="A16" s="1668"/>
      <c r="B16" s="1975"/>
      <c r="C16" s="1976"/>
      <c r="D16" s="1732"/>
      <c r="E16" s="1733"/>
      <c r="F16" s="1732"/>
      <c r="G16" s="1733"/>
      <c r="H16" s="1736"/>
      <c r="I16" s="1735"/>
      <c r="J16" s="1732"/>
      <c r="K16" s="1970"/>
      <c r="L16" s="2999"/>
      <c r="M16" s="2995"/>
      <c r="N16" s="2995"/>
      <c r="O16" s="3043"/>
      <c r="P16" s="3451"/>
      <c r="Q16" s="1616"/>
      <c r="R16" s="1726"/>
      <c r="S16" s="1727"/>
      <c r="T16" s="1726"/>
      <c r="U16" s="1727"/>
      <c r="V16" s="1726"/>
      <c r="W16" s="1727"/>
      <c r="X16" s="1666"/>
      <c r="Y16" s="3451"/>
      <c r="Z16" s="1728"/>
      <c r="AA16" s="1729">
        <v>1</v>
      </c>
      <c r="AB16" s="1729">
        <v>1</v>
      </c>
      <c r="AC16" s="1729">
        <v>1</v>
      </c>
    </row>
    <row r="17" spans="1:29" ht="71.25">
      <c r="A17" s="1668"/>
      <c r="B17" s="1977" t="s">
        <v>2355</v>
      </c>
      <c r="C17" s="1978" t="str">
        <f>估价对象房地状况!C16</f>
        <v>估价对象位于XX商圈，周边商业氛围成熟，人流量大，商业繁华度好</v>
      </c>
      <c r="D17" s="1736">
        <v>100</v>
      </c>
      <c r="E17" s="1740"/>
      <c r="F17" s="1736">
        <f>SUMIF(90:90,E18,91:91)-SUMIF(90:90,C18,91:91)+100</f>
        <v>100</v>
      </c>
      <c r="G17" s="1740"/>
      <c r="H17" s="1743">
        <f>SUMIF(90:90,G18,91:91)-SUMIF(90:90,C18,91:91)+100</f>
        <v>100</v>
      </c>
      <c r="I17" s="1742"/>
      <c r="J17" s="1743">
        <f>SUMIF(90:90,I18,91:91)-SUMIF(90:90,C18,91:91)+100</f>
        <v>100</v>
      </c>
      <c r="K17" s="1971"/>
      <c r="L17" s="2999"/>
      <c r="M17" s="2995"/>
      <c r="N17" s="2995"/>
      <c r="O17" s="3043"/>
      <c r="P17" s="3451"/>
      <c r="Q17" s="1616" t="str">
        <f>B17</f>
        <v>商业繁华度</v>
      </c>
      <c r="R17" s="1726" t="s">
        <v>25</v>
      </c>
      <c r="S17" s="1727">
        <f>F17</f>
        <v>100</v>
      </c>
      <c r="T17" s="1726" t="s">
        <v>25</v>
      </c>
      <c r="U17" s="1727">
        <f>H17</f>
        <v>100</v>
      </c>
      <c r="V17" s="1726" t="s">
        <v>25</v>
      </c>
      <c r="W17" s="1727">
        <f>J17</f>
        <v>100</v>
      </c>
      <c r="X17" s="1666"/>
      <c r="Y17" s="3451"/>
      <c r="Z17" s="1728" t="str">
        <f>Q17</f>
        <v>商业繁华度</v>
      </c>
      <c r="AA17" s="1729">
        <f t="shared" si="3"/>
        <v>1</v>
      </c>
      <c r="AB17" s="1729">
        <f t="shared" si="4"/>
        <v>1</v>
      </c>
      <c r="AC17" s="1729">
        <f t="shared" si="5"/>
        <v>1</v>
      </c>
    </row>
    <row r="18" spans="1:29" ht="15">
      <c r="A18" s="1668"/>
      <c r="B18" s="1979"/>
      <c r="C18" s="1980"/>
      <c r="D18" s="1736"/>
      <c r="E18" s="1746"/>
      <c r="F18" s="1736"/>
      <c r="G18" s="1746"/>
      <c r="H18" s="1732"/>
      <c r="I18" s="1747"/>
      <c r="J18" s="1732"/>
      <c r="K18" s="1970"/>
      <c r="L18" s="2999"/>
      <c r="M18" s="2995"/>
      <c r="N18" s="2995"/>
      <c r="O18" s="3043"/>
      <c r="P18" s="3451"/>
      <c r="Q18" s="1616"/>
      <c r="R18" s="1726"/>
      <c r="S18" s="1727"/>
      <c r="T18" s="1726"/>
      <c r="U18" s="1727"/>
      <c r="V18" s="1726"/>
      <c r="W18" s="1727"/>
      <c r="X18" s="1666"/>
      <c r="Y18" s="3451"/>
      <c r="Z18" s="1728"/>
      <c r="AA18" s="1729">
        <v>1</v>
      </c>
      <c r="AB18" s="1729">
        <v>1</v>
      </c>
      <c r="AC18" s="1729">
        <v>1</v>
      </c>
    </row>
    <row r="19" spans="1:29" ht="71.25">
      <c r="A19" s="1668"/>
      <c r="B19" s="1977" t="s">
        <v>2384</v>
      </c>
      <c r="C19" s="1978" t="str">
        <f>估价对象房地状况!C17</f>
        <v>估价对象位于XX商圈，周边办公楼项目较多，入驻率高，办公集聚程度较好</v>
      </c>
      <c r="D19" s="1743">
        <v>100</v>
      </c>
      <c r="E19" s="1748"/>
      <c r="F19" s="1743">
        <f>SUMIF(92:92,E20,93:93)-SUMIF(92:92,C20,93:93)+100</f>
        <v>100</v>
      </c>
      <c r="G19" s="1748"/>
      <c r="H19" s="1736">
        <f>SUMIF(92:92,G20,93:93)-SUMIF(92:92,C20,93:93)+100</f>
        <v>100</v>
      </c>
      <c r="I19" s="1750"/>
      <c r="J19" s="1736">
        <f>SUMIF(92:92,I20,93:93)-SUMIF(92:92,C20,93:93)+100</f>
        <v>100</v>
      </c>
      <c r="K19" s="1971"/>
      <c r="L19" s="2999"/>
      <c r="M19" s="2995"/>
      <c r="N19" s="2995"/>
      <c r="O19" s="3043"/>
      <c r="P19" s="3451"/>
      <c r="Q19" s="1616" t="str">
        <f>B19</f>
        <v>办公集聚程度</v>
      </c>
      <c r="R19" s="1726" t="s">
        <v>25</v>
      </c>
      <c r="S19" s="1727">
        <f>F19</f>
        <v>100</v>
      </c>
      <c r="T19" s="1726" t="s">
        <v>25</v>
      </c>
      <c r="U19" s="1727">
        <f>H19</f>
        <v>100</v>
      </c>
      <c r="V19" s="1726" t="s">
        <v>25</v>
      </c>
      <c r="W19" s="1727">
        <f>J19</f>
        <v>100</v>
      </c>
      <c r="X19" s="1666"/>
      <c r="Y19" s="3451"/>
      <c r="Z19" s="1728" t="str">
        <f>Q19</f>
        <v>办公集聚程度</v>
      </c>
      <c r="AA19" s="1729">
        <f t="shared" si="3"/>
        <v>1</v>
      </c>
      <c r="AB19" s="1729">
        <f t="shared" si="4"/>
        <v>1</v>
      </c>
      <c r="AC19" s="1729">
        <f t="shared" si="5"/>
        <v>1</v>
      </c>
    </row>
    <row r="20" spans="1:29" ht="15">
      <c r="A20" s="1668"/>
      <c r="B20" s="1979"/>
      <c r="C20" s="1976"/>
      <c r="D20" s="1732"/>
      <c r="E20" s="1733"/>
      <c r="F20" s="1732"/>
      <c r="G20" s="1733"/>
      <c r="H20" s="1732"/>
      <c r="I20" s="1735"/>
      <c r="J20" s="1732"/>
      <c r="K20" s="1970"/>
      <c r="L20" s="2999"/>
      <c r="M20" s="2995"/>
      <c r="N20" s="2995"/>
      <c r="O20" s="3043"/>
      <c r="P20" s="3451"/>
      <c r="Q20" s="1616"/>
      <c r="R20" s="1726"/>
      <c r="S20" s="1727"/>
      <c r="T20" s="1726"/>
      <c r="U20" s="1727"/>
      <c r="V20" s="1726"/>
      <c r="W20" s="1727"/>
      <c r="X20" s="1666"/>
      <c r="Y20" s="3451"/>
      <c r="Z20" s="1728"/>
      <c r="AA20" s="1729">
        <v>1</v>
      </c>
      <c r="AB20" s="1729">
        <v>1</v>
      </c>
      <c r="AC20" s="1729">
        <v>1</v>
      </c>
    </row>
    <row r="21" spans="1:29" ht="85.5">
      <c r="A21" s="1668"/>
      <c r="B21" s="1977" t="s">
        <v>2407</v>
      </c>
      <c r="C21" s="1981" t="str">
        <f>估价对象房地状况!C18</f>
        <v>估价对象周边道路状况、公共交通通达情况、停车便捷程度，综合评价交通便捷度较好</v>
      </c>
      <c r="D21" s="1736">
        <v>100</v>
      </c>
      <c r="E21" s="1740"/>
      <c r="F21" s="1743">
        <f>SUMIF(94:94,E22,95:95)-SUMIF(94:94,C22,95:95)+100</f>
        <v>100</v>
      </c>
      <c r="G21" s="1740"/>
      <c r="H21" s="1736">
        <f>SUMIF(94:94,G22,95:95)-SUMIF(94:94,C22,95:95)+100</f>
        <v>100</v>
      </c>
      <c r="I21" s="1742"/>
      <c r="J21" s="1736">
        <f>SUMIF(94:94,I22,95:95)-SUMIF(94:94,C22,95:95)+100</f>
        <v>100</v>
      </c>
      <c r="K21" s="1971"/>
      <c r="L21" s="2999"/>
      <c r="M21" s="2995"/>
      <c r="N21" s="2995"/>
      <c r="O21" s="3043"/>
      <c r="P21" s="3451"/>
      <c r="Q21" s="1616" t="str">
        <f>B21</f>
        <v>交通便捷度</v>
      </c>
      <c r="R21" s="1726" t="s">
        <v>25</v>
      </c>
      <c r="S21" s="1727">
        <f>F21</f>
        <v>100</v>
      </c>
      <c r="T21" s="1726" t="s">
        <v>25</v>
      </c>
      <c r="U21" s="1727">
        <f>H21</f>
        <v>100</v>
      </c>
      <c r="V21" s="1726" t="s">
        <v>25</v>
      </c>
      <c r="W21" s="1727">
        <f>J21</f>
        <v>100</v>
      </c>
      <c r="X21" s="1666"/>
      <c r="Y21" s="3451"/>
      <c r="Z21" s="1728" t="str">
        <f>Q21</f>
        <v>交通便捷度</v>
      </c>
      <c r="AA21" s="1729">
        <f t="shared" si="3"/>
        <v>1</v>
      </c>
      <c r="AB21" s="1729">
        <f t="shared" si="4"/>
        <v>1</v>
      </c>
      <c r="AC21" s="1729">
        <f t="shared" si="5"/>
        <v>1</v>
      </c>
    </row>
    <row r="22" spans="1:29" ht="15">
      <c r="A22" s="1668"/>
      <c r="B22" s="1982"/>
      <c r="C22" s="1976"/>
      <c r="D22" s="1736"/>
      <c r="E22" s="1733"/>
      <c r="F22" s="1732"/>
      <c r="G22" s="1733"/>
      <c r="H22" s="1732"/>
      <c r="I22" s="1735"/>
      <c r="J22" s="1732"/>
      <c r="K22" s="1970"/>
      <c r="L22" s="2999"/>
      <c r="M22" s="2995"/>
      <c r="N22" s="2995"/>
      <c r="O22" s="3043"/>
      <c r="P22" s="3451"/>
      <c r="Q22" s="1616"/>
      <c r="R22" s="1726"/>
      <c r="S22" s="1727"/>
      <c r="T22" s="1726"/>
      <c r="U22" s="1727"/>
      <c r="V22" s="1726"/>
      <c r="W22" s="1727"/>
      <c r="X22" s="1666"/>
      <c r="Y22" s="3451"/>
      <c r="Z22" s="1728"/>
      <c r="AA22" s="1729">
        <v>1</v>
      </c>
      <c r="AB22" s="1729">
        <v>1</v>
      </c>
      <c r="AC22" s="1729">
        <v>1</v>
      </c>
    </row>
    <row r="23" spans="1:29" ht="15">
      <c r="A23" s="1668"/>
      <c r="B23" s="1458" t="s">
        <v>2447</v>
      </c>
      <c r="C23" s="1983">
        <f>估价对象房地状况!C19</f>
        <v>0</v>
      </c>
      <c r="D23" s="1743">
        <v>100</v>
      </c>
      <c r="E23" s="1740"/>
      <c r="F23" s="1743">
        <f>SUMIF(96:96,E24,97:97)-SUMIF(96:96,C24,97:97)+100</f>
        <v>100</v>
      </c>
      <c r="G23" s="1742"/>
      <c r="H23" s="1743">
        <f>SUMIF(96:96,G24,97:97)-SUMIF(96:96,C24,97:97)+100</f>
        <v>100</v>
      </c>
      <c r="I23" s="1742"/>
      <c r="J23" s="1743">
        <f>SUMIF(96:96,I24,97:97)-SUMIF(96:96,C24,97:97)+100</f>
        <v>100</v>
      </c>
      <c r="K23" s="1971"/>
      <c r="L23" s="2999"/>
      <c r="M23" s="2995"/>
      <c r="N23" s="2995"/>
      <c r="O23" s="3043"/>
      <c r="P23" s="3451"/>
      <c r="Q23" s="1616" t="str">
        <f t="shared" ref="Q23:Q37" si="8">B23</f>
        <v>区域土地利用方向</v>
      </c>
      <c r="R23" s="1726" t="s">
        <v>25</v>
      </c>
      <c r="S23" s="1727">
        <f>F23</f>
        <v>100</v>
      </c>
      <c r="T23" s="1726" t="s">
        <v>25</v>
      </c>
      <c r="U23" s="1727">
        <f>H23</f>
        <v>100</v>
      </c>
      <c r="V23" s="1726" t="s">
        <v>25</v>
      </c>
      <c r="W23" s="1727">
        <f>J23</f>
        <v>100</v>
      </c>
      <c r="X23" s="1666"/>
      <c r="Y23" s="3451"/>
      <c r="Z23" s="1728" t="str">
        <f>Q23</f>
        <v>区域土地利用方向</v>
      </c>
      <c r="AA23" s="1729">
        <f t="shared" si="3"/>
        <v>1</v>
      </c>
      <c r="AB23" s="1729">
        <f t="shared" si="4"/>
        <v>1</v>
      </c>
      <c r="AC23" s="1729">
        <f t="shared" si="5"/>
        <v>1</v>
      </c>
    </row>
    <row r="24" spans="1:29" ht="15">
      <c r="A24" s="1668"/>
      <c r="B24" s="1459"/>
      <c r="C24" s="1984"/>
      <c r="D24" s="1732"/>
      <c r="E24" s="1733"/>
      <c r="F24" s="1732"/>
      <c r="G24" s="1735"/>
      <c r="H24" s="1732"/>
      <c r="I24" s="1735"/>
      <c r="J24" s="1732"/>
      <c r="K24" s="1985"/>
      <c r="L24" s="2999"/>
      <c r="M24" s="2995"/>
      <c r="N24" s="2995"/>
      <c r="O24" s="3043"/>
      <c r="P24" s="3451"/>
      <c r="Q24" s="1616"/>
      <c r="R24" s="1726"/>
      <c r="S24" s="1727"/>
      <c r="T24" s="1726"/>
      <c r="U24" s="1727"/>
      <c r="V24" s="1726"/>
      <c r="W24" s="1727"/>
      <c r="X24" s="1666"/>
      <c r="Y24" s="3451"/>
      <c r="Z24" s="1728"/>
      <c r="AA24" s="1729"/>
      <c r="AB24" s="1729"/>
      <c r="AC24" s="1729"/>
    </row>
    <row r="25" spans="1:29" ht="57">
      <c r="A25" s="1668"/>
      <c r="B25" s="1982" t="s">
        <v>2448</v>
      </c>
      <c r="C25" s="1978" t="str">
        <f>估价对象房地状况!C20</f>
        <v>区域自然环境：；人文环境；综合评价环境状况一般</v>
      </c>
      <c r="D25" s="1736">
        <v>100</v>
      </c>
      <c r="E25" s="1740"/>
      <c r="F25" s="1736">
        <f>SUMIF(98:98,E26,99:99)-SUMIF(98:98,C26,99:99)+100</f>
        <v>100</v>
      </c>
      <c r="G25" s="1740"/>
      <c r="H25" s="1736">
        <f>SUMIF(98:98,G26,99:99)-SUMIF(98:98,C26,99:99)+100</f>
        <v>100</v>
      </c>
      <c r="I25" s="1742"/>
      <c r="J25" s="1736">
        <f>SUMIF(98:98,I26,99:99)-SUMIF(98:98,C26,99:99)+100</f>
        <v>100</v>
      </c>
      <c r="K25" s="1971"/>
      <c r="L25" s="2999"/>
      <c r="M25" s="2995"/>
      <c r="N25" s="2995"/>
      <c r="O25" s="3043"/>
      <c r="P25" s="3451"/>
      <c r="Q25" s="1616" t="str">
        <f t="shared" si="8"/>
        <v>自然及人文环境状况</v>
      </c>
      <c r="R25" s="1726" t="s">
        <v>25</v>
      </c>
      <c r="S25" s="1727">
        <f>F25</f>
        <v>100</v>
      </c>
      <c r="T25" s="1726" t="s">
        <v>25</v>
      </c>
      <c r="U25" s="1727">
        <f>H25</f>
        <v>100</v>
      </c>
      <c r="V25" s="1726" t="s">
        <v>25</v>
      </c>
      <c r="W25" s="1727">
        <f>J25</f>
        <v>100</v>
      </c>
      <c r="X25" s="1666"/>
      <c r="Y25" s="3451"/>
      <c r="Z25" s="1728" t="str">
        <f>Q25</f>
        <v>自然及人文环境状况</v>
      </c>
      <c r="AA25" s="1729">
        <f t="shared" si="3"/>
        <v>1</v>
      </c>
      <c r="AB25" s="1729">
        <f t="shared" si="4"/>
        <v>1</v>
      </c>
      <c r="AC25" s="1729">
        <f t="shared" si="5"/>
        <v>1</v>
      </c>
    </row>
    <row r="26" spans="1:29" ht="15">
      <c r="A26" s="1668"/>
      <c r="B26" s="1979"/>
      <c r="C26" s="1976"/>
      <c r="D26" s="1732"/>
      <c r="E26" s="1976"/>
      <c r="F26" s="1732"/>
      <c r="G26" s="1976"/>
      <c r="H26" s="1732"/>
      <c r="I26" s="1731"/>
      <c r="J26" s="1732"/>
      <c r="K26" s="1970"/>
      <c r="L26" s="2999"/>
      <c r="M26" s="2995"/>
      <c r="N26" s="2995"/>
      <c r="O26" s="3043"/>
      <c r="P26" s="3451"/>
      <c r="Q26" s="1616"/>
      <c r="R26" s="1726"/>
      <c r="S26" s="1727"/>
      <c r="T26" s="1726"/>
      <c r="U26" s="1727"/>
      <c r="V26" s="1726"/>
      <c r="W26" s="1727"/>
      <c r="X26" s="1666"/>
      <c r="Y26" s="3451"/>
      <c r="Z26" s="1728"/>
      <c r="AA26" s="1729">
        <v>1</v>
      </c>
      <c r="AB26" s="1729">
        <v>1</v>
      </c>
      <c r="AC26" s="1729">
        <v>1</v>
      </c>
    </row>
    <row r="27" spans="1:29" ht="42.75">
      <c r="A27" s="1668"/>
      <c r="B27" s="1982" t="s">
        <v>2356</v>
      </c>
      <c r="C27" s="1981" t="str">
        <f>估价对象房地状况!C21</f>
        <v>估价对象所在区域公共配套设施齐备情况</v>
      </c>
      <c r="D27" s="1736">
        <v>100</v>
      </c>
      <c r="E27" s="1740"/>
      <c r="F27" s="1736">
        <f>SUMIF(100:100,E28,101:101)-SUMIF(100:100,C28,101:101)+100</f>
        <v>100</v>
      </c>
      <c r="G27" s="1740"/>
      <c r="H27" s="1736">
        <f>SUMIF(100:100,G28,101:101)-SUMIF(100:100,C28,101:101)+100</f>
        <v>100</v>
      </c>
      <c r="I27" s="1742"/>
      <c r="J27" s="1736">
        <f>SUMIF(100:100,I28,101:101)-SUMIF(100:100,C28,101:101)+100</f>
        <v>100</v>
      </c>
      <c r="K27" s="1986"/>
      <c r="L27" s="2999"/>
      <c r="M27" s="2995"/>
      <c r="N27" s="2995"/>
      <c r="O27" s="3043"/>
      <c r="P27" s="3451"/>
      <c r="Q27" s="1635" t="str">
        <f t="shared" ref="Q27" si="9">B27</f>
        <v>公共配套设施</v>
      </c>
      <c r="R27" s="1681" t="s">
        <v>25</v>
      </c>
      <c r="S27" s="1682">
        <f>F27</f>
        <v>100</v>
      </c>
      <c r="T27" s="1681" t="s">
        <v>25</v>
      </c>
      <c r="U27" s="1682">
        <f>H27</f>
        <v>100</v>
      </c>
      <c r="V27" s="1681" t="s">
        <v>25</v>
      </c>
      <c r="W27" s="1682">
        <f>J27</f>
        <v>100</v>
      </c>
      <c r="X27" s="1666"/>
      <c r="Y27" s="3451"/>
      <c r="Z27" s="1694" t="str">
        <f>Q27</f>
        <v>公共配套设施</v>
      </c>
      <c r="AA27" s="1729">
        <f>D27/F27</f>
        <v>1</v>
      </c>
      <c r="AB27" s="1729">
        <f>D27/H27</f>
        <v>1</v>
      </c>
      <c r="AC27" s="1729">
        <f>D27/J27</f>
        <v>1</v>
      </c>
    </row>
    <row r="28" spans="1:29" ht="15">
      <c r="A28" s="1668"/>
      <c r="B28" s="1979"/>
      <c r="C28" s="1987"/>
      <c r="D28" s="1732"/>
      <c r="E28" s="1987"/>
      <c r="F28" s="1732"/>
      <c r="G28" s="1987"/>
      <c r="H28" s="1732"/>
      <c r="I28" s="1987"/>
      <c r="J28" s="1732"/>
      <c r="K28" s="1970"/>
      <c r="L28" s="2999"/>
      <c r="M28" s="2995"/>
      <c r="N28" s="2995"/>
      <c r="O28" s="3043"/>
      <c r="P28" s="3451"/>
      <c r="Q28" s="1616"/>
      <c r="R28" s="1726"/>
      <c r="S28" s="1727"/>
      <c r="T28" s="1726"/>
      <c r="U28" s="1727"/>
      <c r="V28" s="1726"/>
      <c r="W28" s="1727"/>
      <c r="X28" s="1666"/>
      <c r="Y28" s="3451"/>
      <c r="Z28" s="1694"/>
      <c r="AA28" s="1729">
        <v>1</v>
      </c>
      <c r="AB28" s="1729">
        <v>1</v>
      </c>
      <c r="AC28" s="1729">
        <v>1</v>
      </c>
    </row>
    <row r="29" spans="1:29" s="1685" customFormat="1" ht="28.5">
      <c r="A29" s="1988"/>
      <c r="B29" s="1982" t="s">
        <v>2357</v>
      </c>
      <c r="C29" s="1989" t="str">
        <f>估价对象房地状况!C22</f>
        <v>估价对象所在区域基础设施水平</v>
      </c>
      <c r="D29" s="1736">
        <v>100</v>
      </c>
      <c r="E29" s="1740"/>
      <c r="F29" s="1736">
        <f>SUMIF(102:102,E30,103:103)-SUMIF(102:102,C30,103:103)+100</f>
        <v>100</v>
      </c>
      <c r="G29" s="1740"/>
      <c r="H29" s="1736">
        <f>SUMIF(102:102,G30,103:103)-SUMIF(102:102,C30,103:103)+100</f>
        <v>100</v>
      </c>
      <c r="I29" s="1742"/>
      <c r="J29" s="1736">
        <f>SUMIF(102:102,I30,103:103)-SUMIF(102:102,C30,103:103)+100</f>
        <v>100</v>
      </c>
      <c r="K29" s="1986"/>
      <c r="L29" s="2994"/>
      <c r="M29" s="2967"/>
      <c r="N29" s="2967"/>
      <c r="O29" s="3041"/>
      <c r="P29" s="3451"/>
      <c r="Q29" s="1635" t="str">
        <f t="shared" si="8"/>
        <v>基础设施水平</v>
      </c>
      <c r="R29" s="1681" t="s">
        <v>25</v>
      </c>
      <c r="S29" s="1682">
        <f>F29</f>
        <v>100</v>
      </c>
      <c r="T29" s="1681" t="s">
        <v>25</v>
      </c>
      <c r="U29" s="1682">
        <f>H29</f>
        <v>100</v>
      </c>
      <c r="V29" s="1681" t="s">
        <v>25</v>
      </c>
      <c r="W29" s="1682">
        <f>J29</f>
        <v>100</v>
      </c>
      <c r="X29" s="1683"/>
      <c r="Y29" s="3451"/>
      <c r="Z29" s="1694" t="str">
        <f>Q29</f>
        <v>基础设施水平</v>
      </c>
      <c r="AA29" s="1729">
        <f>D29/F29</f>
        <v>1</v>
      </c>
      <c r="AB29" s="1729">
        <f>D29/H29</f>
        <v>1</v>
      </c>
      <c r="AC29" s="1729">
        <f>D29/J29</f>
        <v>1</v>
      </c>
    </row>
    <row r="30" spans="1:29" s="1685" customFormat="1" ht="15">
      <c r="A30" s="1988"/>
      <c r="B30" s="1979"/>
      <c r="C30" s="1987"/>
      <c r="D30" s="1732"/>
      <c r="E30" s="1987"/>
      <c r="F30" s="1732"/>
      <c r="G30" s="1987"/>
      <c r="H30" s="1732"/>
      <c r="I30" s="1987"/>
      <c r="J30" s="1732"/>
      <c r="K30" s="1970"/>
      <c r="L30" s="2994"/>
      <c r="M30" s="2967"/>
      <c r="N30" s="2967"/>
      <c r="O30" s="3041"/>
      <c r="P30" s="3451"/>
      <c r="Q30" s="1635"/>
      <c r="R30" s="1681"/>
      <c r="S30" s="1682"/>
      <c r="T30" s="1681"/>
      <c r="U30" s="1682"/>
      <c r="V30" s="1681"/>
      <c r="W30" s="1682"/>
      <c r="X30" s="1683"/>
      <c r="Y30" s="3451"/>
      <c r="Z30" s="1694"/>
      <c r="AA30" s="1729">
        <v>1</v>
      </c>
      <c r="AB30" s="1729">
        <v>1</v>
      </c>
      <c r="AC30" s="1729">
        <v>1</v>
      </c>
    </row>
    <row r="31" spans="1:29" ht="15">
      <c r="A31" s="1668"/>
      <c r="B31" s="1979" t="s">
        <v>2358</v>
      </c>
      <c r="C31" s="1984"/>
      <c r="D31" s="1712">
        <v>100</v>
      </c>
      <c r="E31" s="1984"/>
      <c r="F31" s="1712">
        <f>SUMIF(104:104,E31,105:105)-SUMIF(104:104,C31,105:105)+100</f>
        <v>100</v>
      </c>
      <c r="G31" s="1984"/>
      <c r="H31" s="1712">
        <f>SUMIF(104:104,G31,105:105)-SUMIF(104:104,C31,105:105)+100</f>
        <v>100</v>
      </c>
      <c r="I31" s="1984"/>
      <c r="J31" s="1712">
        <f>SUMIF(104:104,I31,105:105)-SUMIF(104:104,C31,105:105)+100</f>
        <v>100</v>
      </c>
      <c r="K31" s="1971"/>
      <c r="L31" s="2999"/>
      <c r="M31" s="2995"/>
      <c r="N31" s="2995"/>
      <c r="O31" s="3043"/>
      <c r="P31" s="3451"/>
      <c r="Q31" s="1616" t="str">
        <f t="shared" si="8"/>
        <v>临街状况</v>
      </c>
      <c r="R31" s="1726" t="s">
        <v>25</v>
      </c>
      <c r="S31" s="1727">
        <f t="shared" ref="S31:S45" si="10">F31</f>
        <v>100</v>
      </c>
      <c r="T31" s="1726" t="s">
        <v>25</v>
      </c>
      <c r="U31" s="1727">
        <f t="shared" ref="U31:U45" si="11">H31</f>
        <v>100</v>
      </c>
      <c r="V31" s="1726" t="s">
        <v>25</v>
      </c>
      <c r="W31" s="1727">
        <f t="shared" ref="W31:W45" si="12">J31</f>
        <v>100</v>
      </c>
      <c r="X31" s="1666"/>
      <c r="Y31" s="3451"/>
      <c r="Z31" s="1728" t="str">
        <f t="shared" ref="Z31:Z45" si="13">Q31</f>
        <v>临街状况</v>
      </c>
      <c r="AA31" s="1729">
        <f t="shared" si="3"/>
        <v>1</v>
      </c>
      <c r="AB31" s="1729">
        <f t="shared" si="4"/>
        <v>1</v>
      </c>
      <c r="AC31" s="1729">
        <f t="shared" si="5"/>
        <v>1</v>
      </c>
    </row>
    <row r="32" spans="1:29" ht="27">
      <c r="A32" s="1668"/>
      <c r="B32" s="1982" t="s">
        <v>2388</v>
      </c>
      <c r="C32" s="1740"/>
      <c r="D32" s="1736">
        <v>100</v>
      </c>
      <c r="E32" s="1740"/>
      <c r="F32" s="1736">
        <f>SUMIF(106:106,E33,107:107)-SUMIF(106:106,C33,107:107)+100</f>
        <v>100</v>
      </c>
      <c r="G32" s="1740"/>
      <c r="H32" s="1736">
        <f>SUMIF(106:106,G33,107:107)-SUMIF(106:106,C33,107:107)+100</f>
        <v>100</v>
      </c>
      <c r="I32" s="1742"/>
      <c r="J32" s="1736">
        <f>SUMIF(106:106,I33,107:107)-SUMIF(106:106,C33,107:107)+100</f>
        <v>100</v>
      </c>
      <c r="K32" s="1971"/>
      <c r="L32" s="2999"/>
      <c r="M32" s="2995"/>
      <c r="N32" s="2995"/>
      <c r="O32" s="3043"/>
      <c r="P32" s="3451"/>
      <c r="Q32" s="1616" t="str">
        <f t="shared" si="8"/>
        <v>毗邻道路的类型与等级</v>
      </c>
      <c r="R32" s="1726" t="s">
        <v>25</v>
      </c>
      <c r="S32" s="1727">
        <f t="shared" si="10"/>
        <v>100</v>
      </c>
      <c r="T32" s="1726" t="s">
        <v>25</v>
      </c>
      <c r="U32" s="1727">
        <f t="shared" si="11"/>
        <v>100</v>
      </c>
      <c r="V32" s="1726" t="s">
        <v>25</v>
      </c>
      <c r="W32" s="1727">
        <f t="shared" si="12"/>
        <v>100</v>
      </c>
      <c r="X32" s="1666"/>
      <c r="Y32" s="3451"/>
      <c r="Z32" s="1728" t="str">
        <f t="shared" si="13"/>
        <v>毗邻道路的类型与等级</v>
      </c>
      <c r="AA32" s="1729">
        <f t="shared" si="3"/>
        <v>1</v>
      </c>
      <c r="AB32" s="1729">
        <f t="shared" si="4"/>
        <v>1</v>
      </c>
      <c r="AC32" s="1729">
        <f t="shared" si="5"/>
        <v>1</v>
      </c>
    </row>
    <row r="33" spans="1:29" ht="15">
      <c r="A33" s="1668"/>
      <c r="B33" s="1979"/>
      <c r="C33" s="1976"/>
      <c r="D33" s="1732"/>
      <c r="E33" s="1976"/>
      <c r="F33" s="1732"/>
      <c r="G33" s="1976"/>
      <c r="H33" s="1732"/>
      <c r="I33" s="1731"/>
      <c r="J33" s="1732"/>
      <c r="K33" s="1990"/>
      <c r="L33" s="2999"/>
      <c r="M33" s="2995"/>
      <c r="N33" s="2995"/>
      <c r="O33" s="3043"/>
      <c r="P33" s="3451"/>
      <c r="Q33" s="1616"/>
      <c r="R33" s="1726"/>
      <c r="S33" s="1727"/>
      <c r="T33" s="1726"/>
      <c r="U33" s="1727"/>
      <c r="V33" s="1726"/>
      <c r="W33" s="1727"/>
      <c r="X33" s="1666"/>
      <c r="Y33" s="3451"/>
      <c r="Z33" s="1728"/>
      <c r="AA33" s="1729">
        <v>1</v>
      </c>
      <c r="AB33" s="1729">
        <v>1</v>
      </c>
      <c r="AC33" s="1729">
        <v>1</v>
      </c>
    </row>
    <row r="34" spans="1:29" ht="15">
      <c r="A34" s="1668"/>
      <c r="B34" s="1991" t="s">
        <v>2449</v>
      </c>
      <c r="C34" s="1984"/>
      <c r="D34" s="1712">
        <v>100</v>
      </c>
      <c r="E34" s="1984"/>
      <c r="F34" s="1712">
        <f>SUMIF(108:108,E34,109:109)-SUMIF(108:108,C34,109:109)+100</f>
        <v>100</v>
      </c>
      <c r="G34" s="1984"/>
      <c r="H34" s="1712">
        <f>SUMIF(108:108,G34,109:109)-SUMIF(108:108,C34,109:109)+100</f>
        <v>100</v>
      </c>
      <c r="I34" s="1992"/>
      <c r="J34" s="1712">
        <f>SUMIF(108:108,I34,109:109)-SUMIF(108:108,C34,109:109)+100</f>
        <v>100</v>
      </c>
      <c r="K34" s="1993"/>
      <c r="L34" s="2999"/>
      <c r="M34" s="2995"/>
      <c r="N34" s="2995"/>
      <c r="O34" s="3043"/>
      <c r="P34" s="3451"/>
      <c r="Q34" s="1616" t="str">
        <f t="shared" si="8"/>
        <v>土地级别</v>
      </c>
      <c r="R34" s="1726" t="s">
        <v>25</v>
      </c>
      <c r="S34" s="1727">
        <f t="shared" si="10"/>
        <v>100</v>
      </c>
      <c r="T34" s="1726" t="s">
        <v>25</v>
      </c>
      <c r="U34" s="1727">
        <f t="shared" si="11"/>
        <v>100</v>
      </c>
      <c r="V34" s="1726" t="s">
        <v>25</v>
      </c>
      <c r="W34" s="1727">
        <f t="shared" si="12"/>
        <v>100</v>
      </c>
      <c r="X34" s="1666"/>
      <c r="Y34" s="3451"/>
      <c r="Z34" s="1728" t="str">
        <f t="shared" si="13"/>
        <v>土地级别</v>
      </c>
      <c r="AA34" s="1729">
        <f t="shared" si="3"/>
        <v>1</v>
      </c>
      <c r="AB34" s="1729">
        <f t="shared" si="4"/>
        <v>1</v>
      </c>
      <c r="AC34" s="1729">
        <f t="shared" si="5"/>
        <v>1</v>
      </c>
    </row>
    <row r="35" spans="1:29" ht="15">
      <c r="A35" s="1668"/>
      <c r="B35" s="1994">
        <v>111</v>
      </c>
      <c r="C35" s="1780"/>
      <c r="D35" s="1712">
        <v>100</v>
      </c>
      <c r="E35" s="1780"/>
      <c r="F35" s="1712">
        <f>SUMIF(110:110,E35,111:111)-SUMIF(110:110,C35,111:111)+100</f>
        <v>100</v>
      </c>
      <c r="G35" s="1780"/>
      <c r="H35" s="1712">
        <f>SUMIF(110:110,G35,111:111)-SUMIF(110:110,C35,111:111)+100</f>
        <v>100</v>
      </c>
      <c r="I35" s="1972"/>
      <c r="J35" s="1712">
        <f>SUMIF(110:110,I35,111:111)-SUMIF(110:110,C35,111:111)+100</f>
        <v>100</v>
      </c>
      <c r="K35" s="1990"/>
      <c r="L35" s="2999"/>
      <c r="M35" s="2995"/>
      <c r="N35" s="2995"/>
      <c r="O35" s="3043"/>
      <c r="P35" s="3451"/>
      <c r="Q35" s="1616">
        <f t="shared" si="8"/>
        <v>111</v>
      </c>
      <c r="R35" s="1726" t="s">
        <v>25</v>
      </c>
      <c r="S35" s="1727">
        <f t="shared" si="10"/>
        <v>100</v>
      </c>
      <c r="T35" s="1726" t="s">
        <v>25</v>
      </c>
      <c r="U35" s="1727">
        <f t="shared" si="11"/>
        <v>100</v>
      </c>
      <c r="V35" s="1726" t="s">
        <v>25</v>
      </c>
      <c r="W35" s="1727">
        <f t="shared" si="12"/>
        <v>100</v>
      </c>
      <c r="X35" s="1666"/>
      <c r="Y35" s="3451"/>
      <c r="Z35" s="1728">
        <f t="shared" si="13"/>
        <v>111</v>
      </c>
      <c r="AA35" s="1729">
        <f t="shared" si="3"/>
        <v>1</v>
      </c>
      <c r="AB35" s="1729">
        <f t="shared" si="4"/>
        <v>1</v>
      </c>
      <c r="AC35" s="1729">
        <f t="shared" si="5"/>
        <v>1</v>
      </c>
    </row>
    <row r="36" spans="1:29" ht="15">
      <c r="A36" s="1995"/>
      <c r="B36" s="1996">
        <v>111</v>
      </c>
      <c r="C36" s="1780"/>
      <c r="D36" s="1712">
        <v>100</v>
      </c>
      <c r="E36" s="1780"/>
      <c r="F36" s="1712">
        <f>SUMIF(112:112,E37,113:113)-SUMIF(112:112,C37,113:113)+100</f>
        <v>100</v>
      </c>
      <c r="G36" s="1780"/>
      <c r="H36" s="1712">
        <f>SUMIF(112:112,G36,113:113)-SUMIF(112:112,C36,113:113)+100</f>
        <v>100</v>
      </c>
      <c r="I36" s="1972"/>
      <c r="J36" s="1712">
        <f>SUMIF(112:112,I36,113:113)-SUMIF(112:112,C36,113:113)+100</f>
        <v>100</v>
      </c>
      <c r="K36" s="1990"/>
      <c r="L36" s="2999"/>
      <c r="M36" s="2995"/>
      <c r="N36" s="2995"/>
      <c r="O36" s="3043"/>
      <c r="P36" s="3495" t="s">
        <v>2276</v>
      </c>
      <c r="Q36" s="1616">
        <f t="shared" si="8"/>
        <v>111</v>
      </c>
      <c r="R36" s="1726" t="s">
        <v>25</v>
      </c>
      <c r="S36" s="1727">
        <f t="shared" si="10"/>
        <v>100</v>
      </c>
      <c r="T36" s="1726" t="s">
        <v>25</v>
      </c>
      <c r="U36" s="1727">
        <f t="shared" si="11"/>
        <v>100</v>
      </c>
      <c r="V36" s="1726" t="s">
        <v>25</v>
      </c>
      <c r="W36" s="1727">
        <f t="shared" si="12"/>
        <v>100</v>
      </c>
      <c r="X36" s="1666"/>
      <c r="Y36" s="3455" t="s">
        <v>2276</v>
      </c>
      <c r="Z36" s="1728">
        <f t="shared" si="13"/>
        <v>111</v>
      </c>
      <c r="AA36" s="1729">
        <f t="shared" si="3"/>
        <v>1</v>
      </c>
      <c r="AB36" s="1729">
        <f t="shared" si="4"/>
        <v>1</v>
      </c>
      <c r="AC36" s="1729">
        <f t="shared" si="5"/>
        <v>1</v>
      </c>
    </row>
    <row r="37" spans="1:29" s="1772" customFormat="1" ht="15.75" thickBot="1">
      <c r="A37" s="1997"/>
      <c r="B37" s="1998">
        <v>111</v>
      </c>
      <c r="C37" s="1999"/>
      <c r="D37" s="2000">
        <v>100</v>
      </c>
      <c r="E37" s="1999"/>
      <c r="F37" s="1716">
        <f>SUMIF(114:114,E37,115:115)-SUMIF(114:114,C37,115:115)+100</f>
        <v>100</v>
      </c>
      <c r="G37" s="1999"/>
      <c r="H37" s="1716">
        <f>SUMIF(114:114,G37,115:115)-SUMIF(114:114,C37,115:115)+100</f>
        <v>100</v>
      </c>
      <c r="I37" s="2001"/>
      <c r="J37" s="1716">
        <f>SUMIF(114:114,I37,115:115)-SUMIF(114:114,C37,115:115)+100</f>
        <v>100</v>
      </c>
      <c r="K37" s="1990"/>
      <c r="L37" s="2998"/>
      <c r="M37" s="2060"/>
      <c r="N37" s="2060"/>
      <c r="O37" s="3044"/>
      <c r="P37" s="3455"/>
      <c r="Q37" s="1616">
        <f t="shared" si="8"/>
        <v>111</v>
      </c>
      <c r="R37" s="1768" t="s">
        <v>25</v>
      </c>
      <c r="S37" s="1769">
        <f t="shared" si="10"/>
        <v>100</v>
      </c>
      <c r="T37" s="1768" t="s">
        <v>25</v>
      </c>
      <c r="U37" s="1769">
        <f t="shared" si="11"/>
        <v>100</v>
      </c>
      <c r="V37" s="1768" t="s">
        <v>25</v>
      </c>
      <c r="W37" s="1769">
        <f t="shared" si="12"/>
        <v>100</v>
      </c>
      <c r="X37" s="1770"/>
      <c r="Y37" s="3455"/>
      <c r="Z37" s="1771">
        <f t="shared" si="13"/>
        <v>111</v>
      </c>
      <c r="AA37" s="1729">
        <f t="shared" si="3"/>
        <v>1</v>
      </c>
      <c r="AB37" s="1729">
        <f t="shared" si="4"/>
        <v>1</v>
      </c>
      <c r="AC37" s="1729">
        <f t="shared" si="5"/>
        <v>1</v>
      </c>
    </row>
    <row r="38" spans="1:29" ht="15">
      <c r="A38" s="1663" t="s">
        <v>2274</v>
      </c>
      <c r="B38" s="1744" t="s">
        <v>2450</v>
      </c>
      <c r="C38" s="2002"/>
      <c r="D38" s="1763">
        <v>100</v>
      </c>
      <c r="E38" s="2002"/>
      <c r="F38" s="1763" t="e">
        <f>LOOKUP(E38,117:117,118:118)-LOOKUP(C38,117:117,118:118)+100</f>
        <v>#N/A</v>
      </c>
      <c r="G38" s="2002"/>
      <c r="H38" s="1763" t="e">
        <f>LOOKUP(G38,117:117,118:118)-LOOKUP(C38,117:117,118:118)+100</f>
        <v>#N/A</v>
      </c>
      <c r="I38" s="1850"/>
      <c r="J38" s="1763" t="e">
        <f>LOOKUP(I38,117:117,118:118)-LOOKUP(C38,117:117,118:118)+100</f>
        <v>#N/A</v>
      </c>
      <c r="K38" s="1990"/>
      <c r="L38" s="2999"/>
      <c r="M38" s="2995"/>
      <c r="N38" s="2995"/>
      <c r="O38" s="3043"/>
      <c r="P38" s="3455"/>
      <c r="Q38" s="1616" t="str">
        <f>B38</f>
        <v>宗地面积</v>
      </c>
      <c r="R38" s="1726" t="s">
        <v>25</v>
      </c>
      <c r="S38" s="1727" t="e">
        <f t="shared" si="10"/>
        <v>#N/A</v>
      </c>
      <c r="T38" s="1726" t="s">
        <v>25</v>
      </c>
      <c r="U38" s="1727" t="e">
        <f t="shared" si="11"/>
        <v>#N/A</v>
      </c>
      <c r="V38" s="1726" t="s">
        <v>25</v>
      </c>
      <c r="W38" s="1727" t="e">
        <f t="shared" si="12"/>
        <v>#N/A</v>
      </c>
      <c r="X38" s="1666"/>
      <c r="Y38" s="3455"/>
      <c r="Z38" s="1728" t="str">
        <f t="shared" si="13"/>
        <v>宗地面积</v>
      </c>
      <c r="AA38" s="1729" t="e">
        <f t="shared" si="3"/>
        <v>#N/A</v>
      </c>
      <c r="AB38" s="1729" t="e">
        <f t="shared" si="4"/>
        <v>#N/A</v>
      </c>
      <c r="AC38" s="1729" t="e">
        <f t="shared" si="5"/>
        <v>#N/A</v>
      </c>
    </row>
    <row r="39" spans="1:29" ht="15">
      <c r="A39" s="1773"/>
      <c r="B39" s="1696" t="s">
        <v>2451</v>
      </c>
      <c r="C39" s="1756"/>
      <c r="D39" s="1712">
        <v>100</v>
      </c>
      <c r="E39" s="1756"/>
      <c r="F39" s="1712">
        <f>SUMIF(119:119,E39,120:120)-SUMIF(119:119,C39,120:120)+100</f>
        <v>100</v>
      </c>
      <c r="G39" s="1756"/>
      <c r="H39" s="1712">
        <f>SUMIF(119:119,G39,120:120)-SUMIF(119:119,C39,120:120)+100</f>
        <v>100</v>
      </c>
      <c r="I39" s="1756"/>
      <c r="J39" s="1712">
        <f>SUMIF(119:119,I39,120:120)-SUMIF(119:119,C39,120:120)+100</f>
        <v>100</v>
      </c>
      <c r="K39" s="1993"/>
      <c r="L39" s="2999"/>
      <c r="M39" s="2995"/>
      <c r="N39" s="2995"/>
      <c r="O39" s="3043"/>
      <c r="P39" s="3455"/>
      <c r="Q39" s="1616" t="str">
        <f t="shared" ref="Q39:Q45" si="14">B39</f>
        <v>宗地形状</v>
      </c>
      <c r="R39" s="1726" t="s">
        <v>25</v>
      </c>
      <c r="S39" s="1727">
        <f t="shared" si="10"/>
        <v>100</v>
      </c>
      <c r="T39" s="1726" t="s">
        <v>25</v>
      </c>
      <c r="U39" s="1727">
        <f t="shared" si="11"/>
        <v>100</v>
      </c>
      <c r="V39" s="1726" t="s">
        <v>25</v>
      </c>
      <c r="W39" s="1727">
        <f t="shared" si="12"/>
        <v>100</v>
      </c>
      <c r="X39" s="1666"/>
      <c r="Y39" s="3455"/>
      <c r="Z39" s="1728" t="str">
        <f t="shared" si="13"/>
        <v>宗地形状</v>
      </c>
      <c r="AA39" s="1729">
        <f t="shared" si="3"/>
        <v>1</v>
      </c>
      <c r="AB39" s="1729">
        <f t="shared" si="4"/>
        <v>1</v>
      </c>
      <c r="AC39" s="1729">
        <f t="shared" si="5"/>
        <v>1</v>
      </c>
    </row>
    <row r="40" spans="1:29" ht="15">
      <c r="A40" s="1773"/>
      <c r="B40" s="1696" t="s">
        <v>2452</v>
      </c>
      <c r="C40" s="1756"/>
      <c r="D40" s="1712">
        <v>100</v>
      </c>
      <c r="E40" s="1756"/>
      <c r="F40" s="1712">
        <f>SUMIF(121:121,E40,122:122)-SUMIF(121:121,C40,122:122)+100</f>
        <v>100</v>
      </c>
      <c r="G40" s="1756"/>
      <c r="H40" s="1712">
        <f>SUMIF(121:121,G40,122:122)-SUMIF(121:121,C40,122:122)+100</f>
        <v>100</v>
      </c>
      <c r="I40" s="1756"/>
      <c r="J40" s="1712">
        <f>SUMIF(121:121,I40,122:122)-SUMIF(121:121,C40,122:122)+100</f>
        <v>100</v>
      </c>
      <c r="K40" s="1993"/>
      <c r="L40" s="2999"/>
      <c r="M40" s="2995"/>
      <c r="N40" s="2995"/>
      <c r="O40" s="3043"/>
      <c r="P40" s="3455"/>
      <c r="Q40" s="1616" t="str">
        <f t="shared" si="14"/>
        <v>临街宽度及深度</v>
      </c>
      <c r="R40" s="1726" t="s">
        <v>25</v>
      </c>
      <c r="S40" s="1727">
        <f t="shared" si="10"/>
        <v>100</v>
      </c>
      <c r="T40" s="1726" t="s">
        <v>25</v>
      </c>
      <c r="U40" s="1727">
        <f t="shared" si="11"/>
        <v>100</v>
      </c>
      <c r="V40" s="1726" t="s">
        <v>25</v>
      </c>
      <c r="W40" s="1727">
        <f t="shared" si="12"/>
        <v>100</v>
      </c>
      <c r="X40" s="1666"/>
      <c r="Y40" s="3455"/>
      <c r="Z40" s="1728" t="str">
        <f t="shared" si="13"/>
        <v>临街宽度及深度</v>
      </c>
      <c r="AA40" s="1729">
        <f t="shared" si="3"/>
        <v>1</v>
      </c>
      <c r="AB40" s="1729">
        <f t="shared" si="4"/>
        <v>1</v>
      </c>
      <c r="AC40" s="1729">
        <f t="shared" si="5"/>
        <v>1</v>
      </c>
    </row>
    <row r="41" spans="1:29" s="1685" customFormat="1" ht="15">
      <c r="A41" s="1776"/>
      <c r="B41" s="1696" t="s">
        <v>2453</v>
      </c>
      <c r="C41" s="2003"/>
      <c r="D41" s="1698">
        <v>100</v>
      </c>
      <c r="E41" s="2003"/>
      <c r="F41" s="1712">
        <f>SUMIF(123:123,E41,124:124)-SUMIF(123:123,C41,124:124)+100</f>
        <v>100</v>
      </c>
      <c r="G41" s="2003"/>
      <c r="H41" s="1712">
        <f>SUMIF(123:123,G41,124:124)-SUMIF(123:123,C41,124:124)+100</f>
        <v>100</v>
      </c>
      <c r="I41" s="2003"/>
      <c r="J41" s="1712">
        <f>SUMIF(123:123,I41,124:124)-SUMIF(123:123,C41,124:124)+100</f>
        <v>100</v>
      </c>
      <c r="K41" s="1993"/>
      <c r="L41" s="2994"/>
      <c r="M41" s="2967"/>
      <c r="N41" s="2967"/>
      <c r="O41" s="3041"/>
      <c r="P41" s="3455"/>
      <c r="Q41" s="1616" t="str">
        <f t="shared" si="14"/>
        <v>宗地开发程度</v>
      </c>
      <c r="R41" s="1681" t="s">
        <v>25</v>
      </c>
      <c r="S41" s="1682">
        <f t="shared" si="10"/>
        <v>100</v>
      </c>
      <c r="T41" s="1681" t="s">
        <v>25</v>
      </c>
      <c r="U41" s="1682">
        <f t="shared" si="11"/>
        <v>100</v>
      </c>
      <c r="V41" s="1681" t="s">
        <v>25</v>
      </c>
      <c r="W41" s="1682">
        <f t="shared" si="12"/>
        <v>100</v>
      </c>
      <c r="X41" s="1683"/>
      <c r="Y41" s="3455"/>
      <c r="Z41" s="1694" t="str">
        <f t="shared" si="13"/>
        <v>宗地开发程度</v>
      </c>
      <c r="AA41" s="1684">
        <f t="shared" si="3"/>
        <v>1</v>
      </c>
      <c r="AB41" s="1684">
        <f t="shared" si="4"/>
        <v>1</v>
      </c>
      <c r="AC41" s="1684">
        <f t="shared" si="5"/>
        <v>1</v>
      </c>
    </row>
    <row r="42" spans="1:29" ht="15">
      <c r="A42" s="1773"/>
      <c r="B42" s="1696" t="s">
        <v>2454</v>
      </c>
      <c r="C42" s="1756"/>
      <c r="D42" s="1712">
        <v>100</v>
      </c>
      <c r="E42" s="1756"/>
      <c r="F42" s="1712">
        <f>SUMIF(125:125,E42,126:126)-SUMIF(125:125,C42,126:126)+100</f>
        <v>100</v>
      </c>
      <c r="G42" s="1756"/>
      <c r="H42" s="1712">
        <f>SUMIF(125:125,G42,126:126)-SUMIF(125:125,C42,126:126)+100</f>
        <v>100</v>
      </c>
      <c r="I42" s="1756"/>
      <c r="J42" s="1712">
        <f>SUMIF(125:125,I42,126:126)-SUMIF(125:125,C42,126:126)+100</f>
        <v>100</v>
      </c>
      <c r="K42" s="1993"/>
      <c r="L42" s="2999"/>
      <c r="M42" s="2995"/>
      <c r="N42" s="2995"/>
      <c r="O42" s="3043"/>
      <c r="P42" s="3455" t="s">
        <v>2276</v>
      </c>
      <c r="Q42" s="1616" t="str">
        <f t="shared" si="14"/>
        <v>工程地质条件</v>
      </c>
      <c r="R42" s="1726" t="s">
        <v>25</v>
      </c>
      <c r="S42" s="1727">
        <f t="shared" si="10"/>
        <v>100</v>
      </c>
      <c r="T42" s="1726" t="s">
        <v>25</v>
      </c>
      <c r="U42" s="1727">
        <f t="shared" si="11"/>
        <v>100</v>
      </c>
      <c r="V42" s="1726" t="s">
        <v>25</v>
      </c>
      <c r="W42" s="1727">
        <f t="shared" si="12"/>
        <v>100</v>
      </c>
      <c r="X42" s="1666"/>
      <c r="Y42" s="3455" t="s">
        <v>2276</v>
      </c>
      <c r="Z42" s="1728" t="str">
        <f t="shared" si="13"/>
        <v>工程地质条件</v>
      </c>
      <c r="AA42" s="1729">
        <f t="shared" si="3"/>
        <v>1</v>
      </c>
      <c r="AB42" s="1729">
        <f t="shared" si="4"/>
        <v>1</v>
      </c>
      <c r="AC42" s="1729">
        <f t="shared" si="5"/>
        <v>1</v>
      </c>
    </row>
    <row r="43" spans="1:29" ht="15">
      <c r="A43" s="1773"/>
      <c r="B43" s="2004">
        <v>111</v>
      </c>
      <c r="C43" s="1972"/>
      <c r="D43" s="1712">
        <v>100</v>
      </c>
      <c r="E43" s="1972"/>
      <c r="F43" s="1712">
        <f>SUMIF(127:127,E43,128:128)-SUMIF(127:127,C43,128:128)+100</f>
        <v>100</v>
      </c>
      <c r="G43" s="1972"/>
      <c r="H43" s="1712">
        <f>SUMIF(127:127,G43,128:128)-SUMIF(127:127,C43,128:128)+100</f>
        <v>100</v>
      </c>
      <c r="I43" s="1868"/>
      <c r="J43" s="1712">
        <f>SUMIF(127:127,I43,128:128)-SUMIF(127:127,C43,128:128)+100</f>
        <v>100</v>
      </c>
      <c r="K43" s="1990"/>
      <c r="L43" s="2999"/>
      <c r="M43" s="2995"/>
      <c r="N43" s="2995"/>
      <c r="O43" s="3043"/>
      <c r="P43" s="3455"/>
      <c r="Q43" s="1616">
        <f t="shared" si="14"/>
        <v>111</v>
      </c>
      <c r="R43" s="1726" t="s">
        <v>25</v>
      </c>
      <c r="S43" s="1727">
        <f t="shared" si="10"/>
        <v>100</v>
      </c>
      <c r="T43" s="1726" t="s">
        <v>25</v>
      </c>
      <c r="U43" s="1727">
        <f t="shared" si="11"/>
        <v>100</v>
      </c>
      <c r="V43" s="1726" t="s">
        <v>25</v>
      </c>
      <c r="W43" s="1727">
        <f t="shared" si="12"/>
        <v>100</v>
      </c>
      <c r="X43" s="1666"/>
      <c r="Y43" s="3455"/>
      <c r="Z43" s="1728">
        <f t="shared" si="13"/>
        <v>111</v>
      </c>
      <c r="AA43" s="1729">
        <f t="shared" si="3"/>
        <v>1</v>
      </c>
      <c r="AB43" s="1729">
        <f t="shared" si="4"/>
        <v>1</v>
      </c>
      <c r="AC43" s="1729">
        <f t="shared" si="5"/>
        <v>1</v>
      </c>
    </row>
    <row r="44" spans="1:29" ht="15">
      <c r="A44" s="1773"/>
      <c r="B44" s="2004">
        <v>111</v>
      </c>
      <c r="C44" s="1972"/>
      <c r="D44" s="1712">
        <v>100</v>
      </c>
      <c r="E44" s="1972"/>
      <c r="F44" s="1712">
        <f>SUMIF(129:129,E44,130:130)-SUMIF(129:129,C44,130:130)+100</f>
        <v>100</v>
      </c>
      <c r="G44" s="1972"/>
      <c r="H44" s="1712">
        <f>SUMIF(129:129,G44,130:130)-SUMIF(129:129,C44,130:130)+100</f>
        <v>100</v>
      </c>
      <c r="I44" s="1868"/>
      <c r="J44" s="1712">
        <f>SUMIF(129:129,I44,130:130)-SUMIF(129:129,C44,130:130)+100</f>
        <v>100</v>
      </c>
      <c r="K44" s="1990"/>
      <c r="L44" s="2999"/>
      <c r="M44" s="2995"/>
      <c r="N44" s="2995"/>
      <c r="O44" s="3043"/>
      <c r="P44" s="3455"/>
      <c r="Q44" s="1616">
        <f t="shared" si="14"/>
        <v>111</v>
      </c>
      <c r="R44" s="1726" t="s">
        <v>25</v>
      </c>
      <c r="S44" s="1727">
        <f t="shared" si="10"/>
        <v>100</v>
      </c>
      <c r="T44" s="1726" t="s">
        <v>25</v>
      </c>
      <c r="U44" s="1727">
        <f t="shared" si="11"/>
        <v>100</v>
      </c>
      <c r="V44" s="1726" t="s">
        <v>25</v>
      </c>
      <c r="W44" s="1727">
        <f t="shared" si="12"/>
        <v>100</v>
      </c>
      <c r="X44" s="1666"/>
      <c r="Y44" s="3455"/>
      <c r="Z44" s="1728">
        <f t="shared" si="13"/>
        <v>111</v>
      </c>
      <c r="AA44" s="1729">
        <f t="shared" si="3"/>
        <v>1</v>
      </c>
      <c r="AB44" s="1729">
        <f t="shared" si="4"/>
        <v>1</v>
      </c>
      <c r="AC44" s="1729">
        <f t="shared" si="5"/>
        <v>1</v>
      </c>
    </row>
    <row r="45" spans="1:29" s="1772" customFormat="1" ht="15.75" thickBot="1">
      <c r="A45" s="1765"/>
      <c r="B45" s="2004">
        <v>111</v>
      </c>
      <c r="C45" s="2005"/>
      <c r="D45" s="3145">
        <v>100</v>
      </c>
      <c r="E45" s="1972"/>
      <c r="F45" s="1716">
        <f>SUMIF(131:131,E45,132:132)-SUMIF(131:131,C45,132:132)+100</f>
        <v>100</v>
      </c>
      <c r="G45" s="1972"/>
      <c r="H45" s="1716">
        <f>SUMIF(131:131,G45,132:132)-SUMIF(131:131,C45,132:132)+100</f>
        <v>100</v>
      </c>
      <c r="I45" s="1972"/>
      <c r="J45" s="1716">
        <f>SUMIF(131:131,I45,132:132)-SUMIF(131:131,C45,132:132)+100</f>
        <v>100</v>
      </c>
      <c r="K45" s="2006"/>
      <c r="L45" s="2998"/>
      <c r="M45" s="2060"/>
      <c r="N45" s="2060"/>
      <c r="O45" s="3044"/>
      <c r="P45" s="3455"/>
      <c r="Q45" s="1616">
        <f t="shared" si="14"/>
        <v>111</v>
      </c>
      <c r="R45" s="1768" t="s">
        <v>25</v>
      </c>
      <c r="S45" s="1769">
        <f t="shared" si="10"/>
        <v>100</v>
      </c>
      <c r="T45" s="1768" t="s">
        <v>25</v>
      </c>
      <c r="U45" s="1769">
        <f t="shared" si="11"/>
        <v>100</v>
      </c>
      <c r="V45" s="1768" t="s">
        <v>25</v>
      </c>
      <c r="W45" s="1769">
        <f t="shared" si="12"/>
        <v>100</v>
      </c>
      <c r="X45" s="1770"/>
      <c r="Y45" s="3455"/>
      <c r="Z45" s="1771">
        <f t="shared" si="13"/>
        <v>111</v>
      </c>
      <c r="AA45" s="1729">
        <f t="shared" si="3"/>
        <v>1</v>
      </c>
      <c r="AB45" s="1729">
        <f t="shared" si="4"/>
        <v>1</v>
      </c>
      <c r="AC45" s="1729">
        <f t="shared" si="5"/>
        <v>1</v>
      </c>
    </row>
    <row r="46" spans="1:29" ht="15">
      <c r="A46" s="1782" t="s">
        <v>2418</v>
      </c>
      <c r="B46" s="2007" t="s">
        <v>2455</v>
      </c>
      <c r="C46" s="2008" t="s">
        <v>1</v>
      </c>
      <c r="D46" s="2009"/>
      <c r="E46" s="2010"/>
      <c r="F46" s="2011"/>
      <c r="G46" s="2012"/>
      <c r="H46" s="2013"/>
      <c r="I46" s="2010"/>
      <c r="J46" s="2013"/>
      <c r="K46" s="2014"/>
      <c r="L46" s="3000"/>
      <c r="N46" s="2995"/>
      <c r="P46" s="3447" t="str">
        <f>A46</f>
        <v>成交单价</v>
      </c>
      <c r="Q46" s="3447"/>
      <c r="R46" s="3484">
        <f>E46</f>
        <v>0</v>
      </c>
      <c r="S46" s="3484"/>
      <c r="T46" s="3484">
        <f>G46</f>
        <v>0</v>
      </c>
      <c r="U46" s="3484"/>
      <c r="V46" s="3484">
        <f>I46</f>
        <v>0</v>
      </c>
      <c r="W46" s="3484"/>
      <c r="X46" s="1792"/>
      <c r="Y46" s="1793"/>
      <c r="Z46" s="1792"/>
      <c r="AA46" s="1792"/>
      <c r="AB46" s="1792"/>
      <c r="AC46" s="1792"/>
    </row>
    <row r="47" spans="1:29" ht="15.75" thickBot="1">
      <c r="A47" s="1794" t="s">
        <v>2371</v>
      </c>
      <c r="B47" s="2015"/>
      <c r="C47" s="2016" t="e">
        <f>R48</f>
        <v>#DIV/0!</v>
      </c>
      <c r="D47" s="1797" t="s">
        <v>2745</v>
      </c>
      <c r="E47" s="2016" t="e">
        <f>R47</f>
        <v>#DIV/0!</v>
      </c>
      <c r="F47" s="1799"/>
      <c r="G47" s="2017" t="e">
        <f>T47</f>
        <v>#DIV/0!</v>
      </c>
      <c r="H47" s="1799"/>
      <c r="I47" s="2016" t="e">
        <f>V47</f>
        <v>#DIV/0!</v>
      </c>
      <c r="J47" s="1799"/>
      <c r="K47" s="2511">
        <f>F47+H47+J47</f>
        <v>0</v>
      </c>
      <c r="L47" s="3000"/>
      <c r="P47" s="3447" t="str">
        <f>A47</f>
        <v>比较价值（元/平方米）</v>
      </c>
      <c r="Q47" s="3447"/>
      <c r="R47" s="3538" t="e">
        <f>ROUND(PRODUCT(R46,AA7:AA45),0)</f>
        <v>#DIV/0!</v>
      </c>
      <c r="S47" s="3538"/>
      <c r="T47" s="3538" t="e">
        <f>ROUND(PRODUCT(T46,AB7:AB45),0)</f>
        <v>#DIV/0!</v>
      </c>
      <c r="U47" s="3538"/>
      <c r="V47" s="3538" t="e">
        <f>ROUND(PRODUCT(V46,AC7:AC45),0)</f>
        <v>#DIV/0!</v>
      </c>
      <c r="W47" s="3538"/>
      <c r="X47" s="1792"/>
      <c r="Y47" s="1792"/>
      <c r="Z47" s="1792"/>
      <c r="AA47" s="1792"/>
      <c r="AB47" s="1792"/>
      <c r="AC47" s="1792"/>
    </row>
    <row r="48" spans="1:29" ht="15.75" thickBot="1">
      <c r="A48" s="1800" t="s">
        <v>2394</v>
      </c>
      <c r="B48" s="1801"/>
      <c r="C48" s="2018" t="e">
        <f>R48</f>
        <v>#DIV/0!</v>
      </c>
      <c r="D48" s="2018"/>
      <c r="E48" s="2018"/>
      <c r="F48" s="2018"/>
      <c r="G48" s="2018"/>
      <c r="H48" s="2018"/>
      <c r="I48" s="2018"/>
      <c r="J48" s="2018"/>
      <c r="K48" s="2019"/>
      <c r="L48" s="3000"/>
      <c r="P48" s="3444" t="str">
        <f>A48</f>
        <v>估价对象XX用房的比较价值（楼面单价，元/平方米）</v>
      </c>
      <c r="Q48" s="3445"/>
      <c r="R48" s="3539" t="e">
        <f>ROUND(IF(D47="简单平均",AVERAGE(R47:W47),R47*F47+T47*H47+V47*J47),0)</f>
        <v>#DIV/0!</v>
      </c>
      <c r="S48" s="3539"/>
      <c r="T48" s="3539"/>
      <c r="U48" s="3539"/>
      <c r="V48" s="3539"/>
      <c r="W48" s="3539"/>
      <c r="X48" s="1792"/>
      <c r="Y48" s="1792"/>
      <c r="Z48" s="1792"/>
      <c r="AA48" s="1792"/>
      <c r="AB48" s="1792"/>
      <c r="AC48" s="1792"/>
    </row>
    <row r="49" spans="1:14">
      <c r="G49" s="3004"/>
    </row>
    <row r="51" spans="1:14" ht="13.5" customHeight="1">
      <c r="C51" s="383" t="s">
        <v>2373</v>
      </c>
      <c r="D51" s="1808"/>
      <c r="E51" s="1809" t="e">
        <f>IF(E46&lt;E47,E47/E46-1,E46/E47-1)</f>
        <v>#DIV/0!</v>
      </c>
      <c r="F51" s="1810" t="e">
        <f>IF(OR(E51&gt;=0.3,E51&lt;=-0.3),"超过30%","")</f>
        <v>#DIV/0!</v>
      </c>
      <c r="G51" s="1809" t="e">
        <f>IF(G46&lt;G47,G47/G46-1,G46/G47-1)</f>
        <v>#DIV/0!</v>
      </c>
      <c r="H51" s="1810" t="e">
        <f>IF(OR(G51&gt;=0.3,G51&lt;=-0.3),"超过30%","")</f>
        <v>#DIV/0!</v>
      </c>
      <c r="I51" s="1809" t="e">
        <f>IF(I46&lt;I47,I47/I46-1,I46/I47-1)</f>
        <v>#DIV/0!</v>
      </c>
      <c r="J51" s="1810" t="e">
        <f>IF(OR(I51&gt;=0.3,I51&lt;=-0.3),"超过30%","")</f>
        <v>#DIV/0!</v>
      </c>
    </row>
    <row r="52" spans="1:14" ht="13.5" customHeight="1">
      <c r="C52" s="383" t="s">
        <v>2374</v>
      </c>
      <c r="D52" s="1811"/>
      <c r="E52" s="1809" t="e">
        <f>IF(E47&lt;G47,G47/E47-1,E47/G47-1)</f>
        <v>#DIV/0!</v>
      </c>
      <c r="F52" s="1810" t="e">
        <f>IF(OR(E52&gt;=0.2,E52&lt;=-0.2),"超过20%","")</f>
        <v>#DIV/0!</v>
      </c>
      <c r="G52" s="1809" t="e">
        <f>IF(G47&lt;I47,I47/G47-1,G47/I47-1)</f>
        <v>#DIV/0!</v>
      </c>
      <c r="H52" s="1810" t="e">
        <f>IF(OR(G52&gt;=0.2,G52&lt;=-0.2),"超过20%","")</f>
        <v>#DIV/0!</v>
      </c>
      <c r="I52" s="1809" t="e">
        <f>IF(I47&lt;E47,E47/I47-1,I47/E47-1)</f>
        <v>#DIV/0!</v>
      </c>
      <c r="J52" s="1810" t="e">
        <f>IF(OR(I52&gt;=0.2,I52&lt;=-0.2),"超过20%","")</f>
        <v>#DIV/0!</v>
      </c>
    </row>
    <row r="53" spans="1:14" s="1814" customFormat="1" ht="13.5" customHeight="1">
      <c r="C53" s="383" t="s">
        <v>2375</v>
      </c>
      <c r="D53" s="1811"/>
      <c r="E53" s="1809" t="e">
        <f>IF(E46&lt;G46,G46/E46-1,E46/G46-1)</f>
        <v>#DIV/0!</v>
      </c>
      <c r="F53" s="1810" t="e">
        <f>IF(OR(E53&gt;=0.3,E53&lt;=-0.3),"超过30%","")</f>
        <v>#DIV/0!</v>
      </c>
      <c r="G53" s="1809" t="e">
        <f>IF(G46&lt;I46,I46/G46-1,G46/I46-1)</f>
        <v>#DIV/0!</v>
      </c>
      <c r="H53" s="1810" t="e">
        <f>IF(OR(G53&gt;=0.3,G53&lt;=-0.3),"超过30%","")</f>
        <v>#DIV/0!</v>
      </c>
      <c r="I53" s="1809" t="e">
        <f>IF(I46&lt;E46,E46/I46-1,I46/E46-1)</f>
        <v>#DIV/0!</v>
      </c>
      <c r="J53" s="1810" t="e">
        <f>IF(OR(I53&gt;=0.3,I53&lt;=-0.3),"超过30%","")</f>
        <v>#DIV/0!</v>
      </c>
      <c r="K53" s="3007"/>
      <c r="L53" s="3001"/>
    </row>
    <row r="54" spans="1:14" s="1814" customFormat="1" ht="15" thickBot="1">
      <c r="B54" s="3005"/>
      <c r="C54" s="3006"/>
      <c r="K54" s="3007"/>
      <c r="L54" s="3001"/>
    </row>
    <row r="55" spans="1:14" ht="27">
      <c r="A55" s="564" t="s">
        <v>2456</v>
      </c>
      <c r="B55" s="2020" t="s">
        <v>2457</v>
      </c>
      <c r="C55" s="2021" t="s">
        <v>2458</v>
      </c>
      <c r="D55" s="2022" t="s">
        <v>2459</v>
      </c>
      <c r="E55" s="2023" t="s">
        <v>2460</v>
      </c>
      <c r="F55" s="2024" t="s">
        <v>2461</v>
      </c>
      <c r="G55" s="1919" t="s">
        <v>2462</v>
      </c>
      <c r="H55" s="1919" t="str">
        <f>项目基本情况!G8</f>
        <v>XX</v>
      </c>
      <c r="I55" s="1594" t="s">
        <v>2463</v>
      </c>
      <c r="J55" s="2025"/>
      <c r="K55" s="1806"/>
    </row>
    <row r="56" spans="1:14" s="2032" customFormat="1">
      <c r="A56" s="2026" t="s">
        <v>2464</v>
      </c>
      <c r="B56" s="2027" t="e">
        <f>C48</f>
        <v>#DIV/0!</v>
      </c>
      <c r="C56" s="280">
        <v>1</v>
      </c>
      <c r="D56" s="2028">
        <v>1</v>
      </c>
      <c r="E56" s="2029">
        <v>120</v>
      </c>
      <c r="F56" s="2030" t="e">
        <f t="shared" ref="F56:F65" si="15">ROUND(B56*E56,0)</f>
        <v>#DIV/0!</v>
      </c>
      <c r="G56" s="2031">
        <v>1</v>
      </c>
      <c r="H56" s="2031">
        <v>1</v>
      </c>
      <c r="I56" s="1814"/>
      <c r="J56" s="1814"/>
      <c r="K56" s="3007"/>
      <c r="L56" s="3001"/>
      <c r="M56" s="1814"/>
      <c r="N56" s="1814"/>
    </row>
    <row r="57" spans="1:14" s="2032" customFormat="1">
      <c r="A57" s="2033" t="s">
        <v>2465</v>
      </c>
      <c r="B57" s="2034" t="e">
        <f>ROUND($C$48*C57*D57,0)</f>
        <v>#DIV/0!</v>
      </c>
      <c r="C57" s="50">
        <f>IF($C$55="北京市系数",G57,H57)</f>
        <v>0.7</v>
      </c>
      <c r="D57" s="2035">
        <v>0.25</v>
      </c>
      <c r="E57" s="2029">
        <v>0</v>
      </c>
      <c r="F57" s="2030" t="e">
        <f t="shared" si="15"/>
        <v>#DIV/0!</v>
      </c>
      <c r="G57" s="2031">
        <f>SUMIF(修正!$A$45:$A$56,项目基本情况!$F$9,修正!B45:B56)</f>
        <v>0.7</v>
      </c>
      <c r="H57" s="2036"/>
      <c r="I57" s="1667"/>
      <c r="J57" s="1910"/>
      <c r="K57" s="1911"/>
      <c r="L57" s="1911"/>
      <c r="M57" s="1667"/>
      <c r="N57" s="1667"/>
    </row>
    <row r="58" spans="1:14" s="2032" customFormat="1">
      <c r="A58" s="2033" t="s">
        <v>2466</v>
      </c>
      <c r="B58" s="2034" t="e">
        <f t="shared" ref="B58:B65" si="16">ROUND($C$48*C58*D58,0)</f>
        <v>#DIV/0!</v>
      </c>
      <c r="C58" s="50">
        <f t="shared" ref="C58:C65" si="17">IF($C$55="北京市系数",G58,H58)</f>
        <v>0.4</v>
      </c>
      <c r="D58" s="2035">
        <v>0.25</v>
      </c>
      <c r="E58" s="2029">
        <v>0</v>
      </c>
      <c r="F58" s="2030" t="e">
        <f t="shared" si="15"/>
        <v>#DIV/0!</v>
      </c>
      <c r="G58" s="2031">
        <f>SUMIF(修正!$A$45:$A$56,项目基本情况!$F$9,修正!C45:C56)</f>
        <v>0.4</v>
      </c>
      <c r="H58" s="2036"/>
      <c r="I58" s="1814"/>
      <c r="J58" s="1814"/>
      <c r="K58" s="3007"/>
      <c r="L58" s="3001"/>
      <c r="M58" s="1814"/>
      <c r="N58" s="1814"/>
    </row>
    <row r="59" spans="1:14" s="2032" customFormat="1">
      <c r="A59" s="2033" t="s">
        <v>2467</v>
      </c>
      <c r="B59" s="2034" t="e">
        <f t="shared" si="16"/>
        <v>#DIV/0!</v>
      </c>
      <c r="C59" s="50">
        <f t="shared" si="17"/>
        <v>0.28000000000000003</v>
      </c>
      <c r="D59" s="2035">
        <v>0.25</v>
      </c>
      <c r="E59" s="2029">
        <v>0</v>
      </c>
      <c r="F59" s="2030" t="e">
        <f t="shared" si="15"/>
        <v>#DIV/0!</v>
      </c>
      <c r="G59" s="2031">
        <f>SUMIF(修正!$A$45:$A$56,项目基本情况!$F$9,修正!D45:D56)</f>
        <v>0.28000000000000003</v>
      </c>
      <c r="H59" s="2036"/>
      <c r="I59" s="1667"/>
      <c r="J59" s="1910"/>
      <c r="K59" s="1911"/>
      <c r="L59" s="1911"/>
      <c r="M59" s="1667"/>
      <c r="N59" s="1667"/>
    </row>
    <row r="60" spans="1:14" s="2032" customFormat="1">
      <c r="A60" s="2033" t="s">
        <v>2468</v>
      </c>
      <c r="B60" s="2034" t="e">
        <f t="shared" si="16"/>
        <v>#DIV/0!</v>
      </c>
      <c r="C60" s="50">
        <f t="shared" si="17"/>
        <v>0.25</v>
      </c>
      <c r="D60" s="2035">
        <v>0.25</v>
      </c>
      <c r="E60" s="2029">
        <v>0</v>
      </c>
      <c r="F60" s="2030" t="e">
        <f t="shared" si="15"/>
        <v>#DIV/0!</v>
      </c>
      <c r="G60" s="2031">
        <f>SUMIF(修正!$A$45:$A$56,项目基本情况!$F$9,修正!E45:E56)</f>
        <v>0.25</v>
      </c>
      <c r="H60" s="2036"/>
      <c r="I60" s="1814"/>
      <c r="J60" s="1814"/>
      <c r="K60" s="3007"/>
      <c r="L60" s="3001"/>
      <c r="M60" s="1814"/>
      <c r="N60" s="1814"/>
    </row>
    <row r="61" spans="1:14" s="2032" customFormat="1">
      <c r="A61" s="2033" t="s">
        <v>2469</v>
      </c>
      <c r="B61" s="2034" t="e">
        <f t="shared" si="16"/>
        <v>#DIV/0!</v>
      </c>
      <c r="C61" s="50">
        <f t="shared" si="17"/>
        <v>0.25</v>
      </c>
      <c r="D61" s="2035">
        <v>0.25</v>
      </c>
      <c r="E61" s="2029">
        <v>0</v>
      </c>
      <c r="F61" s="2030" t="e">
        <f t="shared" si="15"/>
        <v>#DIV/0!</v>
      </c>
      <c r="G61" s="2031">
        <f>SUMIF(修正!A45:A56,项目基本情况!F9,修正!F45:F56)</f>
        <v>0.25</v>
      </c>
      <c r="H61" s="2036"/>
      <c r="I61" s="1667"/>
      <c r="J61" s="1910"/>
      <c r="K61" s="1911"/>
      <c r="L61" s="1911"/>
      <c r="M61" s="1667"/>
      <c r="N61" s="1667"/>
    </row>
    <row r="62" spans="1:14" s="2032" customFormat="1">
      <c r="A62" s="2033" t="s">
        <v>2470</v>
      </c>
      <c r="B62" s="2034" t="e">
        <f t="shared" si="16"/>
        <v>#DIV/0!</v>
      </c>
      <c r="C62" s="50">
        <f t="shared" si="17"/>
        <v>0.25</v>
      </c>
      <c r="D62" s="2035">
        <v>0.25</v>
      </c>
      <c r="E62" s="2029">
        <v>0</v>
      </c>
      <c r="F62" s="2030" t="e">
        <f t="shared" si="15"/>
        <v>#DIV/0!</v>
      </c>
      <c r="G62" s="2031">
        <f>SUMIF(修正!A45:A56,项目基本情况!F9,修正!G45:G56)</f>
        <v>0.25</v>
      </c>
      <c r="H62" s="2036"/>
      <c r="I62" s="1814"/>
      <c r="J62" s="1814"/>
      <c r="K62" s="3007"/>
      <c r="L62" s="3001"/>
      <c r="M62" s="1814"/>
      <c r="N62" s="1814"/>
    </row>
    <row r="63" spans="1:14" s="2032" customFormat="1">
      <c r="A63" s="2033" t="s">
        <v>2471</v>
      </c>
      <c r="B63" s="2034" t="e">
        <f t="shared" si="16"/>
        <v>#DIV/0!</v>
      </c>
      <c r="C63" s="50">
        <f>IF($C$55="北京市系数",G63,H63)</f>
        <v>0.2</v>
      </c>
      <c r="D63" s="2035">
        <v>0.25</v>
      </c>
      <c r="E63" s="2029">
        <v>0</v>
      </c>
      <c r="F63" s="2030" t="e">
        <f t="shared" si="15"/>
        <v>#DIV/0!</v>
      </c>
      <c r="G63" s="2031">
        <f>SUMIF(修正!A45:A56,项目基本情况!F9,修正!H45:H56)</f>
        <v>0.2</v>
      </c>
      <c r="H63" s="2036"/>
      <c r="I63" s="1667"/>
      <c r="J63" s="1910"/>
      <c r="K63" s="1911"/>
      <c r="L63" s="1911"/>
      <c r="M63" s="1667"/>
      <c r="N63" s="1667"/>
    </row>
    <row r="64" spans="1:14" s="2032" customFormat="1">
      <c r="A64" s="2033" t="s">
        <v>2472</v>
      </c>
      <c r="B64" s="2034" t="e">
        <f t="shared" si="16"/>
        <v>#DIV/0!</v>
      </c>
      <c r="C64" s="50">
        <f t="shared" si="17"/>
        <v>0.2</v>
      </c>
      <c r="D64" s="2035">
        <v>0.25</v>
      </c>
      <c r="E64" s="2029">
        <v>0</v>
      </c>
      <c r="F64" s="2030" t="e">
        <f t="shared" si="15"/>
        <v>#DIV/0!</v>
      </c>
      <c r="G64" s="2031">
        <f>G63</f>
        <v>0.2</v>
      </c>
      <c r="H64" s="2036"/>
      <c r="I64" s="1814"/>
      <c r="J64" s="1814"/>
      <c r="K64" s="3007"/>
      <c r="L64" s="3001"/>
      <c r="M64" s="1814"/>
      <c r="N64" s="1814"/>
    </row>
    <row r="65" spans="1:17" s="2032" customFormat="1">
      <c r="A65" s="2033" t="s">
        <v>2473</v>
      </c>
      <c r="B65" s="2034" t="e">
        <f t="shared" si="16"/>
        <v>#DIV/0!</v>
      </c>
      <c r="C65" s="50">
        <f t="shared" si="17"/>
        <v>0.2</v>
      </c>
      <c r="D65" s="2035">
        <v>0.25</v>
      </c>
      <c r="E65" s="2029">
        <v>0</v>
      </c>
      <c r="F65" s="2030" t="e">
        <f t="shared" si="15"/>
        <v>#DIV/0!</v>
      </c>
      <c r="G65" s="2031">
        <f>G63</f>
        <v>0.2</v>
      </c>
      <c r="H65" s="2036"/>
      <c r="I65" s="1667"/>
      <c r="J65" s="1910"/>
      <c r="K65" s="1911"/>
      <c r="L65" s="1911"/>
      <c r="M65" s="1667"/>
      <c r="N65" s="1667"/>
    </row>
    <row r="66" spans="1:17" s="2032" customFormat="1" ht="13.5" thickBot="1">
      <c r="A66" s="2037" t="s">
        <v>2474</v>
      </c>
      <c r="B66" s="2038" t="s">
        <v>39</v>
      </c>
      <c r="C66" s="2038" t="s">
        <v>40</v>
      </c>
      <c r="D66" s="2038" t="s">
        <v>36</v>
      </c>
      <c r="E66" s="2038">
        <f>SUM(E56:E65)</f>
        <v>120</v>
      </c>
      <c r="F66" s="2039" t="e">
        <f>SUM(F56:F65)</f>
        <v>#DIV/0!</v>
      </c>
      <c r="G66" s="2040"/>
      <c r="H66" s="2040"/>
      <c r="I66" s="3045"/>
      <c r="J66" s="3045"/>
      <c r="K66" s="3045"/>
    </row>
    <row r="67" spans="1:17">
      <c r="A67" s="1791"/>
      <c r="B67" s="1815"/>
      <c r="C67" s="1816"/>
      <c r="D67" s="1791"/>
      <c r="E67" s="1791"/>
      <c r="F67" s="1791"/>
      <c r="G67" s="1791"/>
      <c r="H67" s="1791"/>
      <c r="I67" s="1791"/>
      <c r="J67" s="1791"/>
      <c r="K67" s="1805"/>
      <c r="L67" s="1806"/>
      <c r="M67" s="1791"/>
      <c r="N67" s="1791"/>
      <c r="O67" s="1791"/>
    </row>
    <row r="68" spans="1:17" s="2042" customFormat="1">
      <c r="A68" s="1792"/>
      <c r="B68" s="2041"/>
      <c r="C68" s="2041" t="str">
        <f>YEAR(C7)&amp;"-"&amp;MONTH(C7)&amp;"-1"</f>
        <v>2021-5-1</v>
      </c>
      <c r="D68" s="2041">
        <f>EDATE(C68,-3)</f>
        <v>44228</v>
      </c>
      <c r="E68" s="2041">
        <f t="shared" ref="E68:O68" si="18">EDATE(D68,-3)</f>
        <v>44136</v>
      </c>
      <c r="F68" s="2041">
        <f t="shared" si="18"/>
        <v>44044</v>
      </c>
      <c r="G68" s="2041">
        <f t="shared" si="18"/>
        <v>43952</v>
      </c>
      <c r="H68" s="2041">
        <f t="shared" si="18"/>
        <v>43862</v>
      </c>
      <c r="I68" s="2041">
        <f t="shared" si="18"/>
        <v>43770</v>
      </c>
      <c r="J68" s="2041">
        <f t="shared" si="18"/>
        <v>43678</v>
      </c>
      <c r="K68" s="2041">
        <f t="shared" si="18"/>
        <v>43586</v>
      </c>
      <c r="L68" s="2041">
        <f t="shared" si="18"/>
        <v>43497</v>
      </c>
      <c r="M68" s="2041">
        <f t="shared" si="18"/>
        <v>43405</v>
      </c>
      <c r="N68" s="2041">
        <f t="shared" si="18"/>
        <v>43313</v>
      </c>
      <c r="O68" s="2041">
        <f t="shared" si="18"/>
        <v>43221</v>
      </c>
    </row>
    <row r="69" spans="1:17" ht="21.75" thickBot="1">
      <c r="A69" s="1817" t="s">
        <v>2376</v>
      </c>
      <c r="B69" s="1792"/>
      <c r="C69" s="1818"/>
      <c r="D69" s="1818"/>
      <c r="E69" s="1818"/>
      <c r="F69" s="1818"/>
      <c r="G69" s="1818"/>
      <c r="H69" s="1818"/>
      <c r="I69" s="2043"/>
      <c r="J69" s="2043"/>
      <c r="K69" s="2044"/>
      <c r="L69" s="2045"/>
      <c r="M69" s="2043"/>
      <c r="N69" s="2043"/>
      <c r="O69" s="2043"/>
      <c r="P69" s="2046"/>
      <c r="Q69" s="1822"/>
    </row>
    <row r="70" spans="1:17" s="2051" customFormat="1" ht="15">
      <c r="A70" s="2047" t="s">
        <v>2475</v>
      </c>
      <c r="B70" s="2048"/>
      <c r="C70" s="2049" t="str">
        <f>YEAR(C68)&amp;"-"&amp;ROUNDUP(MONTH(C68)/3,0)</f>
        <v>2021-2</v>
      </c>
      <c r="D70" s="2049" t="str">
        <f>YEAR(D68)&amp;"-"&amp;ROUNDUP(MONTH(D68)/3,0)</f>
        <v>2021-1</v>
      </c>
      <c r="E70" s="2049" t="str">
        <f t="shared" ref="E70:O70" si="19">YEAR(E68)&amp;"-"&amp;ROUNDUP(MONTH(E68)/3,0)</f>
        <v>2020-4</v>
      </c>
      <c r="F70" s="2049" t="str">
        <f t="shared" si="19"/>
        <v>2020-3</v>
      </c>
      <c r="G70" s="2049" t="str">
        <f t="shared" si="19"/>
        <v>2020-2</v>
      </c>
      <c r="H70" s="2049" t="str">
        <f t="shared" si="19"/>
        <v>2020-1</v>
      </c>
      <c r="I70" s="2049" t="str">
        <f t="shared" si="19"/>
        <v>2019-4</v>
      </c>
      <c r="J70" s="2049" t="str">
        <f t="shared" si="19"/>
        <v>2019-3</v>
      </c>
      <c r="K70" s="2049" t="str">
        <f t="shared" si="19"/>
        <v>2019-2</v>
      </c>
      <c r="L70" s="2049" t="str">
        <f t="shared" si="19"/>
        <v>2019-1</v>
      </c>
      <c r="M70" s="2049" t="str">
        <f t="shared" si="19"/>
        <v>2018-4</v>
      </c>
      <c r="N70" s="2049" t="str">
        <f t="shared" si="19"/>
        <v>2018-3</v>
      </c>
      <c r="O70" s="2049" t="str">
        <f t="shared" si="19"/>
        <v>2018-2</v>
      </c>
      <c r="P70" s="2050"/>
    </row>
    <row r="71" spans="1:17" s="1685" customFormat="1" ht="29.25" customHeight="1">
      <c r="A71" s="2052" t="s">
        <v>2476</v>
      </c>
      <c r="B71" s="2053" t="str">
        <f>"北京市平均增长率"&amp;TEXT(SUMIF(基准地价修正!N21:N25,A71,基准地价修正!P21:P25),"0.00%")</f>
        <v>北京市平均增长率1.09%</v>
      </c>
      <c r="C71" s="1906">
        <v>100</v>
      </c>
      <c r="D71" s="1902"/>
      <c r="E71" s="1902"/>
      <c r="F71" s="1902"/>
      <c r="G71" s="1902"/>
      <c r="H71" s="1902"/>
      <c r="I71" s="1902"/>
      <c r="J71" s="1902"/>
      <c r="K71" s="1902"/>
      <c r="L71" s="1902"/>
      <c r="M71" s="2054"/>
      <c r="N71" s="1902"/>
      <c r="O71" s="2055"/>
      <c r="P71" s="1822"/>
    </row>
    <row r="72" spans="1:17" s="1685" customFormat="1" ht="15.75" thickBot="1">
      <c r="A72" s="1835" t="s">
        <v>2296</v>
      </c>
      <c r="B72" s="1836"/>
      <c r="C72" s="1837"/>
      <c r="D72" s="1838"/>
      <c r="E72" s="1838"/>
      <c r="F72" s="1838"/>
      <c r="G72" s="1838"/>
      <c r="H72" s="1838"/>
      <c r="I72" s="1838"/>
      <c r="J72" s="1838"/>
      <c r="K72" s="1838"/>
      <c r="L72" s="1838"/>
      <c r="M72" s="1839"/>
      <c r="N72" s="1838"/>
      <c r="O72" s="2056"/>
      <c r="P72" s="1822"/>
      <c r="Q72" s="1822"/>
    </row>
    <row r="73" spans="1:17" s="1685" customFormat="1" ht="15">
      <c r="A73" s="1840" t="s">
        <v>2260</v>
      </c>
      <c r="B73" s="1830"/>
      <c r="C73" s="1841" t="s">
        <v>2261</v>
      </c>
      <c r="D73" s="409"/>
      <c r="E73" s="409"/>
      <c r="F73" s="409"/>
      <c r="G73" s="409"/>
      <c r="H73" s="409"/>
      <c r="I73" s="409"/>
      <c r="J73" s="409"/>
      <c r="K73" s="409"/>
      <c r="L73" s="409"/>
      <c r="M73" s="1842"/>
      <c r="N73" s="3012"/>
      <c r="O73" s="3012"/>
      <c r="P73" s="2057"/>
      <c r="Q73" s="1822"/>
    </row>
    <row r="74" spans="1:17" s="1685" customFormat="1" ht="15.75" thickBot="1">
      <c r="A74" s="1840"/>
      <c r="B74" s="1830"/>
      <c r="C74" s="1831">
        <v>100</v>
      </c>
      <c r="D74" s="1832"/>
      <c r="E74" s="1832"/>
      <c r="F74" s="1832"/>
      <c r="G74" s="1832"/>
      <c r="H74" s="1832"/>
      <c r="I74" s="1832"/>
      <c r="J74" s="1832"/>
      <c r="K74" s="1832"/>
      <c r="L74" s="1832"/>
      <c r="M74" s="1846"/>
      <c r="N74" s="3012"/>
      <c r="O74" s="3012"/>
      <c r="P74" s="1822"/>
      <c r="Q74" s="1822"/>
    </row>
    <row r="75" spans="1:17">
      <c r="A75" s="1847" t="s">
        <v>2299</v>
      </c>
      <c r="B75" s="1848" t="s">
        <v>2264</v>
      </c>
      <c r="C75" s="1850"/>
      <c r="D75" s="1850"/>
      <c r="E75" s="1850"/>
      <c r="F75" s="1850"/>
      <c r="G75" s="1850"/>
      <c r="H75" s="1850"/>
      <c r="I75" s="1850"/>
      <c r="J75" s="1850"/>
      <c r="K75" s="417"/>
      <c r="L75" s="417"/>
      <c r="M75" s="1851"/>
      <c r="N75" s="3013"/>
      <c r="O75" s="3013"/>
      <c r="P75" s="2058"/>
      <c r="Q75" s="1822"/>
    </row>
    <row r="76" spans="1:17" ht="15.75" thickBot="1">
      <c r="A76" s="1854"/>
      <c r="B76" s="1855"/>
      <c r="C76" s="1856"/>
      <c r="D76" s="1856"/>
      <c r="E76" s="1856"/>
      <c r="F76" s="1856"/>
      <c r="G76" s="1856"/>
      <c r="H76" s="1856"/>
      <c r="I76" s="1856"/>
      <c r="J76" s="1856"/>
      <c r="K76" s="1856"/>
      <c r="L76" s="1856"/>
      <c r="M76" s="1857"/>
      <c r="N76" s="3014"/>
      <c r="O76" s="3014"/>
      <c r="P76" s="2058"/>
      <c r="Q76" s="1822"/>
    </row>
    <row r="77" spans="1:17" ht="27.75" thickTop="1">
      <c r="A77" s="1854"/>
      <c r="B77" s="1859" t="s">
        <v>2267</v>
      </c>
      <c r="C77" s="1860"/>
      <c r="D77" s="1860"/>
      <c r="E77" s="1860"/>
      <c r="F77" s="1860"/>
      <c r="G77" s="1860"/>
      <c r="H77" s="1860"/>
      <c r="I77" s="1860"/>
      <c r="J77" s="1860"/>
      <c r="K77" s="428"/>
      <c r="L77" s="428"/>
      <c r="M77" s="1861"/>
      <c r="N77" s="3013"/>
      <c r="O77" s="3013"/>
      <c r="P77" s="2058"/>
      <c r="Q77" s="1822"/>
    </row>
    <row r="78" spans="1:17" ht="15.75" thickBot="1">
      <c r="A78" s="1854"/>
      <c r="B78" s="1862"/>
      <c r="C78" s="1863"/>
      <c r="D78" s="1863"/>
      <c r="E78" s="1863"/>
      <c r="F78" s="1863"/>
      <c r="G78" s="1863"/>
      <c r="H78" s="1863"/>
      <c r="I78" s="1863"/>
      <c r="J78" s="1863"/>
      <c r="K78" s="1863"/>
      <c r="L78" s="1863"/>
      <c r="M78" s="1864"/>
      <c r="N78" s="3014"/>
      <c r="O78" s="3014"/>
      <c r="P78" s="2058"/>
      <c r="Q78" s="1822"/>
    </row>
    <row r="79" spans="1:17" ht="15.75" thickTop="1">
      <c r="A79" s="1854"/>
      <c r="B79" s="1865" t="s">
        <v>2268</v>
      </c>
      <c r="C79" s="1866" t="str">
        <f>C80&amp;"（含）"&amp;"-"&amp;D80</f>
        <v>（含）-</v>
      </c>
      <c r="D79" s="1866" t="str">
        <f t="shared" ref="D79:L79" si="20">D80&amp;"（含）"&amp;"-"&amp;E80</f>
        <v>（含）-</v>
      </c>
      <c r="E79" s="1866" t="str">
        <f t="shared" si="20"/>
        <v>（含）-</v>
      </c>
      <c r="F79" s="1866" t="str">
        <f t="shared" si="20"/>
        <v>（含）-</v>
      </c>
      <c r="G79" s="1866" t="str">
        <f t="shared" si="20"/>
        <v>（含）-</v>
      </c>
      <c r="H79" s="1866" t="str">
        <f t="shared" si="20"/>
        <v>（含）-</v>
      </c>
      <c r="I79" s="1866" t="str">
        <f t="shared" si="20"/>
        <v>（含）-</v>
      </c>
      <c r="J79" s="1866" t="str">
        <f t="shared" si="20"/>
        <v>（含）-</v>
      </c>
      <c r="K79" s="1866" t="str">
        <f t="shared" si="20"/>
        <v>（含）-</v>
      </c>
      <c r="L79" s="1866" t="str">
        <f t="shared" si="20"/>
        <v>（含）-</v>
      </c>
      <c r="M79" s="1732" t="str">
        <f>M80&amp;"（含）"&amp;"-"&amp;P80</f>
        <v>（含）-</v>
      </c>
      <c r="N79" s="3014"/>
      <c r="O79" s="3014"/>
      <c r="P79" s="2058"/>
      <c r="Q79" s="1822"/>
    </row>
    <row r="80" spans="1:17" ht="15">
      <c r="A80" s="1854"/>
      <c r="B80" s="1867"/>
      <c r="C80" s="1868"/>
      <c r="D80" s="1868"/>
      <c r="E80" s="1868"/>
      <c r="F80" s="1868"/>
      <c r="G80" s="1868"/>
      <c r="H80" s="1868"/>
      <c r="I80" s="1868"/>
      <c r="J80" s="1868"/>
      <c r="K80" s="438"/>
      <c r="L80" s="438"/>
      <c r="M80" s="1869"/>
      <c r="N80" s="3013"/>
      <c r="O80" s="3013"/>
      <c r="P80" s="2058"/>
      <c r="Q80" s="1822"/>
    </row>
    <row r="81" spans="1:17" ht="15.75" thickBot="1">
      <c r="A81" s="1854"/>
      <c r="B81" s="1855"/>
      <c r="C81" s="1863">
        <v>100</v>
      </c>
      <c r="D81" s="1863">
        <f t="shared" ref="D81:M81" si="21">IF($B$46="单位面积地价",C81+$K11,C81-$K11)</f>
        <v>100</v>
      </c>
      <c r="E81" s="1863">
        <f t="shared" si="21"/>
        <v>100</v>
      </c>
      <c r="F81" s="1863">
        <f t="shared" si="21"/>
        <v>100</v>
      </c>
      <c r="G81" s="1863">
        <f t="shared" si="21"/>
        <v>100</v>
      </c>
      <c r="H81" s="1863">
        <f t="shared" si="21"/>
        <v>100</v>
      </c>
      <c r="I81" s="1863">
        <f t="shared" si="21"/>
        <v>100</v>
      </c>
      <c r="J81" s="1863">
        <f t="shared" si="21"/>
        <v>100</v>
      </c>
      <c r="K81" s="1863">
        <f t="shared" si="21"/>
        <v>100</v>
      </c>
      <c r="L81" s="1863">
        <f t="shared" si="21"/>
        <v>100</v>
      </c>
      <c r="M81" s="1863">
        <f t="shared" si="21"/>
        <v>100</v>
      </c>
      <c r="N81" s="3014"/>
      <c r="O81" s="3014"/>
      <c r="P81" s="2058"/>
      <c r="Q81" s="1822"/>
    </row>
    <row r="82" spans="1:17" s="1772" customFormat="1" ht="15.75" thickTop="1">
      <c r="A82" s="1870"/>
      <c r="B82" s="1859" t="str">
        <f>B12</f>
        <v>配建</v>
      </c>
      <c r="C82" s="468"/>
      <c r="D82" s="468"/>
      <c r="E82" s="468"/>
      <c r="F82" s="468"/>
      <c r="G82" s="468"/>
      <c r="H82" s="443"/>
      <c r="I82" s="443"/>
      <c r="J82" s="443"/>
      <c r="K82" s="443"/>
      <c r="L82" s="443"/>
      <c r="M82" s="1871"/>
      <c r="N82" s="3015"/>
      <c r="O82" s="3015"/>
      <c r="P82" s="2059"/>
      <c r="Q82" s="1874"/>
    </row>
    <row r="83" spans="1:17" s="1772" customFormat="1" ht="15.75" thickBot="1">
      <c r="A83" s="1870"/>
      <c r="B83" s="1862"/>
      <c r="C83" s="1875"/>
      <c r="D83" s="1856"/>
      <c r="E83" s="1856"/>
      <c r="F83" s="1856"/>
      <c r="G83" s="1856"/>
      <c r="H83" s="1856"/>
      <c r="I83" s="1856"/>
      <c r="J83" s="1856"/>
      <c r="K83" s="1856"/>
      <c r="L83" s="1856"/>
      <c r="M83" s="1857"/>
      <c r="N83" s="3014"/>
      <c r="O83" s="3014"/>
      <c r="P83" s="2059"/>
      <c r="Q83" s="1874"/>
    </row>
    <row r="84" spans="1:17" s="1772" customFormat="1" ht="15.75" thickTop="1">
      <c r="A84" s="1870"/>
      <c r="B84" s="1859">
        <f>B13</f>
        <v>111</v>
      </c>
      <c r="C84" s="468"/>
      <c r="D84" s="468"/>
      <c r="E84" s="468"/>
      <c r="F84" s="468"/>
      <c r="G84" s="468"/>
      <c r="H84" s="443"/>
      <c r="I84" s="443"/>
      <c r="J84" s="443"/>
      <c r="K84" s="443"/>
      <c r="L84" s="443"/>
      <c r="M84" s="1871"/>
      <c r="N84" s="3015"/>
      <c r="O84" s="3015"/>
      <c r="P84" s="2060"/>
      <c r="Q84" s="1877"/>
    </row>
    <row r="85" spans="1:17" s="1772" customFormat="1" ht="15.75" thickBot="1">
      <c r="A85" s="1870"/>
      <c r="B85" s="1862"/>
      <c r="C85" s="1875"/>
      <c r="D85" s="1875"/>
      <c r="E85" s="1875"/>
      <c r="F85" s="1875"/>
      <c r="G85" s="1875"/>
      <c r="H85" s="1878"/>
      <c r="I85" s="1878"/>
      <c r="J85" s="1878"/>
      <c r="K85" s="1878"/>
      <c r="L85" s="1878"/>
      <c r="M85" s="1879"/>
      <c r="N85" s="3015"/>
      <c r="O85" s="3015"/>
      <c r="P85" s="2059"/>
      <c r="Q85" s="1874"/>
    </row>
    <row r="86" spans="1:17" s="1772" customFormat="1" ht="15.75" thickTop="1">
      <c r="A86" s="1870"/>
      <c r="B86" s="1865">
        <f>B14</f>
        <v>111</v>
      </c>
      <c r="C86" s="409"/>
      <c r="D86" s="409"/>
      <c r="E86" s="409"/>
      <c r="F86" s="409"/>
      <c r="G86" s="409"/>
      <c r="H86" s="453"/>
      <c r="I86" s="453"/>
      <c r="J86" s="453"/>
      <c r="K86" s="453"/>
      <c r="L86" s="453"/>
      <c r="M86" s="1880"/>
      <c r="N86" s="3015"/>
      <c r="O86" s="3015"/>
      <c r="P86" s="2059"/>
      <c r="Q86" s="1874"/>
    </row>
    <row r="87" spans="1:17" s="1772" customFormat="1" ht="15.75" thickBot="1">
      <c r="A87" s="1881"/>
      <c r="B87" s="1882"/>
      <c r="C87" s="1883"/>
      <c r="D87" s="1883"/>
      <c r="E87" s="1883"/>
      <c r="F87" s="1883"/>
      <c r="G87" s="1883"/>
      <c r="H87" s="1884"/>
      <c r="I87" s="1884"/>
      <c r="J87" s="1884"/>
      <c r="K87" s="1884"/>
      <c r="L87" s="1884"/>
      <c r="M87" s="1885"/>
      <c r="N87" s="3015"/>
      <c r="O87" s="3015"/>
      <c r="P87" s="2059"/>
      <c r="Q87" s="1874"/>
    </row>
    <row r="88" spans="1:17">
      <c r="A88" s="1847" t="s">
        <v>2269</v>
      </c>
      <c r="B88" s="1848" t="s">
        <v>2307</v>
      </c>
      <c r="C88" s="1886" t="s">
        <v>2308</v>
      </c>
      <c r="D88" s="1886" t="s">
        <v>2309</v>
      </c>
      <c r="E88" s="1886" t="s">
        <v>2310</v>
      </c>
      <c r="F88" s="1886" t="s">
        <v>2311</v>
      </c>
      <c r="G88" s="1886" t="s">
        <v>2312</v>
      </c>
      <c r="H88" s="1849"/>
      <c r="I88" s="1849"/>
      <c r="J88" s="1849"/>
      <c r="K88" s="463"/>
      <c r="L88" s="463"/>
      <c r="M88" s="1887"/>
      <c r="N88" s="3013"/>
      <c r="O88" s="3013"/>
      <c r="P88" s="2058"/>
      <c r="Q88" s="1822"/>
    </row>
    <row r="89" spans="1:17" ht="15.75" thickBot="1">
      <c r="A89" s="1854"/>
      <c r="B89" s="1862"/>
      <c r="C89" s="1863">
        <v>100</v>
      </c>
      <c r="D89" s="1863">
        <f>C89-$K15</f>
        <v>100</v>
      </c>
      <c r="E89" s="1863">
        <f>D89-$K15</f>
        <v>100</v>
      </c>
      <c r="F89" s="1863">
        <f>E89-$K15</f>
        <v>100</v>
      </c>
      <c r="G89" s="1863">
        <f>F89-$K15</f>
        <v>100</v>
      </c>
      <c r="H89" s="1863"/>
      <c r="I89" s="1863"/>
      <c r="J89" s="1863"/>
      <c r="K89" s="1863"/>
      <c r="L89" s="1863"/>
      <c r="M89" s="1864"/>
      <c r="N89" s="3014"/>
      <c r="O89" s="3014"/>
      <c r="P89" s="2058"/>
      <c r="Q89" s="1822"/>
    </row>
    <row r="90" spans="1:17" ht="15.75" thickTop="1">
      <c r="A90" s="1854"/>
      <c r="B90" s="1859" t="s">
        <v>2477</v>
      </c>
      <c r="C90" s="579" t="s">
        <v>2308</v>
      </c>
      <c r="D90" s="579" t="s">
        <v>2309</v>
      </c>
      <c r="E90" s="579" t="s">
        <v>2310</v>
      </c>
      <c r="F90" s="579" t="s">
        <v>2311</v>
      </c>
      <c r="G90" s="579" t="s">
        <v>2312</v>
      </c>
      <c r="H90" s="1860"/>
      <c r="I90" s="1860"/>
      <c r="J90" s="1860"/>
      <c r="K90" s="428"/>
      <c r="L90" s="428"/>
      <c r="M90" s="1861"/>
      <c r="N90" s="3013"/>
      <c r="O90" s="3013"/>
      <c r="P90" s="2058"/>
      <c r="Q90" s="1822"/>
    </row>
    <row r="91" spans="1:17" ht="15.75" thickBot="1">
      <c r="A91" s="1854"/>
      <c r="B91" s="1862"/>
      <c r="C91" s="1863">
        <v>100</v>
      </c>
      <c r="D91" s="1863">
        <f>C91-$K17</f>
        <v>100</v>
      </c>
      <c r="E91" s="1863">
        <f>D91-$K17</f>
        <v>100</v>
      </c>
      <c r="F91" s="1863">
        <f>E91-$K17</f>
        <v>100</v>
      </c>
      <c r="G91" s="1863">
        <f>F91-$K17</f>
        <v>100</v>
      </c>
      <c r="H91" s="1863"/>
      <c r="I91" s="1863"/>
      <c r="J91" s="1863"/>
      <c r="K91" s="1863"/>
      <c r="L91" s="1863"/>
      <c r="M91" s="1864"/>
      <c r="N91" s="3014"/>
      <c r="O91" s="3014"/>
      <c r="P91" s="2058"/>
      <c r="Q91" s="1822"/>
    </row>
    <row r="92" spans="1:17" ht="15.75" thickTop="1">
      <c r="A92" s="1854"/>
      <c r="B92" s="1859" t="s">
        <v>2395</v>
      </c>
      <c r="C92" s="579" t="s">
        <v>2308</v>
      </c>
      <c r="D92" s="579" t="s">
        <v>2309</v>
      </c>
      <c r="E92" s="579" t="s">
        <v>2310</v>
      </c>
      <c r="F92" s="579" t="s">
        <v>2311</v>
      </c>
      <c r="G92" s="579" t="s">
        <v>2312</v>
      </c>
      <c r="H92" s="1860"/>
      <c r="I92" s="1860"/>
      <c r="J92" s="1860"/>
      <c r="K92" s="428"/>
      <c r="L92" s="428"/>
      <c r="M92" s="1861"/>
      <c r="N92" s="3013"/>
      <c r="O92" s="3013"/>
      <c r="P92" s="2058"/>
      <c r="Q92" s="1822"/>
    </row>
    <row r="93" spans="1:17" ht="15.75" thickBot="1">
      <c r="A93" s="1854"/>
      <c r="B93" s="1862"/>
      <c r="C93" s="1863">
        <v>100</v>
      </c>
      <c r="D93" s="1863">
        <f>C93-$K19</f>
        <v>100</v>
      </c>
      <c r="E93" s="1863">
        <f>D93-$K19</f>
        <v>100</v>
      </c>
      <c r="F93" s="1863">
        <f>E93-$K19</f>
        <v>100</v>
      </c>
      <c r="G93" s="1863">
        <f>F93-$K19</f>
        <v>100</v>
      </c>
      <c r="H93" s="1863"/>
      <c r="I93" s="1863"/>
      <c r="J93" s="1863"/>
      <c r="K93" s="1863"/>
      <c r="L93" s="1863"/>
      <c r="M93" s="1864"/>
      <c r="N93" s="3014"/>
      <c r="O93" s="3014"/>
      <c r="P93" s="2058"/>
      <c r="Q93" s="1822"/>
    </row>
    <row r="94" spans="1:17" ht="15.75" thickTop="1">
      <c r="A94" s="1854"/>
      <c r="B94" s="1859" t="s">
        <v>2313</v>
      </c>
      <c r="C94" s="579" t="s">
        <v>2308</v>
      </c>
      <c r="D94" s="579" t="s">
        <v>2309</v>
      </c>
      <c r="E94" s="579" t="s">
        <v>2310</v>
      </c>
      <c r="F94" s="579" t="s">
        <v>2311</v>
      </c>
      <c r="G94" s="579" t="s">
        <v>2312</v>
      </c>
      <c r="H94" s="1860"/>
      <c r="I94" s="1860"/>
      <c r="J94" s="1860"/>
      <c r="K94" s="428"/>
      <c r="L94" s="428"/>
      <c r="M94" s="1861"/>
      <c r="N94" s="3013"/>
      <c r="O94" s="3013"/>
      <c r="P94" s="2058"/>
      <c r="Q94" s="1822"/>
    </row>
    <row r="95" spans="1:17" ht="15.75" thickBot="1">
      <c r="A95" s="1854"/>
      <c r="B95" s="1862"/>
      <c r="C95" s="1863">
        <v>100</v>
      </c>
      <c r="D95" s="1863">
        <f>C95-$K21</f>
        <v>100</v>
      </c>
      <c r="E95" s="1863">
        <f>D95-$K21</f>
        <v>100</v>
      </c>
      <c r="F95" s="1863">
        <f>E95-$K21</f>
        <v>100</v>
      </c>
      <c r="G95" s="1863">
        <f>F95-$K21</f>
        <v>100</v>
      </c>
      <c r="H95" s="1863"/>
      <c r="I95" s="1863"/>
      <c r="J95" s="1863"/>
      <c r="K95" s="1863"/>
      <c r="L95" s="1863"/>
      <c r="M95" s="1864"/>
      <c r="N95" s="3014"/>
      <c r="O95" s="3014"/>
      <c r="P95" s="2058"/>
      <c r="Q95" s="1822"/>
    </row>
    <row r="96" spans="1:17" s="1685" customFormat="1" ht="15.75" thickTop="1">
      <c r="A96" s="1890"/>
      <c r="B96" s="1859" t="s">
        <v>2478</v>
      </c>
      <c r="C96" s="579" t="s">
        <v>2308</v>
      </c>
      <c r="D96" s="579" t="s">
        <v>2309</v>
      </c>
      <c r="E96" s="579" t="s">
        <v>2310</v>
      </c>
      <c r="F96" s="579" t="s">
        <v>2311</v>
      </c>
      <c r="G96" s="579" t="s">
        <v>2312</v>
      </c>
      <c r="H96" s="579"/>
      <c r="I96" s="579"/>
      <c r="J96" s="579"/>
      <c r="K96" s="579"/>
      <c r="L96" s="579"/>
      <c r="M96" s="2061"/>
      <c r="N96" s="3012"/>
      <c r="O96" s="3012"/>
      <c r="P96" s="2058"/>
      <c r="Q96" s="1822"/>
    </row>
    <row r="97" spans="1:17" s="1685" customFormat="1" ht="15.75" thickBot="1">
      <c r="A97" s="1890"/>
      <c r="B97" s="1862"/>
      <c r="C97" s="1892">
        <v>100</v>
      </c>
      <c r="D97" s="1863">
        <f>C97-$K23</f>
        <v>100</v>
      </c>
      <c r="E97" s="1863">
        <f>D97-$K23</f>
        <v>100</v>
      </c>
      <c r="F97" s="1863">
        <f>E97-$K23</f>
        <v>100</v>
      </c>
      <c r="G97" s="1863">
        <f>F97-$K23</f>
        <v>100</v>
      </c>
      <c r="H97" s="1863"/>
      <c r="I97" s="1863"/>
      <c r="J97" s="1863"/>
      <c r="K97" s="1863"/>
      <c r="L97" s="1863"/>
      <c r="M97" s="1864"/>
      <c r="N97" s="3014"/>
      <c r="O97" s="3014"/>
      <c r="P97" s="2058"/>
      <c r="Q97" s="1822"/>
    </row>
    <row r="98" spans="1:17" s="1685" customFormat="1" ht="27.75" thickTop="1">
      <c r="A98" s="1890"/>
      <c r="B98" s="1859" t="s">
        <v>2479</v>
      </c>
      <c r="C98" s="1886" t="s">
        <v>2308</v>
      </c>
      <c r="D98" s="1886" t="s">
        <v>2309</v>
      </c>
      <c r="E98" s="1886" t="s">
        <v>2310</v>
      </c>
      <c r="F98" s="1886" t="s">
        <v>2311</v>
      </c>
      <c r="G98" s="1886" t="s">
        <v>2312</v>
      </c>
      <c r="H98" s="579"/>
      <c r="I98" s="579"/>
      <c r="J98" s="579"/>
      <c r="K98" s="579"/>
      <c r="L98" s="579"/>
      <c r="M98" s="2061"/>
      <c r="N98" s="3012"/>
      <c r="O98" s="3012"/>
      <c r="P98" s="2058"/>
      <c r="Q98" s="1822"/>
    </row>
    <row r="99" spans="1:17" s="1685" customFormat="1" ht="15.75" thickBot="1">
      <c r="A99" s="1890"/>
      <c r="B99" s="1862"/>
      <c r="C99" s="1863">
        <v>100</v>
      </c>
      <c r="D99" s="1863">
        <f>C99-$K25</f>
        <v>100</v>
      </c>
      <c r="E99" s="1863">
        <f>D99-$K25</f>
        <v>100</v>
      </c>
      <c r="F99" s="1863">
        <f>E99-$K25</f>
        <v>100</v>
      </c>
      <c r="G99" s="1863">
        <f>F99-$K25</f>
        <v>100</v>
      </c>
      <c r="H99" s="1863"/>
      <c r="I99" s="1863"/>
      <c r="J99" s="1863"/>
      <c r="K99" s="1863"/>
      <c r="L99" s="1863"/>
      <c r="M99" s="1864"/>
      <c r="N99" s="3014"/>
      <c r="O99" s="3014"/>
      <c r="P99" s="2058"/>
      <c r="Q99" s="1822"/>
    </row>
    <row r="100" spans="1:17" s="1685" customFormat="1" ht="15.75" thickTop="1">
      <c r="A100" s="1890"/>
      <c r="B100" s="1865" t="s">
        <v>2356</v>
      </c>
      <c r="C100" s="1886" t="s">
        <v>2308</v>
      </c>
      <c r="D100" s="1886" t="s">
        <v>2309</v>
      </c>
      <c r="E100" s="1886" t="s">
        <v>2310</v>
      </c>
      <c r="F100" s="1886" t="s">
        <v>2311</v>
      </c>
      <c r="G100" s="1886" t="s">
        <v>2312</v>
      </c>
      <c r="H100" s="1860"/>
      <c r="I100" s="1860"/>
      <c r="J100" s="1860"/>
      <c r="K100" s="1860"/>
      <c r="L100" s="1860"/>
      <c r="M100" s="1888"/>
      <c r="N100" s="3014"/>
      <c r="O100" s="3014"/>
      <c r="P100" s="2058"/>
      <c r="Q100" s="1822"/>
    </row>
    <row r="101" spans="1:17" s="1685" customFormat="1" ht="15.75" thickBot="1">
      <c r="A101" s="1890"/>
      <c r="B101" s="1865"/>
      <c r="C101" s="1863">
        <v>100</v>
      </c>
      <c r="D101" s="1863">
        <f>C101-$K27</f>
        <v>100</v>
      </c>
      <c r="E101" s="1863">
        <f>D101-$K27</f>
        <v>100</v>
      </c>
      <c r="F101" s="1863">
        <f>E101-$K27</f>
        <v>100</v>
      </c>
      <c r="G101" s="1863">
        <f>F101-$K27</f>
        <v>100</v>
      </c>
      <c r="H101" s="1889"/>
      <c r="I101" s="1889"/>
      <c r="J101" s="1889"/>
      <c r="K101" s="1889"/>
      <c r="L101" s="1889"/>
      <c r="M101" s="1736"/>
      <c r="N101" s="3014"/>
      <c r="O101" s="3014"/>
      <c r="P101" s="2058"/>
      <c r="Q101" s="1822"/>
    </row>
    <row r="102" spans="1:17" s="1772" customFormat="1" ht="15.75" thickTop="1">
      <c r="A102" s="1870"/>
      <c r="B102" s="1859" t="s">
        <v>2357</v>
      </c>
      <c r="C102" s="1860" t="s">
        <v>2315</v>
      </c>
      <c r="D102" s="1860" t="s">
        <v>2316</v>
      </c>
      <c r="E102" s="1860" t="s">
        <v>2317</v>
      </c>
      <c r="F102" s="1860" t="s">
        <v>2318</v>
      </c>
      <c r="G102" s="1860" t="s">
        <v>2319</v>
      </c>
      <c r="H102" s="489"/>
      <c r="I102" s="489"/>
      <c r="J102" s="489"/>
      <c r="K102" s="489"/>
      <c r="L102" s="489"/>
      <c r="M102" s="1905"/>
      <c r="N102" s="3015"/>
      <c r="O102" s="3015"/>
      <c r="P102" s="2059"/>
      <c r="Q102" s="1874"/>
    </row>
    <row r="103" spans="1:17" s="1772" customFormat="1" ht="15.75" thickBot="1">
      <c r="A103" s="1870"/>
      <c r="B103" s="1862"/>
      <c r="C103" s="1863">
        <v>100</v>
      </c>
      <c r="D103" s="1863">
        <f>C103-$K29</f>
        <v>100</v>
      </c>
      <c r="E103" s="1863">
        <f>D103-$K29</f>
        <v>100</v>
      </c>
      <c r="F103" s="1863">
        <f>E103-$K29</f>
        <v>100</v>
      </c>
      <c r="G103" s="1863">
        <f>F103-$K29</f>
        <v>100</v>
      </c>
      <c r="H103" s="1908"/>
      <c r="I103" s="1908"/>
      <c r="J103" s="1908"/>
      <c r="K103" s="1908"/>
      <c r="L103" s="1908"/>
      <c r="M103" s="1909"/>
      <c r="N103" s="3015"/>
      <c r="O103" s="3015"/>
      <c r="P103" s="2059"/>
      <c r="Q103" s="1874"/>
    </row>
    <row r="104" spans="1:17" ht="15.75" thickTop="1">
      <c r="A104" s="1854"/>
      <c r="B104" s="1859" t="str">
        <f>B31</f>
        <v>临街状况</v>
      </c>
      <c r="C104" s="1860" t="s">
        <v>2480</v>
      </c>
      <c r="D104" s="1860" t="s">
        <v>2481</v>
      </c>
      <c r="E104" s="1860" t="s">
        <v>2482</v>
      </c>
      <c r="F104" s="1860" t="s">
        <v>2483</v>
      </c>
      <c r="G104" s="1860"/>
      <c r="H104" s="1860"/>
      <c r="I104" s="1860"/>
      <c r="J104" s="1860"/>
      <c r="K104" s="428"/>
      <c r="L104" s="428"/>
      <c r="M104" s="1861"/>
      <c r="N104" s="3013"/>
      <c r="O104" s="3013"/>
      <c r="P104" s="2058"/>
      <c r="Q104" s="1822"/>
    </row>
    <row r="105" spans="1:17" ht="15.75" thickBot="1">
      <c r="A105" s="1854"/>
      <c r="B105" s="1862"/>
      <c r="C105" s="1863">
        <v>100</v>
      </c>
      <c r="D105" s="1863">
        <f>C105-$K31</f>
        <v>100</v>
      </c>
      <c r="E105" s="1863">
        <f t="shared" ref="E105:M105" si="22">D105-$K31</f>
        <v>100</v>
      </c>
      <c r="F105" s="1863">
        <f t="shared" si="22"/>
        <v>100</v>
      </c>
      <c r="G105" s="1863">
        <f t="shared" si="22"/>
        <v>100</v>
      </c>
      <c r="H105" s="1863">
        <f t="shared" si="22"/>
        <v>100</v>
      </c>
      <c r="I105" s="1863">
        <f t="shared" si="22"/>
        <v>100</v>
      </c>
      <c r="J105" s="1863">
        <f t="shared" si="22"/>
        <v>100</v>
      </c>
      <c r="K105" s="1863">
        <f t="shared" si="22"/>
        <v>100</v>
      </c>
      <c r="L105" s="1863">
        <f t="shared" si="22"/>
        <v>100</v>
      </c>
      <c r="M105" s="1863">
        <f t="shared" si="22"/>
        <v>100</v>
      </c>
      <c r="N105" s="3014"/>
      <c r="O105" s="3014"/>
      <c r="P105" s="2058"/>
      <c r="Q105" s="1822"/>
    </row>
    <row r="106" spans="1:17" ht="27.75" thickTop="1">
      <c r="A106" s="1854"/>
      <c r="B106" s="1859" t="s">
        <v>2388</v>
      </c>
      <c r="C106" s="468"/>
      <c r="D106" s="468"/>
      <c r="E106" s="468"/>
      <c r="F106" s="468"/>
      <c r="G106" s="468"/>
      <c r="H106" s="1578"/>
      <c r="I106" s="1578"/>
      <c r="J106" s="1578"/>
      <c r="K106" s="473"/>
      <c r="L106" s="473"/>
      <c r="M106" s="1894"/>
      <c r="N106" s="3013"/>
      <c r="O106" s="3013"/>
      <c r="P106" s="2058"/>
      <c r="Q106" s="1822"/>
    </row>
    <row r="107" spans="1:17" ht="15.75" thickBot="1">
      <c r="A107" s="1854"/>
      <c r="B107" s="1862"/>
      <c r="C107" s="1863">
        <v>100</v>
      </c>
      <c r="D107" s="1863">
        <f>C107-$K32</f>
        <v>100</v>
      </c>
      <c r="E107" s="1863">
        <f t="shared" ref="E107:M107" si="23">D107-$K32</f>
        <v>100</v>
      </c>
      <c r="F107" s="1863">
        <f t="shared" si="23"/>
        <v>100</v>
      </c>
      <c r="G107" s="1863">
        <f t="shared" si="23"/>
        <v>100</v>
      </c>
      <c r="H107" s="1863">
        <f t="shared" si="23"/>
        <v>100</v>
      </c>
      <c r="I107" s="1863">
        <f t="shared" si="23"/>
        <v>100</v>
      </c>
      <c r="J107" s="1863">
        <f t="shared" si="23"/>
        <v>100</v>
      </c>
      <c r="K107" s="1863">
        <f t="shared" si="23"/>
        <v>100</v>
      </c>
      <c r="L107" s="1863">
        <f t="shared" si="23"/>
        <v>100</v>
      </c>
      <c r="M107" s="1863">
        <f t="shared" si="23"/>
        <v>100</v>
      </c>
      <c r="N107" s="3014"/>
      <c r="O107" s="3014"/>
      <c r="P107" s="2058"/>
      <c r="Q107" s="1822"/>
    </row>
    <row r="108" spans="1:17" ht="15.75" thickTop="1">
      <c r="A108" s="1854"/>
      <c r="B108" s="1859" t="s">
        <v>2449</v>
      </c>
      <c r="C108" s="1578"/>
      <c r="D108" s="1578"/>
      <c r="E108" s="1578"/>
      <c r="F108" s="1578"/>
      <c r="G108" s="1578"/>
      <c r="H108" s="1578"/>
      <c r="I108" s="1578"/>
      <c r="J108" s="1578"/>
      <c r="K108" s="473"/>
      <c r="L108" s="473"/>
      <c r="M108" s="1894"/>
      <c r="N108" s="3013"/>
      <c r="O108" s="3013"/>
      <c r="P108" s="2058"/>
      <c r="Q108" s="1822"/>
    </row>
    <row r="109" spans="1:17" ht="15.75" thickBot="1">
      <c r="A109" s="1854"/>
      <c r="B109" s="1862"/>
      <c r="C109" s="1863">
        <v>100</v>
      </c>
      <c r="D109" s="1863">
        <f>C109-$K34</f>
        <v>100</v>
      </c>
      <c r="E109" s="1863">
        <f t="shared" ref="E109:M109" si="24">D109-$K34</f>
        <v>100</v>
      </c>
      <c r="F109" s="1863">
        <f t="shared" si="24"/>
        <v>100</v>
      </c>
      <c r="G109" s="1863">
        <f t="shared" si="24"/>
        <v>100</v>
      </c>
      <c r="H109" s="1863">
        <f t="shared" si="24"/>
        <v>100</v>
      </c>
      <c r="I109" s="1863">
        <f t="shared" si="24"/>
        <v>100</v>
      </c>
      <c r="J109" s="1863">
        <f t="shared" si="24"/>
        <v>100</v>
      </c>
      <c r="K109" s="1863">
        <f t="shared" si="24"/>
        <v>100</v>
      </c>
      <c r="L109" s="1863">
        <f t="shared" si="24"/>
        <v>100</v>
      </c>
      <c r="M109" s="1863">
        <f t="shared" si="24"/>
        <v>100</v>
      </c>
      <c r="N109" s="3014"/>
      <c r="O109" s="3014"/>
      <c r="P109" s="2058"/>
      <c r="Q109" s="1822"/>
    </row>
    <row r="110" spans="1:17" ht="15.75" thickTop="1">
      <c r="A110" s="1854"/>
      <c r="B110" s="1865">
        <f>B35</f>
        <v>111</v>
      </c>
      <c r="C110" s="468"/>
      <c r="D110" s="468"/>
      <c r="E110" s="468"/>
      <c r="F110" s="468"/>
      <c r="G110" s="1895"/>
      <c r="H110" s="1895"/>
      <c r="I110" s="1895"/>
      <c r="J110" s="1895"/>
      <c r="K110" s="477"/>
      <c r="L110" s="477"/>
      <c r="M110" s="1896"/>
      <c r="N110" s="3013"/>
      <c r="O110" s="3013"/>
      <c r="P110" s="2058"/>
      <c r="Q110" s="1822"/>
    </row>
    <row r="111" spans="1:17" ht="15.75" thickBot="1">
      <c r="A111" s="1854"/>
      <c r="B111" s="1882"/>
      <c r="C111" s="1875"/>
      <c r="D111" s="1875"/>
      <c r="E111" s="1875"/>
      <c r="F111" s="1875"/>
      <c r="G111" s="1898"/>
      <c r="H111" s="1898"/>
      <c r="I111" s="1898"/>
      <c r="J111" s="1898"/>
      <c r="K111" s="1898"/>
      <c r="L111" s="1898"/>
      <c r="M111" s="1899"/>
      <c r="N111" s="3014"/>
      <c r="O111" s="3014"/>
      <c r="P111" s="2058"/>
      <c r="Q111" s="1822"/>
    </row>
    <row r="112" spans="1:17" ht="15" thickTop="1">
      <c r="A112" s="1995"/>
      <c r="B112" s="1859">
        <f>B36</f>
        <v>111</v>
      </c>
      <c r="C112" s="409"/>
      <c r="D112" s="409"/>
      <c r="E112" s="409"/>
      <c r="F112" s="409"/>
      <c r="G112" s="1578"/>
      <c r="H112" s="1578"/>
      <c r="I112" s="1578"/>
      <c r="J112" s="1578"/>
      <c r="K112" s="473"/>
      <c r="L112" s="473"/>
      <c r="M112" s="1894"/>
      <c r="N112" s="3013"/>
      <c r="O112" s="3013"/>
      <c r="P112" s="2058"/>
      <c r="Q112" s="1822"/>
    </row>
    <row r="113" spans="1:17" ht="15.75" thickBot="1">
      <c r="A113" s="1854"/>
      <c r="B113" s="1862"/>
      <c r="C113" s="1883"/>
      <c r="D113" s="1883"/>
      <c r="E113" s="1883"/>
      <c r="F113" s="1883"/>
      <c r="G113" s="1856"/>
      <c r="H113" s="1856"/>
      <c r="I113" s="1856"/>
      <c r="J113" s="1856"/>
      <c r="K113" s="1856"/>
      <c r="L113" s="1856"/>
      <c r="M113" s="1857"/>
      <c r="N113" s="3014"/>
      <c r="O113" s="3014"/>
      <c r="P113" s="2058"/>
      <c r="Q113" s="1822"/>
    </row>
    <row r="114" spans="1:17" s="1772" customFormat="1" ht="15" thickTop="1">
      <c r="A114" s="1900"/>
      <c r="B114" s="1901">
        <f>B37</f>
        <v>111</v>
      </c>
      <c r="C114" s="1902"/>
      <c r="D114" s="1902"/>
      <c r="E114" s="1902"/>
      <c r="F114" s="1902"/>
      <c r="G114" s="1902"/>
      <c r="H114" s="1902"/>
      <c r="I114" s="1902"/>
      <c r="J114" s="485"/>
      <c r="K114" s="485"/>
      <c r="L114" s="485"/>
      <c r="M114" s="1903"/>
      <c r="N114" s="3015"/>
      <c r="O114" s="3015"/>
      <c r="P114" s="2059"/>
      <c r="Q114" s="1874"/>
    </row>
    <row r="115" spans="1:17" s="1772" customFormat="1" ht="15.75" thickBot="1">
      <c r="A115" s="1870"/>
      <c r="B115" s="1865"/>
      <c r="C115" s="1832"/>
      <c r="D115" s="2062"/>
      <c r="E115" s="2062"/>
      <c r="F115" s="2062"/>
      <c r="G115" s="2062"/>
      <c r="H115" s="2062"/>
      <c r="I115" s="2062"/>
      <c r="J115" s="2062"/>
      <c r="K115" s="2062"/>
      <c r="L115" s="2062"/>
      <c r="M115" s="2063"/>
      <c r="N115" s="3014"/>
      <c r="O115" s="3014"/>
      <c r="P115" s="2059"/>
      <c r="Q115" s="1874"/>
    </row>
    <row r="116" spans="1:17">
      <c r="A116" s="1847" t="s">
        <v>2274</v>
      </c>
      <c r="B116" s="1848" t="s">
        <v>2484</v>
      </c>
      <c r="C116" s="1314" t="str">
        <f t="shared" ref="C116:L116" si="25">C117&amp;"(含)"&amp;"-"&amp;D117</f>
        <v>(含)-</v>
      </c>
      <c r="D116" s="1314" t="str">
        <f t="shared" si="25"/>
        <v>(含)-</v>
      </c>
      <c r="E116" s="1314" t="str">
        <f t="shared" si="25"/>
        <v>(含)-</v>
      </c>
      <c r="F116" s="1314" t="str">
        <f t="shared" si="25"/>
        <v>(含)-</v>
      </c>
      <c r="G116" s="1314" t="str">
        <f t="shared" si="25"/>
        <v>(含)-</v>
      </c>
      <c r="H116" s="1314" t="str">
        <f t="shared" si="25"/>
        <v>(含)-</v>
      </c>
      <c r="I116" s="1314" t="str">
        <f t="shared" si="25"/>
        <v>(含)-</v>
      </c>
      <c r="J116" s="1314" t="str">
        <f t="shared" si="25"/>
        <v>(含)-</v>
      </c>
      <c r="K116" s="1314" t="str">
        <f t="shared" si="25"/>
        <v>(含)-</v>
      </c>
      <c r="L116" s="1314" t="str">
        <f t="shared" si="25"/>
        <v>(含)-</v>
      </c>
      <c r="M116" s="2064" t="str">
        <f>M117&amp;"(含)"&amp;"-"&amp;P117</f>
        <v>(含)-</v>
      </c>
      <c r="N116" s="3013"/>
      <c r="O116" s="3013"/>
      <c r="P116" s="2058"/>
      <c r="Q116" s="1822"/>
    </row>
    <row r="117" spans="1:17" ht="15">
      <c r="A117" s="1854"/>
      <c r="B117" s="1865"/>
      <c r="C117" s="1902"/>
      <c r="D117" s="1902"/>
      <c r="E117" s="1902"/>
      <c r="F117" s="1902"/>
      <c r="G117" s="1902"/>
      <c r="H117" s="1902"/>
      <c r="I117" s="1902"/>
      <c r="J117" s="485"/>
      <c r="K117" s="485"/>
      <c r="L117" s="485"/>
      <c r="M117" s="1903"/>
      <c r="N117" s="3013"/>
      <c r="O117" s="3013"/>
      <c r="P117" s="2058"/>
      <c r="Q117" s="1822"/>
    </row>
    <row r="118" spans="1:17" ht="15.75" thickBot="1">
      <c r="A118" s="1854"/>
      <c r="B118" s="1862"/>
      <c r="C118" s="1883"/>
      <c r="D118" s="1898"/>
      <c r="E118" s="1898"/>
      <c r="F118" s="1898"/>
      <c r="G118" s="1898"/>
      <c r="H118" s="1898"/>
      <c r="I118" s="1898"/>
      <c r="J118" s="1898"/>
      <c r="K118" s="1898"/>
      <c r="L118" s="1898"/>
      <c r="M118" s="1899"/>
      <c r="N118" s="3014"/>
      <c r="O118" s="3014"/>
      <c r="P118" s="2058"/>
      <c r="Q118" s="1822"/>
    </row>
    <row r="119" spans="1:17" ht="15" thickTop="1">
      <c r="A119" s="1904"/>
      <c r="B119" s="1859" t="s">
        <v>2485</v>
      </c>
      <c r="C119" s="1578"/>
      <c r="D119" s="1578"/>
      <c r="E119" s="1578"/>
      <c r="F119" s="1578"/>
      <c r="G119" s="1578"/>
      <c r="H119" s="1578"/>
      <c r="I119" s="1578"/>
      <c r="J119" s="1578"/>
      <c r="K119" s="473"/>
      <c r="L119" s="473"/>
      <c r="M119" s="1894"/>
      <c r="N119" s="3013"/>
      <c r="O119" s="3013"/>
      <c r="P119" s="2058"/>
      <c r="Q119" s="1822"/>
    </row>
    <row r="120" spans="1:17" ht="15.75" thickBot="1">
      <c r="A120" s="1854"/>
      <c r="B120" s="1862"/>
      <c r="C120" s="1863">
        <v>100</v>
      </c>
      <c r="D120" s="1863">
        <f t="shared" ref="D120:M120" si="26">C120-$K39</f>
        <v>100</v>
      </c>
      <c r="E120" s="1863">
        <f t="shared" si="26"/>
        <v>100</v>
      </c>
      <c r="F120" s="1863">
        <f t="shared" si="26"/>
        <v>100</v>
      </c>
      <c r="G120" s="1863">
        <f t="shared" si="26"/>
        <v>100</v>
      </c>
      <c r="H120" s="1863">
        <f t="shared" si="26"/>
        <v>100</v>
      </c>
      <c r="I120" s="1863">
        <f t="shared" si="26"/>
        <v>100</v>
      </c>
      <c r="J120" s="1863">
        <f t="shared" si="26"/>
        <v>100</v>
      </c>
      <c r="K120" s="1863">
        <f t="shared" si="26"/>
        <v>100</v>
      </c>
      <c r="L120" s="1863">
        <f t="shared" si="26"/>
        <v>100</v>
      </c>
      <c r="M120" s="1864">
        <f t="shared" si="26"/>
        <v>100</v>
      </c>
      <c r="N120" s="3014"/>
      <c r="O120" s="3014"/>
      <c r="P120" s="2058"/>
      <c r="Q120" s="1822"/>
    </row>
    <row r="121" spans="1:17" ht="15" thickTop="1">
      <c r="A121" s="1904"/>
      <c r="B121" s="1859" t="s">
        <v>2486</v>
      </c>
      <c r="C121" s="468"/>
      <c r="D121" s="468"/>
      <c r="E121" s="468"/>
      <c r="F121" s="1578"/>
      <c r="G121" s="1578"/>
      <c r="H121" s="1578"/>
      <c r="I121" s="1578"/>
      <c r="J121" s="1578"/>
      <c r="K121" s="473"/>
      <c r="L121" s="473"/>
      <c r="M121" s="1894"/>
      <c r="N121" s="3013"/>
      <c r="O121" s="3013"/>
      <c r="P121" s="2058"/>
      <c r="Q121" s="1822"/>
    </row>
    <row r="122" spans="1:17" ht="15.75" thickBot="1">
      <c r="A122" s="1854"/>
      <c r="B122" s="1862"/>
      <c r="C122" s="1863">
        <v>100</v>
      </c>
      <c r="D122" s="1863">
        <f t="shared" ref="D122:M122" si="27">C122-$K40</f>
        <v>100</v>
      </c>
      <c r="E122" s="1863">
        <f t="shared" si="27"/>
        <v>100</v>
      </c>
      <c r="F122" s="1863">
        <f t="shared" si="27"/>
        <v>100</v>
      </c>
      <c r="G122" s="1863">
        <f t="shared" si="27"/>
        <v>100</v>
      </c>
      <c r="H122" s="1863">
        <f t="shared" si="27"/>
        <v>100</v>
      </c>
      <c r="I122" s="1863">
        <f t="shared" si="27"/>
        <v>100</v>
      </c>
      <c r="J122" s="1863">
        <f t="shared" si="27"/>
        <v>100</v>
      </c>
      <c r="K122" s="1863">
        <f t="shared" si="27"/>
        <v>100</v>
      </c>
      <c r="L122" s="1863">
        <f t="shared" si="27"/>
        <v>100</v>
      </c>
      <c r="M122" s="1864">
        <f t="shared" si="27"/>
        <v>100</v>
      </c>
      <c r="N122" s="3014"/>
      <c r="O122" s="3014"/>
      <c r="P122" s="2058"/>
      <c r="Q122" s="1822"/>
    </row>
    <row r="123" spans="1:17" s="1772" customFormat="1" ht="15" thickTop="1">
      <c r="A123" s="1900"/>
      <c r="B123" s="1859" t="s">
        <v>2487</v>
      </c>
      <c r="C123" s="468"/>
      <c r="D123" s="468"/>
      <c r="E123" s="468"/>
      <c r="F123" s="468"/>
      <c r="G123" s="468"/>
      <c r="H123" s="1578"/>
      <c r="I123" s="1578"/>
      <c r="J123" s="1578"/>
      <c r="K123" s="473"/>
      <c r="L123" s="473"/>
      <c r="M123" s="1894"/>
      <c r="N123" s="3015"/>
      <c r="O123" s="3015"/>
      <c r="P123" s="2059"/>
      <c r="Q123" s="1874"/>
    </row>
    <row r="124" spans="1:17" s="1772" customFormat="1" ht="15.75" thickBot="1">
      <c r="A124" s="1870"/>
      <c r="B124" s="1862"/>
      <c r="C124" s="1863">
        <v>100</v>
      </c>
      <c r="D124" s="1863">
        <f>C124-$K41</f>
        <v>100</v>
      </c>
      <c r="E124" s="1863">
        <f t="shared" ref="E124:M124" si="28">D124-$K41</f>
        <v>100</v>
      </c>
      <c r="F124" s="1863">
        <f t="shared" si="28"/>
        <v>100</v>
      </c>
      <c r="G124" s="1863">
        <f t="shared" si="28"/>
        <v>100</v>
      </c>
      <c r="H124" s="1863">
        <f t="shared" si="28"/>
        <v>100</v>
      </c>
      <c r="I124" s="1863">
        <f t="shared" si="28"/>
        <v>100</v>
      </c>
      <c r="J124" s="1863">
        <f t="shared" si="28"/>
        <v>100</v>
      </c>
      <c r="K124" s="1863">
        <f t="shared" si="28"/>
        <v>100</v>
      </c>
      <c r="L124" s="1863">
        <f t="shared" si="28"/>
        <v>100</v>
      </c>
      <c r="M124" s="1864">
        <f t="shared" si="28"/>
        <v>100</v>
      </c>
      <c r="N124" s="3015"/>
      <c r="O124" s="3015"/>
      <c r="P124" s="2059"/>
      <c r="Q124" s="1874"/>
    </row>
    <row r="125" spans="1:17" ht="15" thickTop="1">
      <c r="A125" s="1904"/>
      <c r="B125" s="1859" t="s">
        <v>2488</v>
      </c>
      <c r="C125" s="468"/>
      <c r="D125" s="468"/>
      <c r="E125" s="1578"/>
      <c r="F125" s="1578"/>
      <c r="G125" s="1578"/>
      <c r="H125" s="1578"/>
      <c r="I125" s="1578"/>
      <c r="J125" s="1578"/>
      <c r="K125" s="473"/>
      <c r="L125" s="473"/>
      <c r="M125" s="1894"/>
      <c r="N125" s="3013"/>
      <c r="O125" s="3013"/>
      <c r="P125" s="2058"/>
      <c r="Q125" s="1822"/>
    </row>
    <row r="126" spans="1:17" ht="15.75" thickBot="1">
      <c r="A126" s="1854"/>
      <c r="B126" s="1862"/>
      <c r="C126" s="1863">
        <v>100</v>
      </c>
      <c r="D126" s="1863">
        <f t="shared" ref="D126:M126" si="29">C126-$K42</f>
        <v>100</v>
      </c>
      <c r="E126" s="1863">
        <f t="shared" si="29"/>
        <v>100</v>
      </c>
      <c r="F126" s="1863">
        <f t="shared" si="29"/>
        <v>100</v>
      </c>
      <c r="G126" s="1863">
        <f t="shared" si="29"/>
        <v>100</v>
      </c>
      <c r="H126" s="1863">
        <f t="shared" si="29"/>
        <v>100</v>
      </c>
      <c r="I126" s="1863">
        <f t="shared" si="29"/>
        <v>100</v>
      </c>
      <c r="J126" s="1863">
        <f t="shared" si="29"/>
        <v>100</v>
      </c>
      <c r="K126" s="1863">
        <f t="shared" si="29"/>
        <v>100</v>
      </c>
      <c r="L126" s="1863">
        <f t="shared" si="29"/>
        <v>100</v>
      </c>
      <c r="M126" s="1864">
        <f t="shared" si="29"/>
        <v>100</v>
      </c>
      <c r="N126" s="3014"/>
      <c r="O126" s="3014"/>
      <c r="P126" s="2058"/>
      <c r="Q126" s="1822"/>
    </row>
    <row r="127" spans="1:17" ht="15" thickTop="1">
      <c r="A127" s="1904"/>
      <c r="B127" s="1859">
        <f>B43</f>
        <v>111</v>
      </c>
      <c r="C127" s="468"/>
      <c r="D127" s="468"/>
      <c r="E127" s="468"/>
      <c r="F127" s="468"/>
      <c r="G127" s="468"/>
      <c r="H127" s="1578"/>
      <c r="I127" s="1578"/>
      <c r="J127" s="1578"/>
      <c r="K127" s="473"/>
      <c r="L127" s="473"/>
      <c r="M127" s="1894"/>
      <c r="N127" s="3013"/>
      <c r="O127" s="3013"/>
      <c r="P127" s="2058"/>
      <c r="Q127" s="1822"/>
    </row>
    <row r="128" spans="1:17" ht="15.75" thickBot="1">
      <c r="A128" s="1854"/>
      <c r="B128" s="1862"/>
      <c r="C128" s="1875"/>
      <c r="D128" s="1875"/>
      <c r="E128" s="1875"/>
      <c r="F128" s="1875"/>
      <c r="G128" s="1856"/>
      <c r="H128" s="1856"/>
      <c r="I128" s="1856"/>
      <c r="J128" s="1856"/>
      <c r="K128" s="1856"/>
      <c r="L128" s="1856"/>
      <c r="M128" s="1857"/>
      <c r="N128" s="3014"/>
      <c r="O128" s="3014"/>
      <c r="P128" s="2058"/>
      <c r="Q128" s="1822"/>
    </row>
    <row r="129" spans="1:17" ht="15" thickTop="1">
      <c r="A129" s="1904"/>
      <c r="B129" s="1859">
        <f>B44</f>
        <v>111</v>
      </c>
      <c r="C129" s="409"/>
      <c r="D129" s="409"/>
      <c r="E129" s="409"/>
      <c r="F129" s="409"/>
      <c r="G129" s="1578"/>
      <c r="H129" s="1578"/>
      <c r="I129" s="1578"/>
      <c r="J129" s="1578"/>
      <c r="K129" s="473"/>
      <c r="L129" s="473"/>
      <c r="M129" s="1894"/>
      <c r="N129" s="3013"/>
      <c r="O129" s="3013"/>
      <c r="P129" s="2058"/>
      <c r="Q129" s="1822"/>
    </row>
    <row r="130" spans="1:17" ht="15.75" thickBot="1">
      <c r="A130" s="1854"/>
      <c r="B130" s="1862"/>
      <c r="C130" s="1883"/>
      <c r="D130" s="1883"/>
      <c r="E130" s="1883"/>
      <c r="F130" s="1883"/>
      <c r="G130" s="1856"/>
      <c r="H130" s="1856"/>
      <c r="I130" s="1856"/>
      <c r="J130" s="1856"/>
      <c r="K130" s="1856"/>
      <c r="L130" s="1856"/>
      <c r="M130" s="1857"/>
      <c r="N130" s="3014"/>
      <c r="O130" s="3014"/>
      <c r="P130" s="2058"/>
      <c r="Q130" s="1822"/>
    </row>
    <row r="131" spans="1:17" s="1772" customFormat="1" ht="15" thickTop="1">
      <c r="A131" s="1900"/>
      <c r="B131" s="1859">
        <f>B45</f>
        <v>111</v>
      </c>
      <c r="C131" s="409"/>
      <c r="D131" s="409"/>
      <c r="E131" s="409"/>
      <c r="F131" s="409"/>
      <c r="G131" s="443"/>
      <c r="H131" s="443"/>
      <c r="I131" s="443"/>
      <c r="J131" s="443"/>
      <c r="K131" s="443"/>
      <c r="L131" s="443"/>
      <c r="M131" s="1871"/>
      <c r="N131" s="3015"/>
      <c r="O131" s="3015"/>
      <c r="P131" s="2059"/>
      <c r="Q131" s="1874"/>
    </row>
    <row r="132" spans="1:17" s="1772" customFormat="1" ht="15.75" thickBot="1">
      <c r="A132" s="1881"/>
      <c r="B132" s="2065"/>
      <c r="C132" s="1883"/>
      <c r="D132" s="1883"/>
      <c r="E132" s="1883"/>
      <c r="F132" s="1883"/>
      <c r="G132" s="1898"/>
      <c r="H132" s="1898"/>
      <c r="I132" s="1898"/>
      <c r="J132" s="1898"/>
      <c r="K132" s="1898"/>
      <c r="L132" s="1898"/>
      <c r="M132" s="1899"/>
      <c r="N132" s="3015"/>
      <c r="O132" s="3015"/>
      <c r="P132" s="2059"/>
      <c r="Q132" s="1874"/>
    </row>
  </sheetData>
  <sheetProtection password="CEE9"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5"/>
    <mergeCell ref="Y15:Y35"/>
    <mergeCell ref="Y9:Y14"/>
    <mergeCell ref="Y7:Z7"/>
    <mergeCell ref="P36:P45"/>
    <mergeCell ref="Y36:Y45"/>
    <mergeCell ref="P46:Q46"/>
    <mergeCell ref="R46:S46"/>
    <mergeCell ref="T46:U46"/>
    <mergeCell ref="V46:W46"/>
    <mergeCell ref="P47:Q47"/>
    <mergeCell ref="R47:S47"/>
    <mergeCell ref="T47:U47"/>
    <mergeCell ref="V47:W47"/>
    <mergeCell ref="P48:Q48"/>
    <mergeCell ref="R48:W48"/>
  </mergeCells>
  <phoneticPr fontId="25" type="noConversion"/>
  <conditionalFormatting sqref="F51 H51 J51">
    <cfRule type="containsText" dxfId="39" priority="18" stopIfTrue="1" operator="containsText" text="超过">
      <formula>NOT(ISERROR(SEARCH("超过",F51)))</formula>
    </cfRule>
  </conditionalFormatting>
  <conditionalFormatting sqref="J53">
    <cfRule type="containsText" dxfId="38" priority="17" stopIfTrue="1" operator="containsText" text="超过">
      <formula>NOT(ISERROR(SEARCH("超过",J53)))</formula>
    </cfRule>
  </conditionalFormatting>
  <conditionalFormatting sqref="H53">
    <cfRule type="containsText" dxfId="37" priority="16" stopIfTrue="1" operator="containsText" text="超过">
      <formula>NOT(ISERROR(SEARCH("超过",H53)))</formula>
    </cfRule>
  </conditionalFormatting>
  <conditionalFormatting sqref="F53">
    <cfRule type="containsText" dxfId="36" priority="15" stopIfTrue="1" operator="containsText" text="超过">
      <formula>NOT(ISERROR(SEARCH("超过",F53)))</formula>
    </cfRule>
  </conditionalFormatting>
  <conditionalFormatting sqref="F52 H52 J52">
    <cfRule type="containsText" dxfId="35" priority="14" stopIfTrue="1" operator="containsText" text="超过">
      <formula>NOT(ISERROR(SEARCH("超过",F52)))</formula>
    </cfRule>
  </conditionalFormatting>
  <conditionalFormatting sqref="E51">
    <cfRule type="expression" dxfId="34" priority="13" stopIfTrue="1">
      <formula>$F$51="超过30%"</formula>
    </cfRule>
  </conditionalFormatting>
  <conditionalFormatting sqref="G53">
    <cfRule type="expression" dxfId="33" priority="12" stopIfTrue="1">
      <formula>$H$53="超过30%"</formula>
    </cfRule>
  </conditionalFormatting>
  <conditionalFormatting sqref="E52">
    <cfRule type="expression" dxfId="32" priority="11" stopIfTrue="1">
      <formula>$F$52="超过20%"</formula>
    </cfRule>
  </conditionalFormatting>
  <conditionalFormatting sqref="E53">
    <cfRule type="expression" dxfId="31" priority="10" stopIfTrue="1">
      <formula>$F$53="超过30%"</formula>
    </cfRule>
  </conditionalFormatting>
  <conditionalFormatting sqref="G51">
    <cfRule type="expression" dxfId="30" priority="9" stopIfTrue="1">
      <formula>$H$53+$H$51="超过30%"</formula>
    </cfRule>
  </conditionalFormatting>
  <conditionalFormatting sqref="G52">
    <cfRule type="expression" dxfId="29" priority="8" stopIfTrue="1">
      <formula>$H$52="超过20%"</formula>
    </cfRule>
  </conditionalFormatting>
  <conditionalFormatting sqref="I51">
    <cfRule type="expression" dxfId="28" priority="7" stopIfTrue="1">
      <formula>$J$51="超过30%"</formula>
    </cfRule>
  </conditionalFormatting>
  <conditionalFormatting sqref="I52">
    <cfRule type="expression" dxfId="27" priority="6" stopIfTrue="1">
      <formula>$J$52="超过20%"</formula>
    </cfRule>
  </conditionalFormatting>
  <conditionalFormatting sqref="I53">
    <cfRule type="expression" dxfId="26" priority="5" stopIfTrue="1">
      <formula>$J$53="超过30%"</formula>
    </cfRule>
  </conditionalFormatting>
  <conditionalFormatting sqref="F47">
    <cfRule type="expression" dxfId="25" priority="4">
      <formula>$D$47="简单平均"</formula>
    </cfRule>
  </conditionalFormatting>
  <conditionalFormatting sqref="H47">
    <cfRule type="expression" dxfId="24" priority="3">
      <formula>$D$47="简单平均"</formula>
    </cfRule>
  </conditionalFormatting>
  <conditionalFormatting sqref="J47">
    <cfRule type="expression" dxfId="23" priority="2">
      <formula>$D$47="简单平均"</formula>
    </cfRule>
  </conditionalFormatting>
  <conditionalFormatting sqref="F7:F45 H7:H45 J7:J45">
    <cfRule type="cellIs" dxfId="22" priority="1" operator="notEqual">
      <formula>100</formula>
    </cfRule>
  </conditionalFormatting>
  <dataValidations count="23">
    <dataValidation type="list" allowBlank="1" showInputMessage="1" showErrorMessage="1" sqref="C25">
      <formula1>住宅朝向</formula1>
    </dataValidation>
    <dataValidation type="list" allowBlank="1" showInputMessage="1" showErrorMessage="1" sqref="C28 I28 E28 G28">
      <formula1>公共配套设施</formula1>
    </dataValidation>
    <dataValidation type="list" allowBlank="1" showInputMessage="1" showErrorMessage="1" sqref="E22 C22 G22 I22">
      <formula1>交通便捷度</formula1>
    </dataValidation>
    <dataValidation type="list" allowBlank="1" showInputMessage="1" showErrorMessage="1" sqref="E16 G16 I16 C16">
      <formula1>居住社区成熟度</formula1>
    </dataValidation>
    <dataValidation type="list" allowBlank="1" showInputMessage="1" showErrorMessage="1" sqref="E26 G26 C26 I26">
      <formula1>环境</formula1>
    </dataValidation>
    <dataValidation type="list" allowBlank="1" showInputMessage="1" showErrorMessage="1" sqref="B46">
      <formula1>单价内涵</formula1>
    </dataValidation>
    <dataValidation type="list" allowBlank="1" showInputMessage="1" showErrorMessage="1" sqref="C8 E8 G8 I8">
      <formula1>套综交易情况</formula1>
    </dataValidation>
    <dataValidation type="list" allowBlank="1" showInputMessage="1" showErrorMessage="1" sqref="C9 E9 G9 I9">
      <formula1>套综用途</formula1>
    </dataValidation>
    <dataValidation type="list" allowBlank="1" showInputMessage="1" showErrorMessage="1" sqref="E18 C18 G18 I18">
      <formula1>商业繁华度</formula1>
    </dataValidation>
    <dataValidation type="list" allowBlank="1" showInputMessage="1" showErrorMessage="1" sqref="E20 C20 G20 I20">
      <formula1>办公集聚程度</formula1>
    </dataValidation>
    <dataValidation type="list" allowBlank="1" showInputMessage="1" showErrorMessage="1" sqref="C33 E33 G33 I33">
      <formula1>套综道路等级</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C31 E31 G31 I31">
      <formula1>临街状况</formula1>
    </dataValidation>
    <dataValidation type="list" allowBlank="1" showInputMessage="1" showErrorMessage="1" sqref="E24 G24 I24 C24">
      <formula1>区域土地利用方向</formula1>
    </dataValidation>
    <dataValidation type="list" allowBlank="1" showInputMessage="1" showErrorMessage="1" sqref="C55">
      <formula1>"北京市系数,其他省市系数"</formula1>
    </dataValidation>
    <dataValidation type="list" allowBlank="1" showInputMessage="1" showErrorMessage="1" sqref="D57:D65">
      <formula1>"25%,1"</formula1>
    </dataValidation>
    <dataValidation type="list" allowBlank="1" showInputMessage="1" showErrorMessage="1" sqref="C30 E30 G30 I30">
      <formula1>基础设施水平</formula1>
    </dataValidation>
    <dataValidation type="list" allowBlank="1" showInputMessage="1" showErrorMessage="1" sqref="A71">
      <formula1>"综合,商业,办公,住宅"</formula1>
    </dataValidation>
    <dataValidation type="list" allowBlank="1" showInputMessage="1" showErrorMessage="1" sqref="D47">
      <formula1>"简单平均,加权平均"</formula1>
    </dataValidation>
  </dataValidations>
  <pageMargins left="0.70866141732283472" right="0.70866141732283472" top="1.0629921259842521" bottom="0.94488188976377963" header="0.31496062992125984" footer="0.31496062992125984"/>
  <pageSetup paperSize="9" scale="4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18"/>
  <sheetViews>
    <sheetView view="pageLayout" topLeftCell="A10" zoomScale="80" zoomScaleNormal="100" zoomScaleSheetLayoutView="100" zoomScalePageLayoutView="80" workbookViewId="0">
      <selection activeCell="A12" sqref="A12"/>
    </sheetView>
  </sheetViews>
  <sheetFormatPr defaultColWidth="8.125" defaultRowHeight="14.25"/>
  <cols>
    <col min="1" max="1" width="85.25" style="1344" customWidth="1"/>
    <col min="2" max="3" width="12.5" style="1344" customWidth="1"/>
    <col min="4" max="6" width="8.125" style="1344"/>
    <col min="7" max="7" width="17.5" style="1344" customWidth="1"/>
    <col min="8" max="16384" width="8.125" style="1344"/>
  </cols>
  <sheetData>
    <row r="1" spans="1:7" ht="23.25">
      <c r="A1" s="1342" t="s">
        <v>1254</v>
      </c>
      <c r="B1" s="1343"/>
      <c r="C1" s="1343"/>
      <c r="D1" s="1343"/>
      <c r="E1" s="1343"/>
      <c r="F1" s="1343"/>
      <c r="G1" s="1343"/>
    </row>
    <row r="2" spans="1:7">
      <c r="A2" s="1345"/>
    </row>
    <row r="3" spans="1:7" s="1348" customFormat="1" ht="18">
      <c r="A3" s="1346" t="str">
        <f>IF(ISNUMBER(FIND("公司",项目基本情况!B4)),项目基本情况!B4&amp;"：",项目基本情况!B4&amp;"  先生/女士：")</f>
        <v>xx  先生/女士：</v>
      </c>
      <c r="B3" s="1347"/>
      <c r="C3" s="1347"/>
      <c r="D3" s="1347"/>
      <c r="E3" s="1347"/>
      <c r="F3" s="1347"/>
      <c r="G3" s="1347"/>
    </row>
    <row r="4" spans="1:7" ht="18">
      <c r="A4" s="1349" t="str">
        <f>IF(ISNUMBER(FIND("公司",A3)),"受贵公司委托，我公司对"&amp;项目基本情况!I1&amp;"进行了预评估。","受您的委托，我公司对"&amp;项目基本情况!I1&amp;"进行了预评估。")</f>
        <v>受您的委托，我公司对北京市房地产进行了预评估。</v>
      </c>
      <c r="B4" s="1349"/>
      <c r="C4" s="1349"/>
      <c r="D4" s="1349"/>
      <c r="E4" s="1349"/>
      <c r="F4" s="1349"/>
      <c r="G4" s="1349"/>
    </row>
    <row r="5" spans="1:7" ht="18.75">
      <c r="A5" s="1350" t="s">
        <v>1255</v>
      </c>
    </row>
    <row r="6" spans="1:7" s="1351" customFormat="1" ht="54">
      <c r="A6" s="1349" t="str">
        <f>"估价对象为"&amp;项目基本情况!I1&amp;"，为"&amp;项目基本情况!D7&amp;"所有。"&amp;"根据《"&amp;项目基本情况!E12&amp;"》["&amp;IF(项目基本情况!E12="房屋所有权证",项目基本情况!B28,项目基本情况!E28)&amp;"]，估价对象建筑面积为"&amp;项目基本情况!C12&amp;"平方米"&amp;IF(项目基本情况!E13="无","。",IF(项目基本情况!F12="建筑与土地面积依据相同","，（分摊）出让国有建设用地使用权面积为"&amp;项目基本情况!C13&amp;"平方米。","。根据《"&amp;项目基本情况!E13&amp;"》["&amp;项目基本情况!G28&amp;"]，估价对象（分摊）出让国有建设用地使用权面积为"&amp;项目基本情况!C13&amp;"平方米。"))&amp;"估价对象用途为"&amp;项目基本情况!C14&amp;"。"</f>
        <v>估价对象为北京市房地产，为XX所有。根据《》[]，估价对象建筑面积为841.27平方米。根据《》[]，估价对象（分摊）出让国有建设用地使用权面积为平方米。估价对象用途为。</v>
      </c>
      <c r="B6" s="1349"/>
      <c r="C6" s="1349"/>
      <c r="D6" s="1349"/>
      <c r="E6" s="1349"/>
      <c r="F6" s="1349"/>
      <c r="G6" s="1349"/>
    </row>
    <row r="7" spans="1:7" ht="18.75">
      <c r="A7" s="1350" t="s">
        <v>1256</v>
      </c>
    </row>
    <row r="8" spans="1:7" ht="54">
      <c r="A8" s="1352" t="str">
        <f>IF(项目基本情况!D4="抵押",IF(项目基本情况!B4=项目基本情况!B5,定义!C51,定义!B51),定义!D51)</f>
        <v>XX拟使用北京市房地产作为抵押担保物，向XX办理贷款手续。XX特委托北京康正宏基房地产评估有限公司对上述抵押物进行评估。本次评估为确定房地产抵押贷款额度提供参考依据而评估房地产抵押价值。</v>
      </c>
      <c r="B8" s="1353"/>
      <c r="C8" s="1349"/>
      <c r="D8" s="1349"/>
      <c r="E8" s="1349"/>
      <c r="F8" s="1349"/>
      <c r="G8" s="1349"/>
    </row>
    <row r="9" spans="1:7" ht="18.75">
      <c r="A9" s="1347" t="s">
        <v>1257</v>
      </c>
      <c r="B9" s="1354"/>
    </row>
    <row r="10" spans="1:7" ht="18">
      <c r="A10" s="1355" t="str">
        <f>TEXT(项目基本情况!D2,"yyyy年m月d日;;")&amp;IF(项目基本情况!B2=项目基本情况!D2,"（评估专业人员实地查勘之日）","")</f>
        <v>2021年5月18日</v>
      </c>
      <c r="B10" s="1356"/>
      <c r="C10" s="1356"/>
      <c r="D10" s="1356"/>
      <c r="E10" s="1356"/>
      <c r="F10" s="1356"/>
      <c r="G10" s="1356"/>
    </row>
    <row r="11" spans="1:7" ht="18.75">
      <c r="A11" s="1347" t="s">
        <v>1258</v>
      </c>
    </row>
    <row r="12" spans="1:7" ht="75">
      <c r="A12" s="1349" t="s">
        <v>1259</v>
      </c>
      <c r="B12" s="1349"/>
      <c r="C12" s="1349"/>
      <c r="D12" s="1349"/>
      <c r="E12" s="1349"/>
      <c r="F12" s="1349"/>
      <c r="G12" s="1349"/>
    </row>
    <row r="13" spans="1:7" ht="36">
      <c r="A13" s="1349" t="str">
        <f>"本次估价的“房地产价值”是指在正常市场情况下，在价值时点"&amp;TEXT(项目基本情况!D2,"yyyy年m月d日;;")
&amp;"，估价对象规划用途为"&amp;项目基本情况!C14&amp;"，假定未设立法定优先受偿款下的房地产市场价值。"</f>
        <v>本次估价的“房地产价值”是指在正常市场情况下，在价值时点2021年5月18日，估价对象规划用途为，假定未设立法定优先受偿款下的房地产市场价值。</v>
      </c>
      <c r="B13" s="1349"/>
      <c r="C13" s="1349"/>
      <c r="D13" s="1349"/>
      <c r="E13" s="1349"/>
      <c r="F13" s="1349"/>
      <c r="G13" s="1349"/>
    </row>
    <row r="14" spans="1:7" ht="72">
      <c r="A14" s="1352" t="str">
        <f>IF(项目基本情况!D5="房地产市场价值","——",IF(项目基本情况!F5="房地产抵押价值",定义!C54,IF(项目基本情况!F5="已注销",定义!C55,定义!C56)))</f>
        <v>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v>
      </c>
      <c r="B14" s="1357"/>
      <c r="C14" s="1357"/>
      <c r="D14" s="1357"/>
      <c r="E14" s="1357"/>
      <c r="F14" s="1357"/>
      <c r="G14" s="1357"/>
    </row>
    <row r="15" spans="1:7" ht="56.25">
      <c r="A15" s="1349" t="s">
        <v>1253</v>
      </c>
      <c r="B15" s="1349"/>
      <c r="C15" s="1349"/>
      <c r="D15" s="1349"/>
      <c r="E15" s="1349"/>
      <c r="F15" s="1349"/>
      <c r="G15" s="1349"/>
    </row>
    <row r="16" spans="1:7" ht="54">
      <c r="A16" s="1353" t="str">
        <f>IF(项目基本情况!D5="房地产市场价值","——",IF(项目基本情况!G5="——","",定义!C57))</f>
        <v>本次估价的“抵押净值”是指估价对象“房地产抵押价值”减去估价对象在价值时点以“房地产销售收入”为基数计算的预计抵押权实现进行处置时需缴纳的各项费用、税金等相关费用后的价值。</v>
      </c>
      <c r="B16" s="1357"/>
      <c r="C16" s="1357"/>
      <c r="D16" s="1357"/>
      <c r="E16" s="1357"/>
      <c r="F16" s="1357"/>
      <c r="G16" s="1357"/>
    </row>
    <row r="17" spans="1:1" ht="18.75">
      <c r="A17" s="1347" t="s">
        <v>1252</v>
      </c>
    </row>
    <row r="18" spans="1:1" ht="18">
      <c r="A18" s="1358" t="str">
        <f>"本次评估采用的主估价方法为"&amp;IF('数据-取费表'!E3="否",结果表!L4&amp;"和"&amp;结果表!M4,'结果表 (1修多)'!L4&amp;"和"&amp;'结果表 (1修多)'!M4)&amp;"。"</f>
        <v>本次评估采用的主估价方法为成本法和收益法。</v>
      </c>
    </row>
  </sheetData>
  <sheetProtection sheet="1" objects="1" scenarios="1" formatCells="0" formatRows="0" insertRows="0" deleteRows="0"/>
  <phoneticPr fontId="86"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92D050"/>
    <pageSetUpPr fitToPage="1"/>
  </sheetPr>
  <dimension ref="A1:AC121"/>
  <sheetViews>
    <sheetView view="pageBreakPreview" zoomScale="70" zoomScaleNormal="60" zoomScaleSheetLayoutView="70" workbookViewId="0">
      <selection activeCell="M19" sqref="M19"/>
    </sheetView>
  </sheetViews>
  <sheetFormatPr defaultColWidth="9" defaultRowHeight="14.25"/>
  <cols>
    <col min="1" max="1" width="11.87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4.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291" customFormat="1" ht="28.5" customHeight="1">
      <c r="A1" s="288" t="s">
        <v>2441</v>
      </c>
      <c r="B1" s="289"/>
      <c r="C1" s="290" t="s">
        <v>2489</v>
      </c>
      <c r="D1" s="614"/>
      <c r="E1" s="614"/>
      <c r="F1" s="613" t="s">
        <v>2243</v>
      </c>
      <c r="G1" s="614"/>
      <c r="H1" s="614"/>
      <c r="I1" s="614"/>
      <c r="J1" s="614"/>
      <c r="K1" s="615"/>
      <c r="L1" s="616"/>
      <c r="M1" s="617"/>
      <c r="N1" s="617"/>
      <c r="O1" s="617"/>
      <c r="P1" s="625"/>
      <c r="Q1" s="625"/>
      <c r="R1" s="625"/>
      <c r="S1" s="625"/>
      <c r="T1" s="625"/>
      <c r="U1" s="625"/>
      <c r="V1" s="625"/>
      <c r="W1" s="625"/>
      <c r="X1" s="625"/>
      <c r="Y1" s="625"/>
      <c r="Z1" s="625"/>
      <c r="AA1" s="625"/>
      <c r="AB1" s="625"/>
      <c r="AC1" s="626"/>
    </row>
    <row r="2" spans="1:29" s="291" customFormat="1" ht="28.5" customHeight="1">
      <c r="A2" s="81" t="s">
        <v>1914</v>
      </c>
      <c r="B2" s="552" t="e">
        <f>F61</f>
        <v>#DIV/0!</v>
      </c>
      <c r="C2" s="612" t="s">
        <v>2443</v>
      </c>
      <c r="D2" s="3017"/>
      <c r="E2" s="3017"/>
      <c r="F2" s="3020"/>
      <c r="G2" s="3017"/>
      <c r="H2" s="3017"/>
      <c r="I2" s="3017"/>
      <c r="J2" s="3017"/>
      <c r="K2" s="3021"/>
      <c r="L2" s="3018"/>
      <c r="M2" s="3019"/>
      <c r="N2" s="3019"/>
      <c r="O2" s="3019"/>
      <c r="P2" s="625"/>
      <c r="Q2" s="625"/>
      <c r="R2" s="625"/>
      <c r="S2" s="625"/>
      <c r="T2" s="625"/>
      <c r="U2" s="625"/>
      <c r="V2" s="625"/>
      <c r="W2" s="625"/>
      <c r="X2" s="625"/>
      <c r="Y2" s="625"/>
      <c r="Z2" s="625"/>
      <c r="AA2" s="625"/>
      <c r="AB2" s="625"/>
      <c r="AC2" s="626"/>
    </row>
    <row r="3" spans="1:29" s="291" customFormat="1" ht="28.5" customHeight="1" thickBot="1">
      <c r="A3" s="83" t="s">
        <v>1915</v>
      </c>
      <c r="B3" s="495" t="e">
        <f>ROUND(B2/'数据-取费表'!B5,0)</f>
        <v>#DIV/0!</v>
      </c>
      <c r="C3" s="612" t="s">
        <v>2444</v>
      </c>
      <c r="D3" s="3017"/>
      <c r="E3" s="3017"/>
      <c r="F3" s="3020"/>
      <c r="G3" s="3017"/>
      <c r="H3" s="3017"/>
      <c r="I3" s="3017"/>
      <c r="J3" s="3017"/>
      <c r="K3" s="3021"/>
      <c r="L3" s="3018"/>
      <c r="M3" s="3019"/>
      <c r="N3" s="3019"/>
      <c r="O3" s="3019"/>
      <c r="P3" s="625"/>
      <c r="Q3" s="625"/>
      <c r="R3" s="625"/>
      <c r="S3" s="625"/>
      <c r="T3" s="625"/>
      <c r="U3" s="625"/>
      <c r="V3" s="625"/>
      <c r="W3" s="625"/>
      <c r="X3" s="625"/>
      <c r="Y3" s="625"/>
      <c r="Z3" s="625"/>
      <c r="AA3" s="625"/>
      <c r="AB3" s="644"/>
      <c r="AC3" s="639"/>
    </row>
    <row r="4" spans="1:29" ht="15">
      <c r="A4" s="294" t="s">
        <v>2245</v>
      </c>
      <c r="B4" s="295"/>
      <c r="C4" s="3519" t="s">
        <v>2246</v>
      </c>
      <c r="D4" s="3520"/>
      <c r="E4" s="3521" t="s">
        <v>2247</v>
      </c>
      <c r="F4" s="3522"/>
      <c r="G4" s="3519" t="s">
        <v>2248</v>
      </c>
      <c r="H4" s="3520"/>
      <c r="I4" s="3519" t="s">
        <v>2249</v>
      </c>
      <c r="J4" s="3520"/>
      <c r="K4" s="496" t="s">
        <v>2250</v>
      </c>
      <c r="L4" s="3022"/>
      <c r="M4" s="3023"/>
      <c r="N4" s="3023"/>
      <c r="O4" s="3023"/>
      <c r="P4" s="3523" t="s">
        <v>2251</v>
      </c>
      <c r="Q4" s="3524"/>
      <c r="R4" s="3506" t="s">
        <v>2247</v>
      </c>
      <c r="S4" s="3507"/>
      <c r="T4" s="3506" t="s">
        <v>2248</v>
      </c>
      <c r="U4" s="3507"/>
      <c r="V4" s="3529" t="s">
        <v>2249</v>
      </c>
      <c r="W4" s="3529"/>
      <c r="X4" s="1335"/>
      <c r="Y4" s="3506" t="s">
        <v>2251</v>
      </c>
      <c r="Z4" s="3507"/>
      <c r="AA4" s="3516" t="s">
        <v>2247</v>
      </c>
      <c r="AB4" s="3517" t="s">
        <v>2248</v>
      </c>
      <c r="AC4" s="3516" t="s">
        <v>2249</v>
      </c>
    </row>
    <row r="5" spans="1:29" ht="15">
      <c r="A5" s="297"/>
      <c r="B5" s="298"/>
      <c r="C5" s="3532" t="s">
        <v>2252</v>
      </c>
      <c r="D5" s="3533"/>
      <c r="E5" s="3530" t="s">
        <v>2253</v>
      </c>
      <c r="F5" s="3531"/>
      <c r="G5" s="3532" t="s">
        <v>2254</v>
      </c>
      <c r="H5" s="3533"/>
      <c r="I5" s="3532" t="s">
        <v>2255</v>
      </c>
      <c r="J5" s="3533"/>
      <c r="K5" s="496"/>
      <c r="L5" s="3022"/>
      <c r="M5" s="3023"/>
      <c r="N5" s="3023"/>
      <c r="O5" s="3023"/>
      <c r="P5" s="3525"/>
      <c r="Q5" s="3526"/>
      <c r="R5" s="3508"/>
      <c r="S5" s="3509"/>
      <c r="T5" s="3508"/>
      <c r="U5" s="3509"/>
      <c r="V5" s="3529"/>
      <c r="W5" s="3529"/>
      <c r="X5" s="1335"/>
      <c r="Y5" s="3508"/>
      <c r="Z5" s="3509"/>
      <c r="AA5" s="3517"/>
      <c r="AB5" s="3517"/>
      <c r="AC5" s="3517"/>
    </row>
    <row r="6" spans="1:29" ht="15.75" thickBot="1">
      <c r="A6" s="299"/>
      <c r="B6" s="300"/>
      <c r="C6" s="3534" t="s">
        <v>2256</v>
      </c>
      <c r="D6" s="3535"/>
      <c r="E6" s="3536" t="s">
        <v>2256</v>
      </c>
      <c r="F6" s="3537"/>
      <c r="G6" s="3534" t="s">
        <v>2256</v>
      </c>
      <c r="H6" s="3535"/>
      <c r="I6" s="3534" t="s">
        <v>2256</v>
      </c>
      <c r="J6" s="3535"/>
      <c r="K6" s="496" t="s">
        <v>2257</v>
      </c>
      <c r="L6" s="3022"/>
      <c r="M6" s="3023"/>
      <c r="N6" s="3023"/>
      <c r="O6" s="3023"/>
      <c r="P6" s="3527"/>
      <c r="Q6" s="3528"/>
      <c r="R6" s="3508"/>
      <c r="S6" s="3509"/>
      <c r="T6" s="3510"/>
      <c r="U6" s="3511"/>
      <c r="V6" s="3529"/>
      <c r="W6" s="3529"/>
      <c r="X6" s="1335"/>
      <c r="Y6" s="3510"/>
      <c r="Z6" s="3511"/>
      <c r="AA6" s="3518"/>
      <c r="AB6" s="3518"/>
      <c r="AC6" s="3518"/>
    </row>
    <row r="7" spans="1:29" s="25" customFormat="1" ht="15.75" thickBot="1">
      <c r="A7" s="301" t="s">
        <v>2258</v>
      </c>
      <c r="B7" s="302"/>
      <c r="C7" s="303">
        <f>'数据-取费表'!B2</f>
        <v>44334</v>
      </c>
      <c r="D7" s="304">
        <v>100</v>
      </c>
      <c r="E7" s="305"/>
      <c r="F7" s="306">
        <f>SUMIF(65:65,YEAR(E7)&amp;"-"&amp;INT((MONTH(E7)+2)/3),66:66)</f>
        <v>0</v>
      </c>
      <c r="G7" s="1575"/>
      <c r="H7" s="304">
        <f>SUMIF(65:65,YEAR(G7)&amp;"-"&amp;INT((MONTH(G7)+2)/3),66:66)</f>
        <v>0</v>
      </c>
      <c r="I7" s="1575"/>
      <c r="J7" s="304">
        <f>SUMIF(65:65,YEAR(I7)&amp;"-"&amp;INT((MONTH(I7)+2)/3),66:66)</f>
        <v>0</v>
      </c>
      <c r="K7" s="497"/>
      <c r="L7" s="3024"/>
      <c r="M7" s="3025"/>
      <c r="N7" s="3025"/>
      <c r="O7" s="3025"/>
      <c r="P7" s="3504" t="s">
        <v>2259</v>
      </c>
      <c r="Q7" s="3512"/>
      <c r="R7" s="627" t="s">
        <v>25</v>
      </c>
      <c r="S7" s="628">
        <f t="shared" ref="S7:S15" si="0">F7</f>
        <v>0</v>
      </c>
      <c r="T7" s="627" t="s">
        <v>25</v>
      </c>
      <c r="U7" s="628">
        <f t="shared" ref="U7:U15" si="1">H7</f>
        <v>0</v>
      </c>
      <c r="V7" s="627" t="s">
        <v>25</v>
      </c>
      <c r="W7" s="628">
        <f t="shared" ref="W7:W15" si="2">J7</f>
        <v>0</v>
      </c>
      <c r="X7" s="629"/>
      <c r="Y7" s="3504" t="s">
        <v>2259</v>
      </c>
      <c r="Z7" s="3505"/>
      <c r="AA7" s="630" t="e">
        <f>D7/F7</f>
        <v>#DIV/0!</v>
      </c>
      <c r="AB7" s="630" t="e">
        <f>D7/H7</f>
        <v>#DIV/0!</v>
      </c>
      <c r="AC7" s="630" t="e">
        <f>D7/J7</f>
        <v>#DIV/0!</v>
      </c>
    </row>
    <row r="8" spans="1:29" s="25" customFormat="1" ht="15.75" thickBot="1">
      <c r="A8" s="301" t="s">
        <v>2260</v>
      </c>
      <c r="B8" s="302"/>
      <c r="C8" s="307" t="s">
        <v>2445</v>
      </c>
      <c r="D8" s="304">
        <v>100</v>
      </c>
      <c r="E8" s="307"/>
      <c r="F8" s="306">
        <f>SUMIF(68:68,E8,69:69)-SUMIF(68:68,C8,69:69)+100</f>
        <v>0</v>
      </c>
      <c r="G8" s="307"/>
      <c r="H8" s="304">
        <f>SUMIF(68:68,G8,69:69)-SUMIF(68:68,C8,69:69)+100</f>
        <v>0</v>
      </c>
      <c r="I8" s="307"/>
      <c r="J8" s="304">
        <f>SUMIF(68:68,I8,69:69)-SUMIF(68:68,C8,69:69)+100</f>
        <v>0</v>
      </c>
      <c r="K8" s="497"/>
      <c r="L8" s="3024"/>
      <c r="M8" s="3025"/>
      <c r="N8" s="3025"/>
      <c r="O8" s="3025"/>
      <c r="P8" s="3504" t="s">
        <v>2262</v>
      </c>
      <c r="Q8" s="3505"/>
      <c r="R8" s="627" t="s">
        <v>25</v>
      </c>
      <c r="S8" s="628">
        <f t="shared" si="0"/>
        <v>0</v>
      </c>
      <c r="T8" s="627" t="s">
        <v>25</v>
      </c>
      <c r="U8" s="628">
        <f t="shared" si="1"/>
        <v>0</v>
      </c>
      <c r="V8" s="627" t="s">
        <v>25</v>
      </c>
      <c r="W8" s="628">
        <f t="shared" si="2"/>
        <v>0</v>
      </c>
      <c r="X8" s="629"/>
      <c r="Y8" s="3504" t="s">
        <v>2262</v>
      </c>
      <c r="Z8" s="3505"/>
      <c r="AA8" s="630" t="e">
        <f t="shared" ref="AA8:AA40" si="3">D8/F8</f>
        <v>#DIV/0!</v>
      </c>
      <c r="AB8" s="630" t="e">
        <f t="shared" ref="AB8:AB40" si="4">D8/H8</f>
        <v>#DIV/0!</v>
      </c>
      <c r="AC8" s="630" t="e">
        <f t="shared" ref="AC8:AC40" si="5">D8/J8</f>
        <v>#DIV/0!</v>
      </c>
    </row>
    <row r="9" spans="1:29" s="25" customFormat="1">
      <c r="A9" s="308" t="s">
        <v>2263</v>
      </c>
      <c r="B9" s="24" t="s">
        <v>2264</v>
      </c>
      <c r="C9" s="1586" t="s">
        <v>2490</v>
      </c>
      <c r="D9" s="28">
        <v>100</v>
      </c>
      <c r="E9" s="1586"/>
      <c r="F9" s="28">
        <f>SUMIF(70:70,E9,71:71)-SUMIF(70:70,C9,71:71)+100</f>
        <v>100</v>
      </c>
      <c r="G9" s="1586"/>
      <c r="H9" s="28">
        <f>SUMIF(70:70,G9,71:71)-SUMIF(70:70,C9,71:71)+100</f>
        <v>100</v>
      </c>
      <c r="I9" s="1586"/>
      <c r="J9" s="28">
        <f>SUMIF(70:70,I9,71:71)-SUMIF(70:70,C9,71:71)+100</f>
        <v>100</v>
      </c>
      <c r="K9" s="497"/>
      <c r="L9" s="3024"/>
      <c r="M9" s="3025"/>
      <c r="N9" s="3025"/>
      <c r="O9" s="3026"/>
      <c r="P9" s="3496" t="s">
        <v>2265</v>
      </c>
      <c r="Q9" s="1327" t="str">
        <f t="shared" ref="Q9:Q15" si="6">B9</f>
        <v>用途</v>
      </c>
      <c r="R9" s="627" t="s">
        <v>25</v>
      </c>
      <c r="S9" s="628">
        <f t="shared" si="0"/>
        <v>100</v>
      </c>
      <c r="T9" s="627" t="s">
        <v>25</v>
      </c>
      <c r="U9" s="628">
        <f t="shared" si="1"/>
        <v>100</v>
      </c>
      <c r="V9" s="627" t="s">
        <v>25</v>
      </c>
      <c r="W9" s="628">
        <f t="shared" si="2"/>
        <v>100</v>
      </c>
      <c r="X9" s="629"/>
      <c r="Y9" s="3515" t="s">
        <v>2266</v>
      </c>
      <c r="Z9" s="19" t="str">
        <f t="shared" ref="Z9:Z15" si="7">Q9</f>
        <v>用途</v>
      </c>
      <c r="AA9" s="630">
        <f t="shared" si="3"/>
        <v>1</v>
      </c>
      <c r="AB9" s="630">
        <f t="shared" si="4"/>
        <v>1</v>
      </c>
      <c r="AC9" s="630">
        <f t="shared" si="5"/>
        <v>1</v>
      </c>
    </row>
    <row r="10" spans="1:29" s="317" customFormat="1" ht="27">
      <c r="A10" s="312"/>
      <c r="B10" s="313" t="s">
        <v>2267</v>
      </c>
      <c r="C10" s="322"/>
      <c r="D10" s="29">
        <v>100</v>
      </c>
      <c r="E10" s="322"/>
      <c r="F10" s="29">
        <f>ROUND(100/'数据-取费表'!B14,0)</f>
        <v>110</v>
      </c>
      <c r="G10" s="322"/>
      <c r="H10" s="29">
        <f>ROUND(100/'数据-取费表'!B14,0)</f>
        <v>110</v>
      </c>
      <c r="I10" s="322"/>
      <c r="J10" s="29">
        <f>ROUND(100/'数据-取费表'!B14,0)</f>
        <v>110</v>
      </c>
      <c r="K10" s="553"/>
      <c r="L10" s="3027"/>
      <c r="M10" s="3028"/>
      <c r="N10" s="3028"/>
      <c r="O10" s="3029"/>
      <c r="P10" s="3496"/>
      <c r="Q10" s="1327" t="str">
        <f t="shared" si="6"/>
        <v>土地使用年限（年）</v>
      </c>
      <c r="R10" s="627" t="s">
        <v>25</v>
      </c>
      <c r="S10" s="628">
        <f t="shared" si="0"/>
        <v>110</v>
      </c>
      <c r="T10" s="627" t="s">
        <v>25</v>
      </c>
      <c r="U10" s="628">
        <f t="shared" si="1"/>
        <v>110</v>
      </c>
      <c r="V10" s="627" t="s">
        <v>25</v>
      </c>
      <c r="W10" s="628">
        <f t="shared" si="2"/>
        <v>110</v>
      </c>
      <c r="X10" s="629"/>
      <c r="Y10" s="3515"/>
      <c r="Z10" s="19" t="str">
        <f t="shared" si="7"/>
        <v>土地使用年限（年）</v>
      </c>
      <c r="AA10" s="630">
        <f t="shared" si="3"/>
        <v>0.90909090909090906</v>
      </c>
      <c r="AB10" s="630">
        <f t="shared" si="4"/>
        <v>0.90909090909090906</v>
      </c>
      <c r="AC10" s="630">
        <f t="shared" si="5"/>
        <v>0.90909090909090906</v>
      </c>
    </row>
    <row r="11" spans="1:29" ht="15">
      <c r="A11" s="318"/>
      <c r="B11" s="313" t="s">
        <v>2268</v>
      </c>
      <c r="C11" s="319">
        <v>0.5</v>
      </c>
      <c r="D11" s="29">
        <v>100</v>
      </c>
      <c r="E11" s="319"/>
      <c r="F11" s="29" t="e">
        <f>LOOKUP(E11,75:75,76:76)-LOOKUP(C11,75:75,76:76)+100</f>
        <v>#N/A</v>
      </c>
      <c r="G11" s="320"/>
      <c r="H11" s="29" t="e">
        <f>LOOKUP(G11,75:75,76:76)-LOOKUP(C11,75:75,76:76)+100</f>
        <v>#N/A</v>
      </c>
      <c r="I11" s="319"/>
      <c r="J11" s="29" t="e">
        <f>LOOKUP(I11,75:75,76:76)-LOOKUP(C11,75:75,76:76)+100</f>
        <v>#N/A</v>
      </c>
      <c r="K11" s="554"/>
      <c r="L11" s="3030"/>
      <c r="M11" s="3023"/>
      <c r="N11" s="3023"/>
      <c r="O11" s="3031"/>
      <c r="P11" s="3496"/>
      <c r="Q11" s="1327" t="str">
        <f t="shared" si="6"/>
        <v>容积率</v>
      </c>
      <c r="R11" s="627" t="s">
        <v>25</v>
      </c>
      <c r="S11" s="628" t="e">
        <f t="shared" si="0"/>
        <v>#N/A</v>
      </c>
      <c r="T11" s="627" t="s">
        <v>25</v>
      </c>
      <c r="U11" s="628" t="e">
        <f t="shared" si="1"/>
        <v>#N/A</v>
      </c>
      <c r="V11" s="627" t="s">
        <v>25</v>
      </c>
      <c r="W11" s="628" t="e">
        <f t="shared" si="2"/>
        <v>#N/A</v>
      </c>
      <c r="X11" s="629"/>
      <c r="Y11" s="3515"/>
      <c r="Z11" s="19" t="str">
        <f t="shared" si="7"/>
        <v>容积率</v>
      </c>
      <c r="AA11" s="630" t="e">
        <f t="shared" si="3"/>
        <v>#N/A</v>
      </c>
      <c r="AB11" s="630" t="e">
        <f t="shared" si="4"/>
        <v>#N/A</v>
      </c>
      <c r="AC11" s="630" t="e">
        <f t="shared" si="5"/>
        <v>#N/A</v>
      </c>
    </row>
    <row r="12" spans="1:29" s="25" customFormat="1" ht="15">
      <c r="A12" s="321"/>
      <c r="B12" s="1563">
        <v>111</v>
      </c>
      <c r="C12" s="322">
        <v>111</v>
      </c>
      <c r="D12" s="323">
        <v>100</v>
      </c>
      <c r="E12" s="436"/>
      <c r="F12" s="29">
        <f>SUMIF(77:77,E12,78:78)-SUMIF(77:77,C12,78:78)+100</f>
        <v>100</v>
      </c>
      <c r="G12" s="555"/>
      <c r="H12" s="29">
        <f>SUMIF(77:77,G12,78:78)-SUMIF(77:77,C12,78:78)+100</f>
        <v>100</v>
      </c>
      <c r="I12" s="436"/>
      <c r="J12" s="29">
        <f>SUMIF(77:77,I12,78:78)-SUMIF(77:77,C12,78:78)+100</f>
        <v>100</v>
      </c>
      <c r="K12" s="553"/>
      <c r="L12" s="3024"/>
      <c r="M12" s="3025"/>
      <c r="N12" s="3025"/>
      <c r="O12" s="3026"/>
      <c r="P12" s="3496"/>
      <c r="Q12" s="1327">
        <f t="shared" si="6"/>
        <v>111</v>
      </c>
      <c r="R12" s="627" t="s">
        <v>25</v>
      </c>
      <c r="S12" s="628">
        <f t="shared" si="0"/>
        <v>100</v>
      </c>
      <c r="T12" s="627" t="s">
        <v>25</v>
      </c>
      <c r="U12" s="628">
        <f t="shared" si="1"/>
        <v>100</v>
      </c>
      <c r="V12" s="627" t="s">
        <v>25</v>
      </c>
      <c r="W12" s="628">
        <f t="shared" si="2"/>
        <v>100</v>
      </c>
      <c r="X12" s="629"/>
      <c r="Y12" s="3515"/>
      <c r="Z12" s="19">
        <f t="shared" si="7"/>
        <v>111</v>
      </c>
      <c r="AA12" s="630">
        <f>D12/F12</f>
        <v>1</v>
      </c>
      <c r="AB12" s="630">
        <f>D12/H12</f>
        <v>1</v>
      </c>
      <c r="AC12" s="630">
        <f>D12/J12</f>
        <v>1</v>
      </c>
    </row>
    <row r="13" spans="1:29" ht="15">
      <c r="A13" s="318"/>
      <c r="B13" s="1563">
        <v>111</v>
      </c>
      <c r="C13" s="324">
        <v>111</v>
      </c>
      <c r="D13" s="325">
        <v>100</v>
      </c>
      <c r="E13" s="436"/>
      <c r="F13" s="29">
        <f>SUMIF(79:79,E13,80:80)-SUMIF(79:79,C13,80:80)+100</f>
        <v>100</v>
      </c>
      <c r="G13" s="555"/>
      <c r="H13" s="325">
        <f>SUMIF(79:79,G13,80:80)-SUMIF(79:79,C13,80:80)+100</f>
        <v>100</v>
      </c>
      <c r="I13" s="436"/>
      <c r="J13" s="325">
        <f>SUMIF(79:79,I13,80:80)-SUMIF(79:79,C13,80:80)+100</f>
        <v>100</v>
      </c>
      <c r="K13" s="553"/>
      <c r="L13" s="3032"/>
      <c r="M13" s="3023"/>
      <c r="N13" s="3023"/>
      <c r="O13" s="3031"/>
      <c r="P13" s="3496"/>
      <c r="Q13" s="1327">
        <f t="shared" si="6"/>
        <v>111</v>
      </c>
      <c r="R13" s="627" t="s">
        <v>25</v>
      </c>
      <c r="S13" s="628">
        <f t="shared" si="0"/>
        <v>100</v>
      </c>
      <c r="T13" s="627" t="s">
        <v>25</v>
      </c>
      <c r="U13" s="628">
        <f t="shared" si="1"/>
        <v>100</v>
      </c>
      <c r="V13" s="627" t="s">
        <v>25</v>
      </c>
      <c r="W13" s="628">
        <f t="shared" si="2"/>
        <v>100</v>
      </c>
      <c r="X13" s="629"/>
      <c r="Y13" s="3515"/>
      <c r="Z13" s="19">
        <f t="shared" si="7"/>
        <v>111</v>
      </c>
      <c r="AA13" s="630">
        <f t="shared" si="3"/>
        <v>1</v>
      </c>
      <c r="AB13" s="630">
        <f t="shared" si="4"/>
        <v>1</v>
      </c>
      <c r="AC13" s="630">
        <f t="shared" si="5"/>
        <v>1</v>
      </c>
    </row>
    <row r="14" spans="1:29" ht="15.75" thickBot="1">
      <c r="A14" s="326"/>
      <c r="B14" s="1564">
        <v>111</v>
      </c>
      <c r="C14" s="1565">
        <v>111</v>
      </c>
      <c r="D14" s="327">
        <v>100</v>
      </c>
      <c r="E14" s="436"/>
      <c r="F14" s="327">
        <f>SUMIF(81:81,E14,82:82)-SUMIF(81:81,C14,82:82)+100</f>
        <v>100</v>
      </c>
      <c r="G14" s="555"/>
      <c r="H14" s="327">
        <f>SUMIF(81:81,G14,82:82)-SUMIF(81:81,C14,82:82)+100</f>
        <v>100</v>
      </c>
      <c r="I14" s="436"/>
      <c r="J14" s="327">
        <f>SUMIF(81:81,I14,82:82)-SUMIF(81:81,C14,82:82)+100</f>
        <v>100</v>
      </c>
      <c r="K14" s="553"/>
      <c r="L14" s="3032"/>
      <c r="M14" s="3023"/>
      <c r="N14" s="3023"/>
      <c r="O14" s="3031"/>
      <c r="P14" s="3496"/>
      <c r="Q14" s="1327">
        <f t="shared" si="6"/>
        <v>111</v>
      </c>
      <c r="R14" s="627" t="s">
        <v>25</v>
      </c>
      <c r="S14" s="628">
        <f t="shared" si="0"/>
        <v>100</v>
      </c>
      <c r="T14" s="627" t="s">
        <v>25</v>
      </c>
      <c r="U14" s="628">
        <f t="shared" si="1"/>
        <v>100</v>
      </c>
      <c r="V14" s="627" t="s">
        <v>25</v>
      </c>
      <c r="W14" s="628">
        <f t="shared" si="2"/>
        <v>100</v>
      </c>
      <c r="X14" s="629"/>
      <c r="Y14" s="3515"/>
      <c r="Z14" s="19">
        <f t="shared" si="7"/>
        <v>111</v>
      </c>
      <c r="AA14" s="630">
        <f t="shared" si="3"/>
        <v>1</v>
      </c>
      <c r="AB14" s="630">
        <f t="shared" si="4"/>
        <v>1</v>
      </c>
      <c r="AC14" s="630">
        <f t="shared" si="5"/>
        <v>1</v>
      </c>
    </row>
    <row r="15" spans="1:29" ht="57">
      <c r="A15" s="329" t="s">
        <v>2269</v>
      </c>
      <c r="B15" s="511" t="s">
        <v>2491</v>
      </c>
      <c r="C15" s="1581" t="str">
        <f>估价对象房地状况!G15</f>
        <v>估价对象位于XX开发区，园区建设成熟度XX，产业集聚程度XX</v>
      </c>
      <c r="D15" s="330">
        <v>100</v>
      </c>
      <c r="E15" s="331"/>
      <c r="F15" s="330">
        <f>SUMIF(83:83,E16,84:84)-SUMIF(83:83,C16,84:84)+100</f>
        <v>100</v>
      </c>
      <c r="G15" s="331"/>
      <c r="H15" s="330">
        <f>SUMIF(83:83,G16,84:84)-SUMIF(83:83,C16,84:84)+100</f>
        <v>100</v>
      </c>
      <c r="I15" s="333"/>
      <c r="J15" s="330">
        <f>SUMIF(83:83,I16,84:84)-SUMIF(83:83,C16,84:84)+100</f>
        <v>100</v>
      </c>
      <c r="K15" s="554"/>
      <c r="L15" s="3032"/>
      <c r="M15" s="3023"/>
      <c r="N15" s="3023"/>
      <c r="O15" s="3031"/>
      <c r="P15" s="3513" t="s">
        <v>2270</v>
      </c>
      <c r="Q15" s="1334" t="str">
        <f t="shared" si="6"/>
        <v>产业集聚程度</v>
      </c>
      <c r="R15" s="631" t="s">
        <v>25</v>
      </c>
      <c r="S15" s="632">
        <f t="shared" si="0"/>
        <v>100</v>
      </c>
      <c r="T15" s="631" t="s">
        <v>25</v>
      </c>
      <c r="U15" s="632">
        <f t="shared" si="1"/>
        <v>100</v>
      </c>
      <c r="V15" s="631" t="s">
        <v>25</v>
      </c>
      <c r="W15" s="632">
        <f t="shared" si="2"/>
        <v>100</v>
      </c>
      <c r="X15" s="1335"/>
      <c r="Y15" s="3513" t="s">
        <v>2270</v>
      </c>
      <c r="Z15" s="1336" t="str">
        <f t="shared" si="7"/>
        <v>产业集聚程度</v>
      </c>
      <c r="AA15" s="1337">
        <f t="shared" si="3"/>
        <v>1</v>
      </c>
      <c r="AB15" s="1337">
        <f t="shared" si="4"/>
        <v>1</v>
      </c>
      <c r="AC15" s="1337">
        <f t="shared" si="5"/>
        <v>1</v>
      </c>
    </row>
    <row r="16" spans="1:29" ht="15">
      <c r="A16" s="318"/>
      <c r="B16" s="512"/>
      <c r="C16" s="335"/>
      <c r="D16" s="336"/>
      <c r="E16" s="1135"/>
      <c r="F16" s="336"/>
      <c r="G16" s="1135"/>
      <c r="H16" s="339"/>
      <c r="I16" s="1135"/>
      <c r="J16" s="336"/>
      <c r="K16" s="553"/>
      <c r="L16" s="3032"/>
      <c r="M16" s="3023"/>
      <c r="N16" s="3023"/>
      <c r="O16" s="3031"/>
      <c r="P16" s="3514"/>
      <c r="Q16" s="1334"/>
      <c r="R16" s="631"/>
      <c r="S16" s="632"/>
      <c r="T16" s="631"/>
      <c r="U16" s="632"/>
      <c r="V16" s="631"/>
      <c r="W16" s="632"/>
      <c r="X16" s="1335"/>
      <c r="Y16" s="3514"/>
      <c r="Z16" s="1336"/>
      <c r="AA16" s="1337">
        <v>1</v>
      </c>
      <c r="AB16" s="1337">
        <v>1</v>
      </c>
      <c r="AC16" s="1337">
        <v>1</v>
      </c>
    </row>
    <row r="17" spans="1:29" ht="85.5">
      <c r="A17" s="318"/>
      <c r="B17" s="513" t="s">
        <v>2407</v>
      </c>
      <c r="C17" s="1567" t="str">
        <f>估价对象房地状况!G16</f>
        <v>估价对象周边道路状况、公共交通通达情况、停车便捷程度，综合评价交通便捷度较好</v>
      </c>
      <c r="D17" s="339">
        <v>100</v>
      </c>
      <c r="E17" s="341"/>
      <c r="F17" s="344">
        <f>SUMIF(85:85,E18,86:86)-SUMIF(85:85,C18,86:86)+100</f>
        <v>100</v>
      </c>
      <c r="G17" s="341"/>
      <c r="H17" s="344">
        <f>SUMIF(85:85,G18,86:86)-SUMIF(85:85,C18,86:86)+100</f>
        <v>100</v>
      </c>
      <c r="I17" s="343"/>
      <c r="J17" s="339">
        <f>SUMIF(85:85,I18,86:86)-SUMIF(85:85,C18,86:86)+100</f>
        <v>100</v>
      </c>
      <c r="K17" s="554"/>
      <c r="L17" s="3032"/>
      <c r="M17" s="3023"/>
      <c r="N17" s="3023"/>
      <c r="O17" s="3031"/>
      <c r="P17" s="3514"/>
      <c r="Q17" s="1334" t="str">
        <f>B17</f>
        <v>交通便捷度</v>
      </c>
      <c r="R17" s="631" t="s">
        <v>25</v>
      </c>
      <c r="S17" s="632">
        <f>F17</f>
        <v>100</v>
      </c>
      <c r="T17" s="631" t="s">
        <v>25</v>
      </c>
      <c r="U17" s="632">
        <f>H17</f>
        <v>100</v>
      </c>
      <c r="V17" s="631" t="s">
        <v>25</v>
      </c>
      <c r="W17" s="632">
        <f>J17</f>
        <v>100</v>
      </c>
      <c r="X17" s="1335"/>
      <c r="Y17" s="3514"/>
      <c r="Z17" s="1336" t="str">
        <f>Q17</f>
        <v>交通便捷度</v>
      </c>
      <c r="AA17" s="1337">
        <f t="shared" si="3"/>
        <v>1</v>
      </c>
      <c r="AB17" s="1337">
        <f t="shared" si="4"/>
        <v>1</v>
      </c>
      <c r="AC17" s="1337">
        <f t="shared" si="5"/>
        <v>1</v>
      </c>
    </row>
    <row r="18" spans="1:29" ht="15">
      <c r="A18" s="318"/>
      <c r="B18" s="514"/>
      <c r="C18" s="335"/>
      <c r="D18" s="336"/>
      <c r="E18" s="337"/>
      <c r="F18" s="336"/>
      <c r="G18" s="337"/>
      <c r="H18" s="336"/>
      <c r="I18" s="1566"/>
      <c r="J18" s="336"/>
      <c r="K18" s="553"/>
      <c r="L18" s="3032"/>
      <c r="M18" s="3023"/>
      <c r="N18" s="3023"/>
      <c r="O18" s="3031"/>
      <c r="P18" s="3514"/>
      <c r="Q18" s="1334"/>
      <c r="R18" s="631"/>
      <c r="S18" s="632"/>
      <c r="T18" s="631"/>
      <c r="U18" s="632"/>
      <c r="V18" s="631"/>
      <c r="W18" s="632"/>
      <c r="X18" s="1335"/>
      <c r="Y18" s="3514"/>
      <c r="Z18" s="1336"/>
      <c r="AA18" s="1337">
        <v>1</v>
      </c>
      <c r="AB18" s="1337">
        <v>1</v>
      </c>
      <c r="AC18" s="1337">
        <v>1</v>
      </c>
    </row>
    <row r="19" spans="1:29" ht="15">
      <c r="A19" s="318"/>
      <c r="B19" s="513" t="s">
        <v>2447</v>
      </c>
      <c r="C19" s="1567">
        <f>估价对象房地状况!G17</f>
        <v>0</v>
      </c>
      <c r="D19" s="339">
        <v>100</v>
      </c>
      <c r="E19" s="341"/>
      <c r="F19" s="344">
        <f>SUMIF(87:87,E20,88:88)-SUMIF(87:87,C20,88:88)+100</f>
        <v>100</v>
      </c>
      <c r="G19" s="341"/>
      <c r="H19" s="344">
        <f>SUMIF(87:87,G20,88:88)-SUMIF(87:87,C20,88:88)+100</f>
        <v>100</v>
      </c>
      <c r="I19" s="341"/>
      <c r="J19" s="344">
        <f>SUMIF(87:87,I20,88:88)-SUMIF(87:87,C20,88:88)+100</f>
        <v>100</v>
      </c>
      <c r="K19" s="554"/>
      <c r="L19" s="3032"/>
      <c r="M19" s="3023"/>
      <c r="N19" s="3023"/>
      <c r="O19" s="3031"/>
      <c r="P19" s="3514"/>
      <c r="Q19" s="1334" t="str">
        <f t="shared" ref="Q19:Q33" si="8">B19</f>
        <v>区域土地利用方向</v>
      </c>
      <c r="R19" s="631" t="s">
        <v>25</v>
      </c>
      <c r="S19" s="632">
        <f>F19</f>
        <v>100</v>
      </c>
      <c r="T19" s="631" t="s">
        <v>25</v>
      </c>
      <c r="U19" s="632">
        <f>H19</f>
        <v>100</v>
      </c>
      <c r="V19" s="631" t="s">
        <v>25</v>
      </c>
      <c r="W19" s="632">
        <f>J19</f>
        <v>100</v>
      </c>
      <c r="X19" s="1335"/>
      <c r="Y19" s="3514"/>
      <c r="Z19" s="1336" t="str">
        <f>Q19</f>
        <v>区域土地利用方向</v>
      </c>
      <c r="AA19" s="1337">
        <f t="shared" si="3"/>
        <v>1</v>
      </c>
      <c r="AB19" s="1337">
        <f t="shared" si="4"/>
        <v>1</v>
      </c>
      <c r="AC19" s="1337">
        <f t="shared" si="5"/>
        <v>1</v>
      </c>
    </row>
    <row r="20" spans="1:29" ht="15">
      <c r="A20" s="297"/>
      <c r="B20" s="514"/>
      <c r="C20" s="335"/>
      <c r="D20" s="336"/>
      <c r="E20" s="337"/>
      <c r="F20" s="336"/>
      <c r="G20" s="337"/>
      <c r="H20" s="336"/>
      <c r="I20" s="337"/>
      <c r="J20" s="336"/>
      <c r="K20" s="665"/>
      <c r="L20" s="3032"/>
      <c r="M20" s="3023"/>
      <c r="N20" s="3023"/>
      <c r="O20" s="3031"/>
      <c r="P20" s="3514"/>
      <c r="Q20" s="1334"/>
      <c r="R20" s="631"/>
      <c r="S20" s="632"/>
      <c r="T20" s="631"/>
      <c r="U20" s="632"/>
      <c r="V20" s="631"/>
      <c r="W20" s="632"/>
      <c r="X20" s="1335"/>
      <c r="Y20" s="3514"/>
      <c r="Z20" s="1336"/>
      <c r="AA20" s="1337"/>
      <c r="AB20" s="1337"/>
      <c r="AC20" s="1337"/>
    </row>
    <row r="21" spans="1:29" ht="71.25">
      <c r="A21" s="297"/>
      <c r="B21" s="513" t="s">
        <v>2492</v>
      </c>
      <c r="C21" s="1567" t="str">
        <f>估价对象房地状况!G18</f>
        <v>该园区内是否有污染型企业，绿化情况，卫生条件，整体环境状况判断</v>
      </c>
      <c r="D21" s="339">
        <v>100</v>
      </c>
      <c r="E21" s="341"/>
      <c r="F21" s="339">
        <f>SUMIF(89:89,E22,90:90)-SUMIF(89:89,C22,90:90)+100</f>
        <v>100</v>
      </c>
      <c r="G21" s="341"/>
      <c r="H21" s="339">
        <f>SUMIF(89:89,G22,90:90)-SUMIF(89:89,C22,90:90)+100</f>
        <v>100</v>
      </c>
      <c r="I21" s="343"/>
      <c r="J21" s="339">
        <f>SUMIF(89:89,I22,90:90)-SUMIF(89:89,C22,90:90)+100</f>
        <v>100</v>
      </c>
      <c r="K21" s="554"/>
      <c r="L21" s="3032"/>
      <c r="M21" s="3023"/>
      <c r="N21" s="3023"/>
      <c r="O21" s="3031"/>
      <c r="P21" s="3514"/>
      <c r="Q21" s="1334" t="str">
        <f t="shared" si="8"/>
        <v>环境状况</v>
      </c>
      <c r="R21" s="631" t="s">
        <v>25</v>
      </c>
      <c r="S21" s="632">
        <f>F21</f>
        <v>100</v>
      </c>
      <c r="T21" s="631" t="s">
        <v>25</v>
      </c>
      <c r="U21" s="632">
        <f>H21</f>
        <v>100</v>
      </c>
      <c r="V21" s="631" t="s">
        <v>25</v>
      </c>
      <c r="W21" s="632">
        <f>J21</f>
        <v>100</v>
      </c>
      <c r="X21" s="1335"/>
      <c r="Y21" s="3514"/>
      <c r="Z21" s="1336" t="str">
        <f>Q21</f>
        <v>环境状况</v>
      </c>
      <c r="AA21" s="1337">
        <f t="shared" si="3"/>
        <v>1</v>
      </c>
      <c r="AB21" s="1337">
        <f t="shared" si="4"/>
        <v>1</v>
      </c>
      <c r="AC21" s="1337">
        <f t="shared" si="5"/>
        <v>1</v>
      </c>
    </row>
    <row r="22" spans="1:29" ht="15">
      <c r="A22" s="297"/>
      <c r="B22" s="514"/>
      <c r="C22" s="335"/>
      <c r="D22" s="336"/>
      <c r="E22" s="1135"/>
      <c r="F22" s="336"/>
      <c r="G22" s="1135"/>
      <c r="H22" s="336"/>
      <c r="I22" s="335"/>
      <c r="J22" s="336"/>
      <c r="K22" s="553"/>
      <c r="L22" s="3032"/>
      <c r="M22" s="3023"/>
      <c r="N22" s="3023"/>
      <c r="O22" s="3031"/>
      <c r="P22" s="3514"/>
      <c r="Q22" s="1334"/>
      <c r="R22" s="631"/>
      <c r="S22" s="632"/>
      <c r="T22" s="631"/>
      <c r="U22" s="632"/>
      <c r="V22" s="631"/>
      <c r="W22" s="632"/>
      <c r="X22" s="1335"/>
      <c r="Y22" s="3514"/>
      <c r="Z22" s="1336"/>
      <c r="AA22" s="1337">
        <v>1</v>
      </c>
      <c r="AB22" s="1337">
        <v>1</v>
      </c>
      <c r="AC22" s="1337">
        <v>1</v>
      </c>
    </row>
    <row r="23" spans="1:29" s="25" customFormat="1" ht="42.75">
      <c r="A23" s="531"/>
      <c r="B23" s="513" t="s">
        <v>2356</v>
      </c>
      <c r="C23" s="1567" t="str">
        <f>估价对象房地状况!G19</f>
        <v>估价对象所在区域公共配套设施齐备情况</v>
      </c>
      <c r="D23" s="339">
        <v>100</v>
      </c>
      <c r="E23" s="341"/>
      <c r="F23" s="339">
        <f>SUMIF(91:91,E24,92:92)-SUMIF(91:91,C24,92:92)+100</f>
        <v>100</v>
      </c>
      <c r="G23" s="341"/>
      <c r="H23" s="339">
        <f>SUMIF(91:91,G24,92:92)-SUMIF(91:91,C24,92:92)+100</f>
        <v>100</v>
      </c>
      <c r="I23" s="343"/>
      <c r="J23" s="339">
        <f>SUMIF(91:91,I24,92:92)-SUMIF(91:91,C24,92:92)+100</f>
        <v>100</v>
      </c>
      <c r="K23" s="554"/>
      <c r="L23" s="3024"/>
      <c r="M23" s="3025"/>
      <c r="N23" s="3025"/>
      <c r="O23" s="3026"/>
      <c r="P23" s="3514"/>
      <c r="Q23" s="1327" t="str">
        <f t="shared" si="8"/>
        <v>公共配套设施</v>
      </c>
      <c r="R23" s="627" t="s">
        <v>25</v>
      </c>
      <c r="S23" s="628">
        <f>F23</f>
        <v>100</v>
      </c>
      <c r="T23" s="627" t="s">
        <v>25</v>
      </c>
      <c r="U23" s="628">
        <f>H23</f>
        <v>100</v>
      </c>
      <c r="V23" s="627" t="s">
        <v>25</v>
      </c>
      <c r="W23" s="628">
        <f>J23</f>
        <v>100</v>
      </c>
      <c r="X23" s="629"/>
      <c r="Y23" s="3514"/>
      <c r="Z23" s="19" t="str">
        <f>Q23</f>
        <v>公共配套设施</v>
      </c>
      <c r="AA23" s="1337">
        <f>D23/F23</f>
        <v>1</v>
      </c>
      <c r="AB23" s="1337">
        <f>D23/H23</f>
        <v>1</v>
      </c>
      <c r="AC23" s="1337">
        <f>D23/J23</f>
        <v>1</v>
      </c>
    </row>
    <row r="24" spans="1:29" s="25" customFormat="1" ht="15">
      <c r="A24" s="531"/>
      <c r="B24" s="514"/>
      <c r="C24" s="1596"/>
      <c r="D24" s="336"/>
      <c r="E24" s="1135"/>
      <c r="F24" s="336"/>
      <c r="G24" s="1135"/>
      <c r="H24" s="336"/>
      <c r="I24" s="335"/>
      <c r="J24" s="336"/>
      <c r="K24" s="553"/>
      <c r="L24" s="3024"/>
      <c r="M24" s="3025"/>
      <c r="N24" s="3025"/>
      <c r="O24" s="3026"/>
      <c r="P24" s="3514"/>
      <c r="Q24" s="1327"/>
      <c r="R24" s="627"/>
      <c r="S24" s="628"/>
      <c r="T24" s="627"/>
      <c r="U24" s="628"/>
      <c r="V24" s="627"/>
      <c r="W24" s="628"/>
      <c r="X24" s="629"/>
      <c r="Y24" s="3514"/>
      <c r="Z24" s="19"/>
      <c r="AA24" s="630">
        <v>1</v>
      </c>
      <c r="AB24" s="630">
        <v>1</v>
      </c>
      <c r="AC24" s="630">
        <v>1</v>
      </c>
    </row>
    <row r="25" spans="1:29" s="25" customFormat="1" ht="28.5">
      <c r="A25" s="531"/>
      <c r="B25" s="515" t="s">
        <v>2357</v>
      </c>
      <c r="C25" s="1567" t="str">
        <f>估价对象房地状况!G20</f>
        <v>估价对象所在区域基础设施水平</v>
      </c>
      <c r="D25" s="339">
        <v>100</v>
      </c>
      <c r="E25" s="341"/>
      <c r="F25" s="339">
        <f>SUMIF(93:93,E26,94:94)-SUMIF(93:93,C26,94:94)+100</f>
        <v>100</v>
      </c>
      <c r="G25" s="341"/>
      <c r="H25" s="339">
        <f>SUMIF(93:93,G26,94:94)-SUMIF(93:93,C26,94:94)+100</f>
        <v>100</v>
      </c>
      <c r="I25" s="343"/>
      <c r="J25" s="339">
        <f>SUMIF(93:93,I26,94:94)-SUMIF(93:93,C26,94:94)+100</f>
        <v>100</v>
      </c>
      <c r="K25" s="554"/>
      <c r="L25" s="3024"/>
      <c r="M25" s="3025"/>
      <c r="N25" s="3025"/>
      <c r="O25" s="3026"/>
      <c r="P25" s="3514"/>
      <c r="Q25" s="1327" t="str">
        <f t="shared" ref="Q25" si="9">B25</f>
        <v>基础设施水平</v>
      </c>
      <c r="R25" s="627" t="s">
        <v>25</v>
      </c>
      <c r="S25" s="628">
        <f>F25</f>
        <v>100</v>
      </c>
      <c r="T25" s="627" t="s">
        <v>25</v>
      </c>
      <c r="U25" s="628">
        <f>H25</f>
        <v>100</v>
      </c>
      <c r="V25" s="627" t="s">
        <v>25</v>
      </c>
      <c r="W25" s="628">
        <f>J25</f>
        <v>100</v>
      </c>
      <c r="X25" s="629"/>
      <c r="Y25" s="3514"/>
      <c r="Z25" s="19" t="str">
        <f>Q25</f>
        <v>基础设施水平</v>
      </c>
      <c r="AA25" s="1337">
        <f>D25/F25</f>
        <v>1</v>
      </c>
      <c r="AB25" s="1337">
        <f>D25/H25</f>
        <v>1</v>
      </c>
      <c r="AC25" s="1337">
        <f>D25/J25</f>
        <v>1</v>
      </c>
    </row>
    <row r="26" spans="1:29" s="25" customFormat="1" ht="15">
      <c r="A26" s="531"/>
      <c r="B26" s="514"/>
      <c r="C26" s="1596"/>
      <c r="D26" s="336"/>
      <c r="E26" s="1587"/>
      <c r="F26" s="336"/>
      <c r="G26" s="1587"/>
      <c r="H26" s="336"/>
      <c r="I26" s="1587"/>
      <c r="J26" s="336"/>
      <c r="K26" s="553"/>
      <c r="L26" s="3024"/>
      <c r="M26" s="3025"/>
      <c r="N26" s="3025"/>
      <c r="O26" s="3026"/>
      <c r="P26" s="3514"/>
      <c r="Q26" s="1327"/>
      <c r="R26" s="627"/>
      <c r="S26" s="628"/>
      <c r="T26" s="627"/>
      <c r="U26" s="628"/>
      <c r="V26" s="627"/>
      <c r="W26" s="628"/>
      <c r="X26" s="629"/>
      <c r="Y26" s="3514"/>
      <c r="Z26" s="19"/>
      <c r="AA26" s="630">
        <v>1</v>
      </c>
      <c r="AB26" s="630">
        <v>1</v>
      </c>
      <c r="AC26" s="630">
        <v>1</v>
      </c>
    </row>
    <row r="27" spans="1:29" ht="15">
      <c r="A27" s="318"/>
      <c r="B27" s="514" t="s">
        <v>2358</v>
      </c>
      <c r="C27" s="502"/>
      <c r="D27" s="325">
        <v>100</v>
      </c>
      <c r="E27" s="516"/>
      <c r="F27" s="325">
        <f>SUMIF(95:95,E27,96:96)-SUMIF(95:95,C27,96:96)+100</f>
        <v>100</v>
      </c>
      <c r="G27" s="516"/>
      <c r="H27" s="325">
        <f>SUMIF(95:95,G27,96:96)-SUMIF(95:95,C27,96:96)+100</f>
        <v>100</v>
      </c>
      <c r="I27" s="516"/>
      <c r="J27" s="325">
        <f>SUMIF(95:95,I27,96:96)-SUMIF(95:95,C27,96:96)+100</f>
        <v>100</v>
      </c>
      <c r="K27" s="554"/>
      <c r="L27" s="3032"/>
      <c r="M27" s="3023"/>
      <c r="N27" s="3023"/>
      <c r="O27" s="3031"/>
      <c r="P27" s="3514"/>
      <c r="Q27" s="1334" t="str">
        <f t="shared" si="8"/>
        <v>临街状况</v>
      </c>
      <c r="R27" s="631" t="s">
        <v>25</v>
      </c>
      <c r="S27" s="632">
        <f t="shared" ref="S27:S40" si="10">F27</f>
        <v>100</v>
      </c>
      <c r="T27" s="631" t="s">
        <v>25</v>
      </c>
      <c r="U27" s="632">
        <f t="shared" ref="U27:U40" si="11">H27</f>
        <v>100</v>
      </c>
      <c r="V27" s="631" t="s">
        <v>25</v>
      </c>
      <c r="W27" s="632">
        <f t="shared" ref="W27:W40" si="12">J27</f>
        <v>100</v>
      </c>
      <c r="X27" s="1335"/>
      <c r="Y27" s="3514"/>
      <c r="Z27" s="1336" t="str">
        <f t="shared" ref="Z27:Z40" si="13">Q27</f>
        <v>临街状况</v>
      </c>
      <c r="AA27" s="1337">
        <f t="shared" si="3"/>
        <v>1</v>
      </c>
      <c r="AB27" s="1337">
        <f t="shared" si="4"/>
        <v>1</v>
      </c>
      <c r="AC27" s="1337">
        <f t="shared" si="5"/>
        <v>1</v>
      </c>
    </row>
    <row r="28" spans="1:29" ht="27">
      <c r="A28" s="318"/>
      <c r="B28" s="515" t="s">
        <v>2388</v>
      </c>
      <c r="C28" s="1597">
        <f>估价对象房地状况!G22</f>
        <v>0</v>
      </c>
      <c r="D28" s="339">
        <v>100</v>
      </c>
      <c r="E28" s="341"/>
      <c r="F28" s="339">
        <f>SUMIF(97:97,E29,98:98)-SUMIF(97:97,C29,98:98)+100</f>
        <v>100</v>
      </c>
      <c r="G28" s="341"/>
      <c r="H28" s="339">
        <f>SUMIF(97:97,G29,98:98)-SUMIF(97:97,C29,98:98)+100</f>
        <v>100</v>
      </c>
      <c r="I28" s="343"/>
      <c r="J28" s="339">
        <f>SUMIF(97:97,I29,98:98)-SUMIF(97:97,C29,98:98)+100</f>
        <v>100</v>
      </c>
      <c r="K28" s="554"/>
      <c r="L28" s="3032"/>
      <c r="M28" s="3023"/>
      <c r="N28" s="3023"/>
      <c r="O28" s="3031"/>
      <c r="P28" s="3514"/>
      <c r="Q28" s="1334" t="str">
        <f t="shared" si="8"/>
        <v>毗邻道路的类型与等级</v>
      </c>
      <c r="R28" s="631" t="s">
        <v>25</v>
      </c>
      <c r="S28" s="632">
        <f t="shared" si="10"/>
        <v>100</v>
      </c>
      <c r="T28" s="631" t="s">
        <v>25</v>
      </c>
      <c r="U28" s="632">
        <f t="shared" si="11"/>
        <v>100</v>
      </c>
      <c r="V28" s="631" t="s">
        <v>25</v>
      </c>
      <c r="W28" s="632">
        <f t="shared" si="12"/>
        <v>100</v>
      </c>
      <c r="X28" s="1335"/>
      <c r="Y28" s="3514"/>
      <c r="Z28" s="1336" t="str">
        <f t="shared" si="13"/>
        <v>毗邻道路的类型与等级</v>
      </c>
      <c r="AA28" s="1337">
        <f t="shared" si="3"/>
        <v>1</v>
      </c>
      <c r="AB28" s="1337">
        <f t="shared" si="4"/>
        <v>1</v>
      </c>
      <c r="AC28" s="1337">
        <f t="shared" si="5"/>
        <v>1</v>
      </c>
    </row>
    <row r="29" spans="1:29" ht="15">
      <c r="A29" s="318"/>
      <c r="B29" s="514"/>
      <c r="C29" s="335"/>
      <c r="D29" s="336"/>
      <c r="E29" s="1135"/>
      <c r="F29" s="336"/>
      <c r="G29" s="1135"/>
      <c r="H29" s="336"/>
      <c r="I29" s="1135"/>
      <c r="J29" s="336"/>
      <c r="K29" s="499"/>
      <c r="L29" s="3032"/>
      <c r="M29" s="3023"/>
      <c r="N29" s="3023"/>
      <c r="O29" s="3031"/>
      <c r="P29" s="3514"/>
      <c r="Q29" s="1334"/>
      <c r="R29" s="631"/>
      <c r="S29" s="632"/>
      <c r="T29" s="631"/>
      <c r="U29" s="632"/>
      <c r="V29" s="631"/>
      <c r="W29" s="632"/>
      <c r="X29" s="1335"/>
      <c r="Y29" s="3514"/>
      <c r="Z29" s="1336"/>
      <c r="AA29" s="1337">
        <v>1</v>
      </c>
      <c r="AB29" s="1337">
        <v>1</v>
      </c>
      <c r="AC29" s="1337">
        <v>1</v>
      </c>
    </row>
    <row r="30" spans="1:29" ht="15">
      <c r="A30" s="318"/>
      <c r="B30" s="535" t="s">
        <v>2449</v>
      </c>
      <c r="C30" s="1150">
        <f>估价对象房地状况!G23</f>
        <v>0</v>
      </c>
      <c r="D30" s="325">
        <v>100</v>
      </c>
      <c r="E30" s="516"/>
      <c r="F30" s="325">
        <f>SUMIF(99:99,E30,100:100)-SUMIF(99:99,C30,100:100)+100</f>
        <v>100</v>
      </c>
      <c r="G30" s="516"/>
      <c r="H30" s="325">
        <f>SUMIF(99:99,G30,100:100)-SUMIF(99:99,C30,100:100)+100</f>
        <v>100</v>
      </c>
      <c r="I30" s="516"/>
      <c r="J30" s="325">
        <f>SUMIF(99:99,I30,100:100)-SUMIF(99:99,C30,100:100)+100</f>
        <v>100</v>
      </c>
      <c r="K30" s="498"/>
      <c r="L30" s="3032"/>
      <c r="M30" s="3023"/>
      <c r="N30" s="3023"/>
      <c r="O30" s="3031"/>
      <c r="P30" s="3514"/>
      <c r="Q30" s="1334" t="str">
        <f t="shared" si="8"/>
        <v>土地级别</v>
      </c>
      <c r="R30" s="631" t="s">
        <v>25</v>
      </c>
      <c r="S30" s="632">
        <f t="shared" si="10"/>
        <v>100</v>
      </c>
      <c r="T30" s="631" t="s">
        <v>25</v>
      </c>
      <c r="U30" s="632">
        <f t="shared" si="11"/>
        <v>100</v>
      </c>
      <c r="V30" s="631" t="s">
        <v>25</v>
      </c>
      <c r="W30" s="632">
        <f t="shared" si="12"/>
        <v>100</v>
      </c>
      <c r="X30" s="1335"/>
      <c r="Y30" s="3514"/>
      <c r="Z30" s="1336" t="str">
        <f t="shared" si="13"/>
        <v>土地级别</v>
      </c>
      <c r="AA30" s="1337">
        <f t="shared" si="3"/>
        <v>1</v>
      </c>
      <c r="AB30" s="1337">
        <f t="shared" si="4"/>
        <v>1</v>
      </c>
      <c r="AC30" s="1337">
        <f t="shared" si="5"/>
        <v>1</v>
      </c>
    </row>
    <row r="31" spans="1:29" ht="15">
      <c r="A31" s="297"/>
      <c r="B31" s="1576">
        <v>111</v>
      </c>
      <c r="C31" s="555"/>
      <c r="D31" s="325">
        <v>100</v>
      </c>
      <c r="E31" s="365"/>
      <c r="F31" s="325">
        <f>SUMIF(101:101,E31,102:102)-SUMIF(101:101,C31,102:102)+100</f>
        <v>100</v>
      </c>
      <c r="G31" s="365"/>
      <c r="H31" s="325">
        <f>SUMIF(101:101,G31,102:102)-SUMIF(101:101,C31,102:102)+100</f>
        <v>100</v>
      </c>
      <c r="I31" s="436"/>
      <c r="J31" s="325">
        <f>SUMIF(101:101,I31,102:102)-SUMIF(101:101,C31,102:102)+100</f>
        <v>100</v>
      </c>
      <c r="K31" s="499"/>
      <c r="L31" s="3032"/>
      <c r="M31" s="3023"/>
      <c r="N31" s="3023"/>
      <c r="O31" s="3031"/>
      <c r="P31" s="3514"/>
      <c r="Q31" s="1334">
        <f t="shared" si="8"/>
        <v>111</v>
      </c>
      <c r="R31" s="631" t="s">
        <v>25</v>
      </c>
      <c r="S31" s="632">
        <f t="shared" si="10"/>
        <v>100</v>
      </c>
      <c r="T31" s="631" t="s">
        <v>25</v>
      </c>
      <c r="U31" s="632">
        <f t="shared" si="11"/>
        <v>100</v>
      </c>
      <c r="V31" s="631" t="s">
        <v>25</v>
      </c>
      <c r="W31" s="632">
        <f t="shared" si="12"/>
        <v>100</v>
      </c>
      <c r="X31" s="1335"/>
      <c r="Y31" s="3514"/>
      <c r="Z31" s="1336">
        <f t="shared" si="13"/>
        <v>111</v>
      </c>
      <c r="AA31" s="1337">
        <f t="shared" si="3"/>
        <v>1</v>
      </c>
      <c r="AB31" s="1337">
        <f t="shared" si="4"/>
        <v>1</v>
      </c>
      <c r="AC31" s="1337">
        <f t="shared" si="5"/>
        <v>1</v>
      </c>
    </row>
    <row r="32" spans="1:29" ht="15">
      <c r="A32" s="556"/>
      <c r="B32" s="1598">
        <v>111</v>
      </c>
      <c r="C32" s="555"/>
      <c r="D32" s="325">
        <v>100</v>
      </c>
      <c r="E32" s="365"/>
      <c r="F32" s="325">
        <f>SUMIF(103:103,E33,104:104)-SUMIF(103:103,C33,104:104)+100</f>
        <v>100</v>
      </c>
      <c r="G32" s="365"/>
      <c r="H32" s="325">
        <f>SUMIF(103:103,G32,104:104)-SUMIF(103:103,C32,104:104)+100</f>
        <v>100</v>
      </c>
      <c r="I32" s="555"/>
      <c r="J32" s="325">
        <f>SUMIF(103:103,I32,104:104)-SUMIF(103:103,C32,104:104)+100</f>
        <v>100</v>
      </c>
      <c r="K32" s="499"/>
      <c r="L32" s="3032"/>
      <c r="M32" s="3023"/>
      <c r="N32" s="3023"/>
      <c r="O32" s="3031"/>
      <c r="P32" s="3501" t="s">
        <v>2276</v>
      </c>
      <c r="Q32" s="1334">
        <f t="shared" si="8"/>
        <v>111</v>
      </c>
      <c r="R32" s="631" t="s">
        <v>25</v>
      </c>
      <c r="S32" s="632">
        <f t="shared" si="10"/>
        <v>100</v>
      </c>
      <c r="T32" s="631" t="s">
        <v>25</v>
      </c>
      <c r="U32" s="632">
        <f t="shared" si="11"/>
        <v>100</v>
      </c>
      <c r="V32" s="631" t="s">
        <v>25</v>
      </c>
      <c r="W32" s="632">
        <f t="shared" si="12"/>
        <v>100</v>
      </c>
      <c r="X32" s="1335"/>
      <c r="Y32" s="3502" t="s">
        <v>2276</v>
      </c>
      <c r="Z32" s="1336">
        <f t="shared" si="13"/>
        <v>111</v>
      </c>
      <c r="AA32" s="1337">
        <f t="shared" si="3"/>
        <v>1</v>
      </c>
      <c r="AB32" s="1337">
        <f t="shared" si="4"/>
        <v>1</v>
      </c>
      <c r="AC32" s="1337">
        <f t="shared" si="5"/>
        <v>1</v>
      </c>
    </row>
    <row r="33" spans="1:29" s="359" customFormat="1" ht="15.75" thickBot="1">
      <c r="A33" s="557"/>
      <c r="B33" s="1599">
        <v>111</v>
      </c>
      <c r="C33" s="559"/>
      <c r="D33" s="30">
        <v>100</v>
      </c>
      <c r="E33" s="581"/>
      <c r="F33" s="327">
        <f>SUMIF(105:105,E33,106:106)-SUMIF(105:105,C33,106:106)+100</f>
        <v>100</v>
      </c>
      <c r="G33" s="581"/>
      <c r="H33" s="327">
        <f>SUMIF(105:105,G33,106:106)-SUMIF(105:105,C33,106:106)+100</f>
        <v>100</v>
      </c>
      <c r="I33" s="559"/>
      <c r="J33" s="327">
        <f>SUMIF(105:105,I33,106:106)-SUMIF(105:105,C33,106:106)+100</f>
        <v>100</v>
      </c>
      <c r="K33" s="499"/>
      <c r="L33" s="3030"/>
      <c r="M33" s="358"/>
      <c r="N33" s="358"/>
      <c r="O33" s="3033"/>
      <c r="P33" s="3502"/>
      <c r="Q33" s="1334">
        <f t="shared" si="8"/>
        <v>111</v>
      </c>
      <c r="R33" s="634" t="s">
        <v>25</v>
      </c>
      <c r="S33" s="635">
        <f t="shared" si="10"/>
        <v>100</v>
      </c>
      <c r="T33" s="634" t="s">
        <v>25</v>
      </c>
      <c r="U33" s="635">
        <f t="shared" si="11"/>
        <v>100</v>
      </c>
      <c r="V33" s="634" t="s">
        <v>25</v>
      </c>
      <c r="W33" s="635">
        <f t="shared" si="12"/>
        <v>100</v>
      </c>
      <c r="X33" s="636"/>
      <c r="Y33" s="3502"/>
      <c r="Z33" s="637">
        <f t="shared" si="13"/>
        <v>111</v>
      </c>
      <c r="AA33" s="1337">
        <f t="shared" si="3"/>
        <v>1</v>
      </c>
      <c r="AB33" s="1337">
        <f t="shared" si="4"/>
        <v>1</v>
      </c>
      <c r="AC33" s="1337">
        <f t="shared" si="5"/>
        <v>1</v>
      </c>
    </row>
    <row r="34" spans="1:29" ht="15">
      <c r="A34" s="360" t="s">
        <v>2274</v>
      </c>
      <c r="B34" s="345" t="s">
        <v>2450</v>
      </c>
      <c r="C34" s="560"/>
      <c r="D34" s="355">
        <v>100</v>
      </c>
      <c r="E34" s="560"/>
      <c r="F34" s="355" t="e">
        <f>LOOKUP(E34,108:108,109:109)-LOOKUP(C34,108:108,109:109)+100</f>
        <v>#N/A</v>
      </c>
      <c r="G34" s="560"/>
      <c r="H34" s="355" t="e">
        <f>LOOKUP(G34,108:108,109:109)-LOOKUP(C34,108:108,109:109)+100</f>
        <v>#N/A</v>
      </c>
      <c r="I34" s="415"/>
      <c r="J34" s="355" t="e">
        <f>LOOKUP(I34,108:108,109:109)-LOOKUP(C34,108:108,109:109)+100</f>
        <v>#N/A</v>
      </c>
      <c r="K34" s="499"/>
      <c r="L34" s="3032"/>
      <c r="M34" s="3023"/>
      <c r="N34" s="3023"/>
      <c r="O34" s="3031"/>
      <c r="P34" s="3502"/>
      <c r="Q34" s="1334" t="str">
        <f>B34</f>
        <v>宗地面积</v>
      </c>
      <c r="R34" s="631" t="s">
        <v>25</v>
      </c>
      <c r="S34" s="632" t="e">
        <f t="shared" si="10"/>
        <v>#N/A</v>
      </c>
      <c r="T34" s="631" t="s">
        <v>25</v>
      </c>
      <c r="U34" s="632" t="e">
        <f t="shared" si="11"/>
        <v>#N/A</v>
      </c>
      <c r="V34" s="631" t="s">
        <v>25</v>
      </c>
      <c r="W34" s="632" t="e">
        <f t="shared" si="12"/>
        <v>#N/A</v>
      </c>
      <c r="X34" s="1335"/>
      <c r="Y34" s="3502"/>
      <c r="Z34" s="1336" t="str">
        <f t="shared" si="13"/>
        <v>宗地面积</v>
      </c>
      <c r="AA34" s="1337" t="e">
        <f t="shared" si="3"/>
        <v>#N/A</v>
      </c>
      <c r="AB34" s="1337" t="e">
        <f t="shared" si="4"/>
        <v>#N/A</v>
      </c>
      <c r="AC34" s="1337" t="e">
        <f t="shared" si="5"/>
        <v>#N/A</v>
      </c>
    </row>
    <row r="35" spans="1:29" ht="15">
      <c r="A35" s="360"/>
      <c r="B35" s="313" t="s">
        <v>2451</v>
      </c>
      <c r="C35" s="1570"/>
      <c r="D35" s="325">
        <v>100</v>
      </c>
      <c r="E35" s="1570"/>
      <c r="F35" s="325">
        <f>SUMIF(110:110,E35,111:111)-SUMIF(110:110,C35,111:111)+100</f>
        <v>100</v>
      </c>
      <c r="G35" s="1570"/>
      <c r="H35" s="325">
        <f>SUMIF(110:110,G35,111:111)-SUMIF(110:110,C35,111:111)+100</f>
        <v>100</v>
      </c>
      <c r="I35" s="1570"/>
      <c r="J35" s="325">
        <f>SUMIF(110:110,I35,111:111)-SUMIF(110:110,C35,111:111)+100</f>
        <v>100</v>
      </c>
      <c r="K35" s="498"/>
      <c r="L35" s="3032"/>
      <c r="M35" s="3023"/>
      <c r="N35" s="3023"/>
      <c r="O35" s="3031"/>
      <c r="P35" s="3502"/>
      <c r="Q35" s="1334" t="str">
        <f t="shared" ref="Q35:Q40" si="14">B35</f>
        <v>宗地形状</v>
      </c>
      <c r="R35" s="631" t="s">
        <v>25</v>
      </c>
      <c r="S35" s="632">
        <f t="shared" si="10"/>
        <v>100</v>
      </c>
      <c r="T35" s="631" t="s">
        <v>25</v>
      </c>
      <c r="U35" s="632">
        <f t="shared" si="11"/>
        <v>100</v>
      </c>
      <c r="V35" s="631" t="s">
        <v>25</v>
      </c>
      <c r="W35" s="632">
        <f t="shared" si="12"/>
        <v>100</v>
      </c>
      <c r="X35" s="1335"/>
      <c r="Y35" s="3502"/>
      <c r="Z35" s="1336" t="str">
        <f t="shared" si="13"/>
        <v>宗地形状</v>
      </c>
      <c r="AA35" s="1337">
        <f t="shared" si="3"/>
        <v>1</v>
      </c>
      <c r="AB35" s="1337">
        <f t="shared" si="4"/>
        <v>1</v>
      </c>
      <c r="AC35" s="1337">
        <f t="shared" si="5"/>
        <v>1</v>
      </c>
    </row>
    <row r="36" spans="1:29" s="25" customFormat="1" ht="15">
      <c r="A36" s="361"/>
      <c r="B36" s="313" t="s">
        <v>2453</v>
      </c>
      <c r="C36" s="1588"/>
      <c r="D36" s="29">
        <v>100</v>
      </c>
      <c r="E36" s="1588"/>
      <c r="F36" s="325">
        <f>SUMIF(112:112,E36,113:113)-SUMIF(112:112,C36,113:113)+100</f>
        <v>100</v>
      </c>
      <c r="G36" s="1588"/>
      <c r="H36" s="325">
        <f>SUMIF(112:112,G36,113:113)-SUMIF(112:112,C36,113:113)+100</f>
        <v>100</v>
      </c>
      <c r="I36" s="1588"/>
      <c r="J36" s="325">
        <f>SUMIF(112:112,I36,113:113)-SUMIF(112:112,C36,113:113)+100</f>
        <v>100</v>
      </c>
      <c r="K36" s="498"/>
      <c r="L36" s="3024"/>
      <c r="M36" s="3025"/>
      <c r="N36" s="3025"/>
      <c r="O36" s="3026"/>
      <c r="P36" s="3502"/>
      <c r="Q36" s="1334" t="str">
        <f t="shared" si="14"/>
        <v>宗地开发程度</v>
      </c>
      <c r="R36" s="627" t="s">
        <v>25</v>
      </c>
      <c r="S36" s="628">
        <f t="shared" si="10"/>
        <v>100</v>
      </c>
      <c r="T36" s="627" t="s">
        <v>25</v>
      </c>
      <c r="U36" s="628">
        <f t="shared" si="11"/>
        <v>100</v>
      </c>
      <c r="V36" s="627" t="s">
        <v>25</v>
      </c>
      <c r="W36" s="628">
        <f t="shared" si="12"/>
        <v>100</v>
      </c>
      <c r="X36" s="629"/>
      <c r="Y36" s="3502"/>
      <c r="Z36" s="19" t="str">
        <f t="shared" si="13"/>
        <v>宗地开发程度</v>
      </c>
      <c r="AA36" s="630">
        <f t="shared" si="3"/>
        <v>1</v>
      </c>
      <c r="AB36" s="630">
        <f t="shared" si="4"/>
        <v>1</v>
      </c>
      <c r="AC36" s="630">
        <f t="shared" si="5"/>
        <v>1</v>
      </c>
    </row>
    <row r="37" spans="1:29" ht="15">
      <c r="A37" s="360"/>
      <c r="B37" s="313" t="s">
        <v>2454</v>
      </c>
      <c r="C37" s="1570"/>
      <c r="D37" s="325">
        <v>100</v>
      </c>
      <c r="E37" s="1570"/>
      <c r="F37" s="325">
        <f>SUMIF(114:114,E37,115:115)-SUMIF(114:114,C37,115:115)+100</f>
        <v>100</v>
      </c>
      <c r="G37" s="1570"/>
      <c r="H37" s="325">
        <f>SUMIF(114:114,G37,115:115)-SUMIF(114:114,C37,115:115)+100</f>
        <v>100</v>
      </c>
      <c r="I37" s="1570"/>
      <c r="J37" s="325">
        <f>SUMIF(114:114,I37,115:115)-SUMIF(114:114,C37,115:115)+100</f>
        <v>100</v>
      </c>
      <c r="K37" s="498"/>
      <c r="L37" s="3032"/>
      <c r="M37" s="3023"/>
      <c r="N37" s="3023"/>
      <c r="O37" s="3031"/>
      <c r="P37" s="3502" t="s">
        <v>2276</v>
      </c>
      <c r="Q37" s="1334" t="str">
        <f t="shared" si="14"/>
        <v>工程地质条件</v>
      </c>
      <c r="R37" s="631" t="s">
        <v>25</v>
      </c>
      <c r="S37" s="632">
        <f t="shared" si="10"/>
        <v>100</v>
      </c>
      <c r="T37" s="631" t="s">
        <v>25</v>
      </c>
      <c r="U37" s="632">
        <f t="shared" si="11"/>
        <v>100</v>
      </c>
      <c r="V37" s="631" t="s">
        <v>25</v>
      </c>
      <c r="W37" s="632">
        <f t="shared" si="12"/>
        <v>100</v>
      </c>
      <c r="X37" s="1335"/>
      <c r="Y37" s="3502" t="s">
        <v>2276</v>
      </c>
      <c r="Z37" s="1336" t="str">
        <f t="shared" si="13"/>
        <v>工程地质条件</v>
      </c>
      <c r="AA37" s="1337">
        <f t="shared" si="3"/>
        <v>1</v>
      </c>
      <c r="AB37" s="1337">
        <f t="shared" si="4"/>
        <v>1</v>
      </c>
      <c r="AC37" s="1337">
        <f t="shared" si="5"/>
        <v>1</v>
      </c>
    </row>
    <row r="38" spans="1:29" ht="15">
      <c r="A38" s="360"/>
      <c r="B38" s="1589">
        <v>111</v>
      </c>
      <c r="C38" s="555"/>
      <c r="D38" s="325">
        <v>100</v>
      </c>
      <c r="E38" s="555"/>
      <c r="F38" s="325">
        <f>SUMIF(116:116,E38,117:117)-SUMIF(116:116,C38,117:117)+100</f>
        <v>100</v>
      </c>
      <c r="G38" s="555"/>
      <c r="H38" s="325">
        <f>SUMIF(116:116,G38,117:117)-SUMIF(116:116,C38,117:117)+100</f>
        <v>100</v>
      </c>
      <c r="I38" s="436"/>
      <c r="J38" s="325">
        <f>SUMIF(116:116,I38,117:117)-SUMIF(116:116,C38,117:117)+100</f>
        <v>100</v>
      </c>
      <c r="K38" s="499"/>
      <c r="L38" s="3032"/>
      <c r="M38" s="3023"/>
      <c r="N38" s="3023"/>
      <c r="O38" s="3031"/>
      <c r="P38" s="3502"/>
      <c r="Q38" s="1334">
        <f t="shared" si="14"/>
        <v>111</v>
      </c>
      <c r="R38" s="631" t="s">
        <v>25</v>
      </c>
      <c r="S38" s="632">
        <f t="shared" si="10"/>
        <v>100</v>
      </c>
      <c r="T38" s="631" t="s">
        <v>25</v>
      </c>
      <c r="U38" s="632">
        <f t="shared" si="11"/>
        <v>100</v>
      </c>
      <c r="V38" s="631" t="s">
        <v>25</v>
      </c>
      <c r="W38" s="632">
        <f t="shared" si="12"/>
        <v>100</v>
      </c>
      <c r="X38" s="1335"/>
      <c r="Y38" s="3502"/>
      <c r="Z38" s="1336">
        <f t="shared" si="13"/>
        <v>111</v>
      </c>
      <c r="AA38" s="1337">
        <f t="shared" si="3"/>
        <v>1</v>
      </c>
      <c r="AB38" s="1337">
        <f t="shared" si="4"/>
        <v>1</v>
      </c>
      <c r="AC38" s="1337">
        <f t="shared" si="5"/>
        <v>1</v>
      </c>
    </row>
    <row r="39" spans="1:29" ht="15">
      <c r="A39" s="360"/>
      <c r="B39" s="1589">
        <v>111</v>
      </c>
      <c r="C39" s="555"/>
      <c r="D39" s="325">
        <v>100</v>
      </c>
      <c r="E39" s="555"/>
      <c r="F39" s="325">
        <f>SUMIF(118:118,E39,119:119)-SUMIF(118:118,C39,119:119)+100</f>
        <v>100</v>
      </c>
      <c r="G39" s="555"/>
      <c r="H39" s="325">
        <f>SUMIF(118:118,G39,119:119)-SUMIF(118:118,C39,119:119)+100</f>
        <v>100</v>
      </c>
      <c r="I39" s="436"/>
      <c r="J39" s="325">
        <f>SUMIF(118:118,I39,119:119)-SUMIF(118:118,C39,119:119)+100</f>
        <v>100</v>
      </c>
      <c r="K39" s="499"/>
      <c r="L39" s="3032"/>
      <c r="M39" s="3023"/>
      <c r="N39" s="3023"/>
      <c r="O39" s="3031"/>
      <c r="P39" s="3502"/>
      <c r="Q39" s="1334">
        <f t="shared" si="14"/>
        <v>111</v>
      </c>
      <c r="R39" s="631" t="s">
        <v>25</v>
      </c>
      <c r="S39" s="632">
        <f t="shared" si="10"/>
        <v>100</v>
      </c>
      <c r="T39" s="631" t="s">
        <v>25</v>
      </c>
      <c r="U39" s="632">
        <f t="shared" si="11"/>
        <v>100</v>
      </c>
      <c r="V39" s="631" t="s">
        <v>25</v>
      </c>
      <c r="W39" s="632">
        <f t="shared" si="12"/>
        <v>100</v>
      </c>
      <c r="X39" s="1335"/>
      <c r="Y39" s="3502"/>
      <c r="Z39" s="1336">
        <f t="shared" si="13"/>
        <v>111</v>
      </c>
      <c r="AA39" s="1337">
        <f t="shared" si="3"/>
        <v>1</v>
      </c>
      <c r="AB39" s="1337">
        <f t="shared" si="4"/>
        <v>1</v>
      </c>
      <c r="AC39" s="1337">
        <f t="shared" si="5"/>
        <v>1</v>
      </c>
    </row>
    <row r="40" spans="1:29" s="359" customFormat="1" ht="15.75" thickBot="1">
      <c r="A40" s="356"/>
      <c r="B40" s="1589">
        <v>111</v>
      </c>
      <c r="C40" s="1590"/>
      <c r="D40" s="30">
        <v>100</v>
      </c>
      <c r="E40" s="555"/>
      <c r="F40" s="327">
        <f>SUMIF(120:120,E40,121:121)-SUMIF(120:120,C40,121:121)+100</f>
        <v>100</v>
      </c>
      <c r="G40" s="555"/>
      <c r="H40" s="327">
        <f>SUMIF(120:120,G40,121:121)-SUMIF(120:120,C40,121:121)+100</f>
        <v>100</v>
      </c>
      <c r="I40" s="436"/>
      <c r="J40" s="327">
        <f>SUMIF(120:120,I40,121:121)-SUMIF(120:120,C40,121:121)+100</f>
        <v>100</v>
      </c>
      <c r="K40" s="561"/>
      <c r="L40" s="3030"/>
      <c r="M40" s="358"/>
      <c r="N40" s="358"/>
      <c r="O40" s="3033"/>
      <c r="P40" s="3502"/>
      <c r="Q40" s="1334">
        <f t="shared" si="14"/>
        <v>111</v>
      </c>
      <c r="R40" s="634" t="s">
        <v>25</v>
      </c>
      <c r="S40" s="635">
        <f t="shared" si="10"/>
        <v>100</v>
      </c>
      <c r="T40" s="634" t="s">
        <v>25</v>
      </c>
      <c r="U40" s="635">
        <f t="shared" si="11"/>
        <v>100</v>
      </c>
      <c r="V40" s="634" t="s">
        <v>25</v>
      </c>
      <c r="W40" s="635">
        <f t="shared" si="12"/>
        <v>100</v>
      </c>
      <c r="X40" s="636"/>
      <c r="Y40" s="3502"/>
      <c r="Z40" s="637">
        <f t="shared" si="13"/>
        <v>111</v>
      </c>
      <c r="AA40" s="1337">
        <f t="shared" si="3"/>
        <v>1</v>
      </c>
      <c r="AB40" s="1337">
        <f t="shared" si="4"/>
        <v>1</v>
      </c>
      <c r="AC40" s="1337">
        <f t="shared" si="5"/>
        <v>1</v>
      </c>
    </row>
    <row r="41" spans="1:29" ht="15">
      <c r="A41" s="367" t="s">
        <v>2418</v>
      </c>
      <c r="B41" s="1591" t="s">
        <v>2493</v>
      </c>
      <c r="C41" s="562" t="s">
        <v>1</v>
      </c>
      <c r="D41" s="369"/>
      <c r="E41" s="370"/>
      <c r="F41" s="371"/>
      <c r="G41" s="372"/>
      <c r="H41" s="373"/>
      <c r="I41" s="370"/>
      <c r="J41" s="373"/>
      <c r="K41" s="640"/>
      <c r="L41" s="3034"/>
      <c r="M41" s="3023"/>
      <c r="N41" s="3023"/>
      <c r="P41" s="3496" t="str">
        <f>A41</f>
        <v>成交单价</v>
      </c>
      <c r="Q41" s="3496"/>
      <c r="R41" s="3529">
        <f>E41</f>
        <v>0</v>
      </c>
      <c r="S41" s="3529"/>
      <c r="T41" s="3529">
        <f>G41</f>
        <v>0</v>
      </c>
      <c r="U41" s="3529"/>
      <c r="V41" s="3529">
        <f>I41</f>
        <v>0</v>
      </c>
      <c r="W41" s="3529"/>
      <c r="X41" s="618"/>
      <c r="Y41" s="638"/>
      <c r="Z41" s="618"/>
      <c r="AA41" s="618"/>
      <c r="AB41" s="618"/>
      <c r="AC41" s="618"/>
    </row>
    <row r="42" spans="1:29" ht="15.75" thickBot="1">
      <c r="A42" s="374" t="s">
        <v>2371</v>
      </c>
      <c r="B42" s="563"/>
      <c r="C42" s="377" t="e">
        <f>R43</f>
        <v>#DIV/0!</v>
      </c>
      <c r="D42" s="1797" t="s">
        <v>2745</v>
      </c>
      <c r="E42" s="377" t="e">
        <f>R42</f>
        <v>#DIV/0!</v>
      </c>
      <c r="F42" s="1799"/>
      <c r="G42" s="376" t="e">
        <f>T42</f>
        <v>#DIV/0!</v>
      </c>
      <c r="H42" s="1799"/>
      <c r="I42" s="377" t="e">
        <f>V42</f>
        <v>#DIV/0!</v>
      </c>
      <c r="J42" s="1799"/>
      <c r="K42" s="2511">
        <f>F42+H42+J42</f>
        <v>0</v>
      </c>
      <c r="L42" s="3034"/>
      <c r="M42" s="3023"/>
      <c r="N42" s="3023"/>
      <c r="P42" s="3496" t="str">
        <f>A42</f>
        <v>比较价值（元/平方米）</v>
      </c>
      <c r="Q42" s="3496"/>
      <c r="R42" s="3541" t="e">
        <f>ROUND(PRODUCT(R41,AA7:AA40),0)</f>
        <v>#DIV/0!</v>
      </c>
      <c r="S42" s="3541"/>
      <c r="T42" s="3541" t="e">
        <f>ROUND(PRODUCT(T41,AB7:AB40),0)</f>
        <v>#DIV/0!</v>
      </c>
      <c r="U42" s="3541"/>
      <c r="V42" s="3541" t="e">
        <f>ROUND(PRODUCT(V41,AC7:AC40),0)</f>
        <v>#DIV/0!</v>
      </c>
      <c r="W42" s="3541"/>
      <c r="X42" s="618"/>
      <c r="Y42" s="618"/>
      <c r="Z42" s="618"/>
      <c r="AA42" s="618"/>
      <c r="AB42" s="618"/>
      <c r="AC42" s="618"/>
    </row>
    <row r="43" spans="1:29" ht="15.75" thickBot="1">
      <c r="A43" s="378" t="s">
        <v>2394</v>
      </c>
      <c r="B43" s="379"/>
      <c r="C43" s="380" t="e">
        <f>R43</f>
        <v>#DIV/0!</v>
      </c>
      <c r="D43" s="380"/>
      <c r="E43" s="380"/>
      <c r="F43" s="380"/>
      <c r="G43" s="380"/>
      <c r="H43" s="380"/>
      <c r="I43" s="380"/>
      <c r="J43" s="380"/>
      <c r="K43" s="641"/>
      <c r="L43" s="3034"/>
      <c r="M43" s="3023"/>
      <c r="N43" s="3023"/>
      <c r="P43" s="3498" t="str">
        <f>A43</f>
        <v>估价对象XX用房的比较价值（楼面单价，元/平方米）</v>
      </c>
      <c r="Q43" s="3499"/>
      <c r="R43" s="3540" t="e">
        <f>ROUND(IF(D42="简单平均",AVERAGE(R42:W42),R42*F42+T42*H42+V42*J42),0)</f>
        <v>#DIV/0!</v>
      </c>
      <c r="S43" s="3540"/>
      <c r="T43" s="3540"/>
      <c r="U43" s="3540"/>
      <c r="V43" s="3540"/>
      <c r="W43" s="3540"/>
      <c r="X43" s="618"/>
      <c r="Y43" s="618"/>
      <c r="Z43" s="618"/>
      <c r="AA43" s="618"/>
      <c r="AB43" s="618"/>
      <c r="AC43" s="618"/>
    </row>
    <row r="44" spans="1:29">
      <c r="G44" s="3037"/>
      <c r="M44" s="3023"/>
      <c r="N44" s="3023"/>
    </row>
    <row r="45" spans="1:29">
      <c r="M45" s="3023"/>
      <c r="N45" s="3023"/>
    </row>
    <row r="46" spans="1:29" ht="13.5" customHeight="1">
      <c r="C46" s="383" t="s">
        <v>2373</v>
      </c>
      <c r="D46" s="384"/>
      <c r="E46" s="385" t="e">
        <f>IF(E41&lt;E42,E42/E41-1,E41/E42-1)</f>
        <v>#DIV/0!</v>
      </c>
      <c r="F46" s="386" t="e">
        <f>IF(OR(E46&gt;=0.3,E46&lt;=-0.3),"超过30%","")</f>
        <v>#DIV/0!</v>
      </c>
      <c r="G46" s="385" t="e">
        <f>IF(G41&lt;G42,G42/G41-1,G41/G42-1)</f>
        <v>#DIV/0!</v>
      </c>
      <c r="H46" s="386" t="e">
        <f>IF(OR(G46&gt;=0.3,G46&lt;=-0.3),"超过30%","")</f>
        <v>#DIV/0!</v>
      </c>
      <c r="I46" s="385" t="e">
        <f>IF(I41&lt;I42,I42/I41-1,I41/I42-1)</f>
        <v>#DIV/0!</v>
      </c>
      <c r="J46" s="386" t="e">
        <f>IF(OR(I46&gt;=0.3,I46&lt;=-0.3),"超过30%","")</f>
        <v>#DIV/0!</v>
      </c>
      <c r="M46" s="3023"/>
      <c r="N46" s="3023"/>
    </row>
    <row r="47" spans="1:29" ht="13.5" customHeight="1">
      <c r="C47" s="383" t="s">
        <v>2374</v>
      </c>
      <c r="D47" s="387"/>
      <c r="E47" s="385" t="e">
        <f>IF(E42&lt;G42,G42/E42-1,E42/G42-1)</f>
        <v>#DIV/0!</v>
      </c>
      <c r="F47" s="386" t="e">
        <f>IF(OR(E47&gt;=0.2,E47&lt;=-0.2),"超过20%","")</f>
        <v>#DIV/0!</v>
      </c>
      <c r="G47" s="385" t="e">
        <f>IF(G42&lt;I42,I42/G42-1,G42/I42-1)</f>
        <v>#DIV/0!</v>
      </c>
      <c r="H47" s="386" t="e">
        <f>IF(OR(G47&gt;=0.2,G47&lt;=-0.2),"超过20%","")</f>
        <v>#DIV/0!</v>
      </c>
      <c r="I47" s="385" t="e">
        <f>IF(I42&lt;E42,E42/I42-1,I42/E42-1)</f>
        <v>#DIV/0!</v>
      </c>
      <c r="J47" s="386" t="e">
        <f>IF(OR(I47&gt;=0.2,I47&lt;=-0.2),"超过20%","")</f>
        <v>#DIV/0!</v>
      </c>
    </row>
    <row r="48" spans="1:29" s="388" customFormat="1" ht="13.5" customHeight="1">
      <c r="C48" s="383" t="s">
        <v>2375</v>
      </c>
      <c r="D48" s="387"/>
      <c r="E48" s="385" t="e">
        <f>IF(E41&lt;G41,G41/E41-1,E41/G41-1)</f>
        <v>#DIV/0!</v>
      </c>
      <c r="F48" s="386" t="e">
        <f>IF(OR(E48&gt;=0.3,E48&lt;=-0.3),"超过30%","")</f>
        <v>#DIV/0!</v>
      </c>
      <c r="G48" s="385" t="e">
        <f>IF(G41&lt;I41,I41/G41-1,G41/I41-1)</f>
        <v>#DIV/0!</v>
      </c>
      <c r="H48" s="386" t="e">
        <f>IF(OR(G48&gt;=0.3,G48&lt;=-0.3),"超过30%","")</f>
        <v>#DIV/0!</v>
      </c>
      <c r="I48" s="385" t="e">
        <f>IF(I41&lt;E41,E41/I41-1,I41/E41-1)</f>
        <v>#DIV/0!</v>
      </c>
      <c r="J48" s="386" t="e">
        <f>IF(OR(I48&gt;=0.3,I48&lt;=-0.3),"超过30%","")</f>
        <v>#DIV/0!</v>
      </c>
      <c r="K48" s="3038"/>
      <c r="L48" s="3035"/>
    </row>
    <row r="49" spans="1:17" s="388" customFormat="1" ht="15" thickBot="1">
      <c r="B49" s="3036"/>
      <c r="C49" s="3039"/>
      <c r="K49" s="3038"/>
      <c r="L49" s="3035"/>
    </row>
    <row r="50" spans="1:17" ht="27">
      <c r="A50" s="564" t="s">
        <v>2456</v>
      </c>
      <c r="B50" s="565" t="s">
        <v>2457</v>
      </c>
      <c r="C50" s="1592" t="s">
        <v>2458</v>
      </c>
      <c r="D50" s="1593" t="s">
        <v>2459</v>
      </c>
      <c r="E50" s="566" t="s">
        <v>2460</v>
      </c>
      <c r="F50" s="567" t="s">
        <v>2461</v>
      </c>
      <c r="G50" s="1336" t="s">
        <v>2494</v>
      </c>
      <c r="H50" s="1336" t="str">
        <f>项目基本情况!G8</f>
        <v>XX</v>
      </c>
      <c r="I50" s="1310" t="s">
        <v>2463</v>
      </c>
      <c r="J50" s="958"/>
      <c r="K50" s="956"/>
    </row>
    <row r="51" spans="1:17" s="572" customFormat="1">
      <c r="A51" s="568" t="s">
        <v>2464</v>
      </c>
      <c r="B51" s="569" t="e">
        <f>C43</f>
        <v>#DIV/0!</v>
      </c>
      <c r="C51" s="570">
        <v>1</v>
      </c>
      <c r="D51" s="570">
        <v>1</v>
      </c>
      <c r="E51" s="574">
        <v>120</v>
      </c>
      <c r="F51" s="571" t="e">
        <f t="shared" ref="F51:F60" si="15">ROUND(B51*E51,0)</f>
        <v>#DIV/0!</v>
      </c>
      <c r="G51" s="796">
        <v>1</v>
      </c>
      <c r="H51" s="796">
        <v>1</v>
      </c>
      <c r="I51" s="388"/>
      <c r="J51" s="381"/>
      <c r="K51" s="382"/>
      <c r="L51" s="382"/>
      <c r="M51" s="296"/>
      <c r="N51" s="296"/>
      <c r="O51" s="296"/>
    </row>
    <row r="52" spans="1:17" s="572" customFormat="1">
      <c r="A52" s="573" t="s">
        <v>2465</v>
      </c>
      <c r="B52" s="94" t="e">
        <f>ROUND($C$43*C52*D52,0)</f>
        <v>#DIV/0!</v>
      </c>
      <c r="C52" s="51">
        <f>IF($C$50="北京市系数",G52,H52)</f>
        <v>0.7</v>
      </c>
      <c r="D52" s="982">
        <v>0.25</v>
      </c>
      <c r="E52" s="574">
        <v>0</v>
      </c>
      <c r="F52" s="571" t="e">
        <f t="shared" si="15"/>
        <v>#DIV/0!</v>
      </c>
      <c r="G52" s="796">
        <f>SUMIF(修正!$A$45:$A$56,项目基本情况!$F$9,修正!B45:B56)</f>
        <v>0.7</v>
      </c>
      <c r="H52" s="797"/>
      <c r="I52" s="296"/>
      <c r="J52" s="381"/>
      <c r="K52" s="382"/>
      <c r="L52" s="382"/>
      <c r="M52" s="296"/>
      <c r="N52" s="296"/>
      <c r="O52" s="296"/>
    </row>
    <row r="53" spans="1:17" s="572" customFormat="1">
      <c r="A53" s="573" t="s">
        <v>2466</v>
      </c>
      <c r="B53" s="94" t="e">
        <f t="shared" ref="B53:B60" si="16">ROUND($C$43*C53*D53,0)</f>
        <v>#DIV/0!</v>
      </c>
      <c r="C53" s="51">
        <f t="shared" ref="C53:C60" si="17">IF($C$50="北京市系数",G53,H53)</f>
        <v>0.4</v>
      </c>
      <c r="D53" s="982">
        <v>0.25</v>
      </c>
      <c r="E53" s="574">
        <v>0</v>
      </c>
      <c r="F53" s="571" t="e">
        <f t="shared" si="15"/>
        <v>#DIV/0!</v>
      </c>
      <c r="G53" s="796">
        <f>SUMIF(修正!$A$45:$A$56,项目基本情况!$F$9,修正!C45:C56)</f>
        <v>0.4</v>
      </c>
      <c r="H53" s="797"/>
      <c r="I53" s="388"/>
      <c r="J53" s="381"/>
      <c r="K53" s="382"/>
      <c r="L53" s="382"/>
      <c r="M53" s="296"/>
      <c r="N53" s="296"/>
      <c r="O53" s="296"/>
    </row>
    <row r="54" spans="1:17" s="572" customFormat="1">
      <c r="A54" s="573" t="s">
        <v>2467</v>
      </c>
      <c r="B54" s="94" t="e">
        <f t="shared" si="16"/>
        <v>#DIV/0!</v>
      </c>
      <c r="C54" s="51">
        <f t="shared" si="17"/>
        <v>0.28000000000000003</v>
      </c>
      <c r="D54" s="982">
        <v>0.25</v>
      </c>
      <c r="E54" s="574">
        <v>0</v>
      </c>
      <c r="F54" s="571" t="e">
        <f t="shared" si="15"/>
        <v>#DIV/0!</v>
      </c>
      <c r="G54" s="796">
        <f>SUMIF(修正!$A$45:$A$56,项目基本情况!$F$9,修正!D45:D56)</f>
        <v>0.28000000000000003</v>
      </c>
      <c r="H54" s="797"/>
      <c r="I54" s="296"/>
      <c r="J54" s="381"/>
      <c r="K54" s="382"/>
      <c r="L54" s="382"/>
      <c r="M54" s="296"/>
      <c r="N54" s="296"/>
      <c r="O54" s="296"/>
    </row>
    <row r="55" spans="1:17" s="572" customFormat="1">
      <c r="A55" s="573" t="s">
        <v>2468</v>
      </c>
      <c r="B55" s="94" t="e">
        <f t="shared" si="16"/>
        <v>#DIV/0!</v>
      </c>
      <c r="C55" s="51">
        <f t="shared" si="17"/>
        <v>0.25</v>
      </c>
      <c r="D55" s="982">
        <v>0.25</v>
      </c>
      <c r="E55" s="574">
        <v>0</v>
      </c>
      <c r="F55" s="571" t="e">
        <f t="shared" si="15"/>
        <v>#DIV/0!</v>
      </c>
      <c r="G55" s="796">
        <f>SUMIF(修正!$A$45:$A$56,项目基本情况!$F$9,修正!E45:E56)</f>
        <v>0.25</v>
      </c>
      <c r="H55" s="797"/>
      <c r="I55" s="388"/>
      <c r="J55" s="381"/>
      <c r="K55" s="382"/>
      <c r="L55" s="382"/>
      <c r="M55" s="296"/>
      <c r="N55" s="296"/>
      <c r="O55" s="296"/>
    </row>
    <row r="56" spans="1:17" s="572" customFormat="1">
      <c r="A56" s="573" t="s">
        <v>2469</v>
      </c>
      <c r="B56" s="94" t="e">
        <f t="shared" si="16"/>
        <v>#DIV/0!</v>
      </c>
      <c r="C56" s="51">
        <f t="shared" si="17"/>
        <v>0.2</v>
      </c>
      <c r="D56" s="982">
        <v>0.25</v>
      </c>
      <c r="E56" s="574">
        <v>0</v>
      </c>
      <c r="F56" s="571" t="e">
        <f t="shared" si="15"/>
        <v>#DIV/0!</v>
      </c>
      <c r="G56" s="796">
        <f>SUMIF(修正!A40:A51,项目基本情况!F9,修正!F45:F56)</f>
        <v>0.2</v>
      </c>
      <c r="H56" s="797"/>
      <c r="I56" s="296"/>
      <c r="J56" s="381"/>
      <c r="K56" s="382"/>
      <c r="L56" s="382"/>
      <c r="M56" s="296"/>
      <c r="N56" s="296"/>
      <c r="O56" s="296"/>
    </row>
    <row r="57" spans="1:17" s="572" customFormat="1">
      <c r="A57" s="573" t="s">
        <v>2470</v>
      </c>
      <c r="B57" s="94" t="e">
        <f t="shared" si="16"/>
        <v>#DIV/0!</v>
      </c>
      <c r="C57" s="51">
        <f t="shared" si="17"/>
        <v>0.2</v>
      </c>
      <c r="D57" s="982">
        <v>0.25</v>
      </c>
      <c r="E57" s="574">
        <v>0</v>
      </c>
      <c r="F57" s="571" t="e">
        <f t="shared" si="15"/>
        <v>#DIV/0!</v>
      </c>
      <c r="G57" s="796">
        <f>SUMIF(修正!A40:A51,项目基本情况!F9,修正!G45:G56)</f>
        <v>0.2</v>
      </c>
      <c r="H57" s="797"/>
      <c r="I57" s="388"/>
      <c r="J57" s="381"/>
      <c r="K57" s="382"/>
      <c r="L57" s="382"/>
      <c r="M57" s="296"/>
      <c r="N57" s="296"/>
      <c r="O57" s="296"/>
    </row>
    <row r="58" spans="1:17" s="572" customFormat="1">
      <c r="A58" s="573" t="s">
        <v>2471</v>
      </c>
      <c r="B58" s="94" t="e">
        <f t="shared" si="16"/>
        <v>#DIV/0!</v>
      </c>
      <c r="C58" s="51">
        <f t="shared" si="17"/>
        <v>0.15</v>
      </c>
      <c r="D58" s="982">
        <v>0.25</v>
      </c>
      <c r="E58" s="574">
        <v>0</v>
      </c>
      <c r="F58" s="571" t="e">
        <f t="shared" si="15"/>
        <v>#DIV/0!</v>
      </c>
      <c r="G58" s="796">
        <f>SUMIF(修正!A40:A51,项目基本情况!F9,修正!H45:H56)</f>
        <v>0.15</v>
      </c>
      <c r="H58" s="797"/>
      <c r="I58" s="296"/>
      <c r="J58" s="381"/>
      <c r="K58" s="382"/>
      <c r="L58" s="382"/>
      <c r="M58" s="296"/>
      <c r="N58" s="296"/>
      <c r="O58" s="296"/>
    </row>
    <row r="59" spans="1:17" s="572" customFormat="1">
      <c r="A59" s="573" t="s">
        <v>2472</v>
      </c>
      <c r="B59" s="94" t="e">
        <f t="shared" si="16"/>
        <v>#DIV/0!</v>
      </c>
      <c r="C59" s="51">
        <f t="shared" si="17"/>
        <v>0.15</v>
      </c>
      <c r="D59" s="982">
        <v>0.25</v>
      </c>
      <c r="E59" s="574">
        <v>0</v>
      </c>
      <c r="F59" s="571" t="e">
        <f t="shared" si="15"/>
        <v>#DIV/0!</v>
      </c>
      <c r="G59" s="796">
        <f>G58</f>
        <v>0.15</v>
      </c>
      <c r="H59" s="797"/>
      <c r="I59" s="388"/>
      <c r="J59" s="381"/>
      <c r="K59" s="382"/>
      <c r="L59" s="382"/>
      <c r="M59" s="296"/>
      <c r="N59" s="296"/>
      <c r="O59" s="296"/>
    </row>
    <row r="60" spans="1:17" s="572" customFormat="1">
      <c r="A60" s="573" t="s">
        <v>2473</v>
      </c>
      <c r="B60" s="94" t="e">
        <f t="shared" si="16"/>
        <v>#DIV/0!</v>
      </c>
      <c r="C60" s="51">
        <f t="shared" si="17"/>
        <v>0.15</v>
      </c>
      <c r="D60" s="982">
        <v>0.25</v>
      </c>
      <c r="E60" s="574">
        <v>0</v>
      </c>
      <c r="F60" s="571" t="e">
        <f t="shared" si="15"/>
        <v>#DIV/0!</v>
      </c>
      <c r="G60" s="796">
        <f>G58</f>
        <v>0.15</v>
      </c>
      <c r="H60" s="797"/>
      <c r="I60" s="296"/>
      <c r="J60" s="381"/>
      <c r="K60" s="382"/>
      <c r="L60" s="382"/>
      <c r="M60" s="296"/>
      <c r="N60" s="296"/>
      <c r="O60" s="296"/>
    </row>
    <row r="61" spans="1:17" s="572" customFormat="1" ht="15" thickBot="1">
      <c r="A61" s="576" t="s">
        <v>2474</v>
      </c>
      <c r="B61" s="577" t="s">
        <v>39</v>
      </c>
      <c r="C61" s="577" t="s">
        <v>40</v>
      </c>
      <c r="D61" s="577" t="s">
        <v>36</v>
      </c>
      <c r="E61" s="577">
        <f>SUM(E51:E60)</f>
        <v>120</v>
      </c>
      <c r="F61" s="578" t="e">
        <f>SUM(F51:F60)</f>
        <v>#DIV/0!</v>
      </c>
      <c r="G61" s="960"/>
      <c r="H61" s="960"/>
      <c r="I61" s="3046"/>
      <c r="J61" s="381"/>
      <c r="K61" s="382"/>
      <c r="L61" s="382"/>
      <c r="M61" s="296"/>
      <c r="N61" s="296"/>
      <c r="O61" s="296"/>
    </row>
    <row r="62" spans="1:17">
      <c r="A62" s="955"/>
      <c r="B62" s="957"/>
      <c r="C62" s="959"/>
      <c r="D62" s="955"/>
      <c r="E62" s="955"/>
      <c r="F62" s="955"/>
      <c r="G62" s="955"/>
      <c r="H62" s="955"/>
      <c r="I62" s="955"/>
      <c r="J62" s="955"/>
      <c r="K62" s="958"/>
      <c r="L62" s="956"/>
      <c r="M62" s="955"/>
      <c r="N62" s="955"/>
      <c r="O62" s="955"/>
    </row>
    <row r="63" spans="1:17">
      <c r="A63" s="955"/>
      <c r="B63" s="957"/>
      <c r="C63" s="1182" t="str">
        <f>YEAR(C7)&amp;"-"&amp;MONTH(C7)&amp;"-1"</f>
        <v>2021-5-1</v>
      </c>
      <c r="D63" s="1182">
        <f>EDATE(C63,-3)</f>
        <v>44228</v>
      </c>
      <c r="E63" s="1182">
        <f t="shared" ref="E63:O63" si="18">EDATE(D63,-3)</f>
        <v>44136</v>
      </c>
      <c r="F63" s="1182">
        <f t="shared" si="18"/>
        <v>44044</v>
      </c>
      <c r="G63" s="1182">
        <f t="shared" si="18"/>
        <v>43952</v>
      </c>
      <c r="H63" s="1182">
        <f t="shared" si="18"/>
        <v>43862</v>
      </c>
      <c r="I63" s="1182">
        <f t="shared" si="18"/>
        <v>43770</v>
      </c>
      <c r="J63" s="1182">
        <f t="shared" si="18"/>
        <v>43678</v>
      </c>
      <c r="K63" s="1182">
        <f t="shared" si="18"/>
        <v>43586</v>
      </c>
      <c r="L63" s="1182">
        <f t="shared" si="18"/>
        <v>43497</v>
      </c>
      <c r="M63" s="1182">
        <f t="shared" si="18"/>
        <v>43405</v>
      </c>
      <c r="N63" s="1182">
        <f t="shared" si="18"/>
        <v>43313</v>
      </c>
      <c r="O63" s="1182">
        <f t="shared" si="18"/>
        <v>43221</v>
      </c>
    </row>
    <row r="64" spans="1:17" ht="21.75" thickBot="1">
      <c r="A64" s="620" t="s">
        <v>2376</v>
      </c>
      <c r="B64" s="618"/>
      <c r="C64" s="621"/>
      <c r="D64" s="621"/>
      <c r="E64" s="621"/>
      <c r="F64" s="622"/>
      <c r="G64" s="622"/>
      <c r="H64" s="621"/>
      <c r="I64" s="963"/>
      <c r="J64" s="963"/>
      <c r="K64" s="961"/>
      <c r="L64" s="962"/>
      <c r="M64" s="963"/>
      <c r="N64" s="963"/>
      <c r="O64" s="963"/>
      <c r="P64" s="389"/>
      <c r="Q64" s="390"/>
    </row>
    <row r="65" spans="1:17" s="394" customFormat="1" ht="15">
      <c r="A65" s="1595" t="s">
        <v>2475</v>
      </c>
      <c r="B65" s="1126"/>
      <c r="C65" s="1183" t="str">
        <f>YEAR(C63)&amp;"-"&amp;ROUNDUP(MONTH(C63)/3,0)</f>
        <v>2021-2</v>
      </c>
      <c r="D65" s="1183" t="str">
        <f t="shared" ref="D65:O65" si="19">YEAR(D63)&amp;"-"&amp;ROUNDUP(MONTH(D63)/3,0)</f>
        <v>2021-1</v>
      </c>
      <c r="E65" s="1183" t="str">
        <f t="shared" si="19"/>
        <v>2020-4</v>
      </c>
      <c r="F65" s="1183" t="str">
        <f t="shared" si="19"/>
        <v>2020-3</v>
      </c>
      <c r="G65" s="1183" t="str">
        <f t="shared" si="19"/>
        <v>2020-2</v>
      </c>
      <c r="H65" s="1183" t="str">
        <f t="shared" si="19"/>
        <v>2020-1</v>
      </c>
      <c r="I65" s="1183" t="str">
        <f t="shared" si="19"/>
        <v>2019-4</v>
      </c>
      <c r="J65" s="1183" t="str">
        <f t="shared" si="19"/>
        <v>2019-3</v>
      </c>
      <c r="K65" s="1183" t="str">
        <f t="shared" si="19"/>
        <v>2019-2</v>
      </c>
      <c r="L65" s="1183" t="str">
        <f t="shared" si="19"/>
        <v>2019-1</v>
      </c>
      <c r="M65" s="1183" t="str">
        <f t="shared" si="19"/>
        <v>2018-4</v>
      </c>
      <c r="N65" s="1183" t="str">
        <f t="shared" si="19"/>
        <v>2018-3</v>
      </c>
      <c r="O65" s="1183" t="str">
        <f t="shared" si="19"/>
        <v>2018-2</v>
      </c>
      <c r="P65" s="393"/>
    </row>
    <row r="66" spans="1:17" s="25" customFormat="1" ht="33.75" customHeight="1">
      <c r="A66" s="1600" t="s">
        <v>2495</v>
      </c>
      <c r="B66" s="200" t="str">
        <f>"北京市平均增长率"&amp;TEXT(基准地价修正!P24,"0.00%")</f>
        <v>北京市平均增长率1.25%</v>
      </c>
      <c r="C66" s="491">
        <v>100</v>
      </c>
      <c r="D66" s="483"/>
      <c r="E66" s="483"/>
      <c r="F66" s="483"/>
      <c r="G66" s="483"/>
      <c r="H66" s="483"/>
      <c r="I66" s="483"/>
      <c r="J66" s="483"/>
      <c r="K66" s="483"/>
      <c r="L66" s="483"/>
      <c r="M66" s="1181"/>
      <c r="N66" s="483"/>
      <c r="O66" s="1184"/>
      <c r="P66" s="390"/>
    </row>
    <row r="67" spans="1:17" s="25" customFormat="1" ht="15.75" thickBot="1">
      <c r="A67" s="400" t="s">
        <v>2296</v>
      </c>
      <c r="B67" s="401"/>
      <c r="C67" s="402"/>
      <c r="D67" s="403"/>
      <c r="E67" s="403"/>
      <c r="F67" s="403"/>
      <c r="G67" s="403"/>
      <c r="H67" s="403"/>
      <c r="I67" s="403"/>
      <c r="J67" s="403"/>
      <c r="K67" s="403"/>
      <c r="L67" s="403"/>
      <c r="M67" s="404"/>
      <c r="N67" s="403"/>
      <c r="O67" s="1185"/>
      <c r="P67" s="390"/>
      <c r="Q67" s="390"/>
    </row>
    <row r="68" spans="1:17" s="25" customFormat="1" ht="15">
      <c r="A68" s="406" t="s">
        <v>2260</v>
      </c>
      <c r="B68" s="396"/>
      <c r="C68" s="407" t="s">
        <v>2261</v>
      </c>
      <c r="D68" s="408"/>
      <c r="E68" s="408"/>
      <c r="F68" s="408"/>
      <c r="G68" s="408"/>
      <c r="H68" s="408"/>
      <c r="I68" s="408"/>
      <c r="J68" s="408"/>
      <c r="K68" s="408"/>
      <c r="L68" s="409"/>
      <c r="M68" s="410"/>
      <c r="N68" s="27"/>
      <c r="O68" s="27"/>
      <c r="P68" s="411"/>
      <c r="Q68" s="390"/>
    </row>
    <row r="69" spans="1:17" s="25" customFormat="1" ht="15.75" thickBot="1">
      <c r="A69" s="406"/>
      <c r="B69" s="396"/>
      <c r="C69" s="521">
        <v>100</v>
      </c>
      <c r="D69" s="397"/>
      <c r="E69" s="397"/>
      <c r="F69" s="397"/>
      <c r="G69" s="397"/>
      <c r="H69" s="397"/>
      <c r="I69" s="397"/>
      <c r="J69" s="397"/>
      <c r="K69" s="397"/>
      <c r="L69" s="397"/>
      <c r="M69" s="399"/>
      <c r="N69" s="27"/>
      <c r="O69" s="27"/>
      <c r="P69" s="390"/>
      <c r="Q69" s="390"/>
    </row>
    <row r="70" spans="1:17">
      <c r="A70" s="412" t="s">
        <v>2299</v>
      </c>
      <c r="B70" s="413" t="s">
        <v>2264</v>
      </c>
      <c r="C70" s="415"/>
      <c r="D70" s="415"/>
      <c r="E70" s="415"/>
      <c r="F70" s="415"/>
      <c r="G70" s="415"/>
      <c r="H70" s="415"/>
      <c r="I70" s="415"/>
      <c r="J70" s="415"/>
      <c r="K70" s="416"/>
      <c r="L70" s="417"/>
      <c r="M70" s="418"/>
      <c r="N70" s="419"/>
      <c r="O70" s="419"/>
      <c r="P70" s="18"/>
      <c r="Q70" s="390"/>
    </row>
    <row r="71" spans="1:17" ht="15.75" thickBot="1">
      <c r="A71" s="420"/>
      <c r="B71" s="421"/>
      <c r="C71" s="422"/>
      <c r="D71" s="422"/>
      <c r="E71" s="422"/>
      <c r="F71" s="422"/>
      <c r="G71" s="422"/>
      <c r="H71" s="422"/>
      <c r="I71" s="422"/>
      <c r="J71" s="422"/>
      <c r="K71" s="422"/>
      <c r="L71" s="422"/>
      <c r="M71" s="423"/>
      <c r="N71" s="424"/>
      <c r="O71" s="424"/>
      <c r="P71" s="18"/>
      <c r="Q71" s="390"/>
    </row>
    <row r="72" spans="1:17" ht="27.75" thickTop="1">
      <c r="A72" s="420"/>
      <c r="B72" s="425" t="s">
        <v>2267</v>
      </c>
      <c r="C72" s="426"/>
      <c r="D72" s="426"/>
      <c r="E72" s="426"/>
      <c r="F72" s="426"/>
      <c r="G72" s="426"/>
      <c r="H72" s="426"/>
      <c r="I72" s="426"/>
      <c r="J72" s="426"/>
      <c r="K72" s="427"/>
      <c r="L72" s="428"/>
      <c r="M72" s="429"/>
      <c r="N72" s="419"/>
      <c r="O72" s="419"/>
      <c r="P72" s="18"/>
      <c r="Q72" s="390"/>
    </row>
    <row r="73" spans="1:17" ht="15.75" thickBot="1">
      <c r="A73" s="420"/>
      <c r="B73" s="430"/>
      <c r="C73" s="431"/>
      <c r="D73" s="431"/>
      <c r="E73" s="431"/>
      <c r="F73" s="431"/>
      <c r="G73" s="431"/>
      <c r="H73" s="431"/>
      <c r="I73" s="431"/>
      <c r="J73" s="431"/>
      <c r="K73" s="431"/>
      <c r="L73" s="431"/>
      <c r="M73" s="432"/>
      <c r="N73" s="424"/>
      <c r="O73" s="424"/>
      <c r="P73" s="18"/>
      <c r="Q73" s="390"/>
    </row>
    <row r="74" spans="1:17" ht="15.75" thickTop="1">
      <c r="A74" s="420"/>
      <c r="B74" s="433" t="s">
        <v>2268</v>
      </c>
      <c r="C74" s="434" t="str">
        <f>C75&amp;"（含）"&amp;"-"&amp;D75</f>
        <v>（含）-</v>
      </c>
      <c r="D74" s="434" t="str">
        <f t="shared" ref="D74:L74" si="20">D75&amp;"（含）"&amp;"-"&amp;E75</f>
        <v>（含）-</v>
      </c>
      <c r="E74" s="434" t="str">
        <f t="shared" si="20"/>
        <v>（含）-</v>
      </c>
      <c r="F74" s="434" t="str">
        <f t="shared" si="20"/>
        <v>（含）-</v>
      </c>
      <c r="G74" s="434" t="str">
        <f t="shared" si="20"/>
        <v>（含）-</v>
      </c>
      <c r="H74" s="434" t="str">
        <f t="shared" si="20"/>
        <v>（含）-</v>
      </c>
      <c r="I74" s="434" t="str">
        <f t="shared" si="20"/>
        <v>（含）-</v>
      </c>
      <c r="J74" s="434" t="str">
        <f t="shared" si="20"/>
        <v>（含）-</v>
      </c>
      <c r="K74" s="434" t="str">
        <f t="shared" si="20"/>
        <v>（含）-</v>
      </c>
      <c r="L74" s="434" t="str">
        <f t="shared" si="20"/>
        <v>（含）-</v>
      </c>
      <c r="M74" s="336" t="str">
        <f>M75&amp;"（含）"&amp;"-"&amp;P75</f>
        <v>（含）-</v>
      </c>
      <c r="N74" s="424"/>
      <c r="O74" s="424"/>
      <c r="P74" s="18"/>
      <c r="Q74" s="390"/>
    </row>
    <row r="75" spans="1:17" ht="15">
      <c r="A75" s="420"/>
      <c r="B75" s="435"/>
      <c r="C75" s="436"/>
      <c r="D75" s="436"/>
      <c r="E75" s="436"/>
      <c r="F75" s="436"/>
      <c r="G75" s="436"/>
      <c r="H75" s="436"/>
      <c r="I75" s="436"/>
      <c r="J75" s="436"/>
      <c r="K75" s="437"/>
      <c r="L75" s="438"/>
      <c r="M75" s="439"/>
      <c r="N75" s="419"/>
      <c r="O75" s="419"/>
      <c r="P75" s="18"/>
      <c r="Q75" s="390"/>
    </row>
    <row r="76" spans="1:17" ht="15.75" thickBot="1">
      <c r="A76" s="420"/>
      <c r="B76" s="421"/>
      <c r="C76" s="431">
        <v>100</v>
      </c>
      <c r="D76" s="431">
        <f>IF($B$41="单位面积地价",C76+$K11,C76-$K11)</f>
        <v>100</v>
      </c>
      <c r="E76" s="431">
        <f t="shared" ref="E76:M76" si="21">IF($B$41="单位面积地价",D76+$K11,D76-$K11)</f>
        <v>100</v>
      </c>
      <c r="F76" s="431">
        <f t="shared" si="21"/>
        <v>100</v>
      </c>
      <c r="G76" s="431">
        <f t="shared" si="21"/>
        <v>100</v>
      </c>
      <c r="H76" s="431">
        <f t="shared" si="21"/>
        <v>100</v>
      </c>
      <c r="I76" s="431">
        <f t="shared" si="21"/>
        <v>100</v>
      </c>
      <c r="J76" s="431">
        <f t="shared" si="21"/>
        <v>100</v>
      </c>
      <c r="K76" s="431">
        <f t="shared" si="21"/>
        <v>100</v>
      </c>
      <c r="L76" s="431">
        <f t="shared" si="21"/>
        <v>100</v>
      </c>
      <c r="M76" s="431">
        <f t="shared" si="21"/>
        <v>100</v>
      </c>
      <c r="N76" s="424"/>
      <c r="O76" s="424"/>
      <c r="P76" s="18"/>
      <c r="Q76" s="390"/>
    </row>
    <row r="77" spans="1:17" s="359" customFormat="1" ht="15.75" thickTop="1">
      <c r="A77" s="440"/>
      <c r="B77" s="425">
        <f>B12</f>
        <v>111</v>
      </c>
      <c r="C77" s="441"/>
      <c r="D77" s="441"/>
      <c r="E77" s="441"/>
      <c r="F77" s="441"/>
      <c r="G77" s="441"/>
      <c r="H77" s="442"/>
      <c r="I77" s="442"/>
      <c r="J77" s="442"/>
      <c r="K77" s="442"/>
      <c r="L77" s="443"/>
      <c r="M77" s="444"/>
      <c r="N77" s="445"/>
      <c r="O77" s="445"/>
      <c r="P77" s="446"/>
      <c r="Q77" s="447"/>
    </row>
    <row r="78" spans="1:17" s="359" customFormat="1" ht="15.75" thickBot="1">
      <c r="A78" s="440"/>
      <c r="B78" s="430"/>
      <c r="C78" s="448"/>
      <c r="D78" s="422"/>
      <c r="E78" s="422"/>
      <c r="F78" s="422"/>
      <c r="G78" s="422"/>
      <c r="H78" s="422"/>
      <c r="I78" s="422"/>
      <c r="J78" s="422"/>
      <c r="K78" s="422"/>
      <c r="L78" s="422"/>
      <c r="M78" s="423"/>
      <c r="N78" s="424"/>
      <c r="O78" s="424"/>
      <c r="P78" s="446"/>
      <c r="Q78" s="447"/>
    </row>
    <row r="79" spans="1:17" s="359" customFormat="1" ht="15.75" thickTop="1">
      <c r="A79" s="440"/>
      <c r="B79" s="425">
        <f>B13</f>
        <v>111</v>
      </c>
      <c r="C79" s="441"/>
      <c r="D79" s="441"/>
      <c r="E79" s="441"/>
      <c r="F79" s="441"/>
      <c r="G79" s="441"/>
      <c r="H79" s="442"/>
      <c r="I79" s="442"/>
      <c r="J79" s="442"/>
      <c r="K79" s="442"/>
      <c r="L79" s="443"/>
      <c r="M79" s="444"/>
      <c r="N79" s="445"/>
      <c r="O79" s="445"/>
      <c r="P79" s="358"/>
      <c r="Q79" s="449"/>
    </row>
    <row r="80" spans="1:17" s="359" customFormat="1" ht="15.75" thickBot="1">
      <c r="A80" s="440"/>
      <c r="B80" s="430"/>
      <c r="C80" s="448"/>
      <c r="D80" s="448"/>
      <c r="E80" s="448"/>
      <c r="F80" s="448"/>
      <c r="G80" s="448"/>
      <c r="H80" s="450"/>
      <c r="I80" s="450"/>
      <c r="J80" s="450"/>
      <c r="K80" s="450"/>
      <c r="L80" s="450"/>
      <c r="M80" s="451"/>
      <c r="N80" s="445"/>
      <c r="O80" s="445"/>
      <c r="P80" s="446"/>
      <c r="Q80" s="447"/>
    </row>
    <row r="81" spans="1:17" s="359" customFormat="1" ht="15.75" thickTop="1">
      <c r="A81" s="440"/>
      <c r="B81" s="433">
        <f>B14</f>
        <v>111</v>
      </c>
      <c r="C81" s="408"/>
      <c r="D81" s="408"/>
      <c r="E81" s="408"/>
      <c r="F81" s="408"/>
      <c r="G81" s="408"/>
      <c r="H81" s="452"/>
      <c r="I81" s="452"/>
      <c r="J81" s="452"/>
      <c r="K81" s="452"/>
      <c r="L81" s="453"/>
      <c r="M81" s="454"/>
      <c r="N81" s="445"/>
      <c r="O81" s="445"/>
      <c r="P81" s="455"/>
      <c r="Q81" s="447"/>
    </row>
    <row r="82" spans="1:17" s="359" customFormat="1" ht="15.75" thickBot="1">
      <c r="A82" s="456"/>
      <c r="B82" s="457"/>
      <c r="C82" s="458"/>
      <c r="D82" s="458"/>
      <c r="E82" s="458"/>
      <c r="F82" s="458"/>
      <c r="G82" s="458"/>
      <c r="H82" s="459"/>
      <c r="I82" s="459"/>
      <c r="J82" s="459"/>
      <c r="K82" s="459"/>
      <c r="L82" s="459"/>
      <c r="M82" s="460"/>
      <c r="N82" s="445"/>
      <c r="O82" s="445"/>
      <c r="P82" s="446"/>
      <c r="Q82" s="447"/>
    </row>
    <row r="83" spans="1:17">
      <c r="A83" s="412" t="s">
        <v>2269</v>
      </c>
      <c r="B83" s="413" t="s">
        <v>2403</v>
      </c>
      <c r="C83" s="461" t="s">
        <v>2308</v>
      </c>
      <c r="D83" s="461" t="s">
        <v>2309</v>
      </c>
      <c r="E83" s="461" t="s">
        <v>2310</v>
      </c>
      <c r="F83" s="461" t="s">
        <v>2311</v>
      </c>
      <c r="G83" s="461" t="s">
        <v>2312</v>
      </c>
      <c r="H83" s="414"/>
      <c r="I83" s="414"/>
      <c r="J83" s="414"/>
      <c r="K83" s="462"/>
      <c r="L83" s="463"/>
      <c r="M83" s="464"/>
      <c r="N83" s="419"/>
      <c r="O83" s="419"/>
      <c r="P83" s="465"/>
      <c r="Q83" s="390"/>
    </row>
    <row r="84" spans="1:17" ht="15.75" thickBot="1">
      <c r="A84" s="420"/>
      <c r="B84" s="430"/>
      <c r="C84" s="431">
        <v>100</v>
      </c>
      <c r="D84" s="431">
        <f>C84-$K15</f>
        <v>100</v>
      </c>
      <c r="E84" s="431">
        <f>D84-$K15</f>
        <v>100</v>
      </c>
      <c r="F84" s="431">
        <f>E84-$K15</f>
        <v>100</v>
      </c>
      <c r="G84" s="431">
        <f>F84-$K15</f>
        <v>100</v>
      </c>
      <c r="H84" s="431"/>
      <c r="I84" s="431"/>
      <c r="J84" s="431"/>
      <c r="K84" s="431"/>
      <c r="L84" s="431"/>
      <c r="M84" s="432"/>
      <c r="N84" s="424"/>
      <c r="O84" s="424"/>
      <c r="P84" s="18"/>
      <c r="Q84" s="390"/>
    </row>
    <row r="85" spans="1:17" ht="15.75" thickTop="1">
      <c r="A85" s="420"/>
      <c r="B85" s="425" t="s">
        <v>2313</v>
      </c>
      <c r="C85" s="466" t="s">
        <v>2308</v>
      </c>
      <c r="D85" s="466" t="s">
        <v>2309</v>
      </c>
      <c r="E85" s="466" t="s">
        <v>2310</v>
      </c>
      <c r="F85" s="466" t="s">
        <v>2311</v>
      </c>
      <c r="G85" s="466" t="s">
        <v>2312</v>
      </c>
      <c r="H85" s="426"/>
      <c r="I85" s="426"/>
      <c r="J85" s="426"/>
      <c r="K85" s="427"/>
      <c r="L85" s="428"/>
      <c r="M85" s="429"/>
      <c r="N85" s="419"/>
      <c r="O85" s="419"/>
      <c r="P85" s="18"/>
      <c r="Q85" s="390"/>
    </row>
    <row r="86" spans="1:17" ht="15.75" thickBot="1">
      <c r="A86" s="420"/>
      <c r="B86" s="430"/>
      <c r="C86" s="431">
        <v>100</v>
      </c>
      <c r="D86" s="431">
        <f>C86-$K17</f>
        <v>100</v>
      </c>
      <c r="E86" s="431">
        <f>D86-$K17</f>
        <v>100</v>
      </c>
      <c r="F86" s="431">
        <f>E86-$K17</f>
        <v>100</v>
      </c>
      <c r="G86" s="431">
        <f>F86-$K17</f>
        <v>100</v>
      </c>
      <c r="H86" s="431"/>
      <c r="I86" s="431"/>
      <c r="J86" s="431"/>
      <c r="K86" s="431"/>
      <c r="L86" s="431"/>
      <c r="M86" s="432"/>
      <c r="N86" s="424"/>
      <c r="O86" s="424"/>
      <c r="P86" s="18"/>
      <c r="Q86" s="390"/>
    </row>
    <row r="87" spans="1:17" s="25" customFormat="1" ht="15.75" thickTop="1">
      <c r="A87" s="467"/>
      <c r="B87" s="425" t="s">
        <v>2478</v>
      </c>
      <c r="C87" s="461" t="s">
        <v>2308</v>
      </c>
      <c r="D87" s="461" t="s">
        <v>2309</v>
      </c>
      <c r="E87" s="461" t="s">
        <v>2310</v>
      </c>
      <c r="F87" s="461" t="s">
        <v>2311</v>
      </c>
      <c r="G87" s="461" t="s">
        <v>2312</v>
      </c>
      <c r="H87" s="466"/>
      <c r="I87" s="466"/>
      <c r="J87" s="466"/>
      <c r="K87" s="466"/>
      <c r="L87" s="579"/>
      <c r="M87" s="505"/>
      <c r="N87" s="27"/>
      <c r="O87" s="27"/>
      <c r="P87" s="18"/>
      <c r="Q87" s="390"/>
    </row>
    <row r="88" spans="1:17" s="25" customFormat="1" ht="15.75" thickBot="1">
      <c r="A88" s="467"/>
      <c r="B88" s="430"/>
      <c r="C88" s="470">
        <v>100</v>
      </c>
      <c r="D88" s="431">
        <f>C88-$K19</f>
        <v>100</v>
      </c>
      <c r="E88" s="431">
        <f>D88-$K19</f>
        <v>100</v>
      </c>
      <c r="F88" s="431">
        <f>E88-$K19</f>
        <v>100</v>
      </c>
      <c r="G88" s="431">
        <f>F88-$K19</f>
        <v>100</v>
      </c>
      <c r="H88" s="431"/>
      <c r="I88" s="431"/>
      <c r="J88" s="431"/>
      <c r="K88" s="431"/>
      <c r="L88" s="431"/>
      <c r="M88" s="432"/>
      <c r="N88" s="424"/>
      <c r="O88" s="424"/>
      <c r="P88" s="18"/>
      <c r="Q88" s="390"/>
    </row>
    <row r="89" spans="1:17" s="25" customFormat="1" ht="27.75" thickTop="1">
      <c r="A89" s="467"/>
      <c r="B89" s="425" t="s">
        <v>2479</v>
      </c>
      <c r="C89" s="461" t="s">
        <v>2308</v>
      </c>
      <c r="D89" s="461" t="s">
        <v>2309</v>
      </c>
      <c r="E89" s="461" t="s">
        <v>2310</v>
      </c>
      <c r="F89" s="461" t="s">
        <v>2311</v>
      </c>
      <c r="G89" s="461" t="s">
        <v>2312</v>
      </c>
      <c r="H89" s="466"/>
      <c r="I89" s="466"/>
      <c r="J89" s="466"/>
      <c r="K89" s="466"/>
      <c r="L89" s="466"/>
      <c r="M89" s="505"/>
      <c r="N89" s="27"/>
      <c r="O89" s="27"/>
      <c r="P89" s="18"/>
      <c r="Q89" s="390"/>
    </row>
    <row r="90" spans="1:17" s="25" customFormat="1" ht="15.75" thickBot="1">
      <c r="A90" s="467"/>
      <c r="B90" s="430"/>
      <c r="C90" s="431">
        <v>100</v>
      </c>
      <c r="D90" s="431">
        <f>C90-$K21</f>
        <v>100</v>
      </c>
      <c r="E90" s="431">
        <f>D90-$K21</f>
        <v>100</v>
      </c>
      <c r="F90" s="431">
        <f>E90-$K21</f>
        <v>100</v>
      </c>
      <c r="G90" s="431">
        <f>F90-$K21</f>
        <v>100</v>
      </c>
      <c r="H90" s="431"/>
      <c r="I90" s="431"/>
      <c r="J90" s="431"/>
      <c r="K90" s="431"/>
      <c r="L90" s="431"/>
      <c r="M90" s="432"/>
      <c r="N90" s="424"/>
      <c r="O90" s="424"/>
      <c r="P90" s="18"/>
      <c r="Q90" s="390"/>
    </row>
    <row r="91" spans="1:17" s="359" customFormat="1" ht="15.75" thickTop="1">
      <c r="A91" s="440"/>
      <c r="B91" s="433" t="s">
        <v>2356</v>
      </c>
      <c r="C91" s="461" t="s">
        <v>2308</v>
      </c>
      <c r="D91" s="461" t="s">
        <v>2309</v>
      </c>
      <c r="E91" s="461" t="s">
        <v>2310</v>
      </c>
      <c r="F91" s="461" t="s">
        <v>2311</v>
      </c>
      <c r="G91" s="461" t="s">
        <v>2312</v>
      </c>
      <c r="H91" s="488"/>
      <c r="I91" s="488"/>
      <c r="J91" s="488"/>
      <c r="K91" s="488"/>
      <c r="L91" s="489"/>
      <c r="M91" s="490"/>
      <c r="N91" s="445"/>
      <c r="O91" s="445"/>
      <c r="P91" s="446"/>
      <c r="Q91" s="447"/>
    </row>
    <row r="92" spans="1:17" s="359" customFormat="1" ht="15.75" thickBot="1">
      <c r="A92" s="440"/>
      <c r="B92" s="433"/>
      <c r="C92" s="431">
        <v>100</v>
      </c>
      <c r="D92" s="431">
        <f>C92-$K23</f>
        <v>100</v>
      </c>
      <c r="E92" s="431">
        <f>D92-$K23</f>
        <v>100</v>
      </c>
      <c r="F92" s="431">
        <f>E92-$K23</f>
        <v>100</v>
      </c>
      <c r="G92" s="431">
        <f>F92-$K23</f>
        <v>100</v>
      </c>
      <c r="H92" s="493"/>
      <c r="I92" s="493"/>
      <c r="J92" s="493"/>
      <c r="K92" s="493"/>
      <c r="L92" s="493"/>
      <c r="M92" s="494"/>
      <c r="N92" s="445"/>
      <c r="O92" s="445"/>
      <c r="P92" s="446"/>
      <c r="Q92" s="447"/>
    </row>
    <row r="93" spans="1:17" s="359" customFormat="1" ht="15.75" thickTop="1">
      <c r="A93" s="440"/>
      <c r="B93" s="425" t="s">
        <v>2357</v>
      </c>
      <c r="C93" s="426" t="s">
        <v>2315</v>
      </c>
      <c r="D93" s="426" t="s">
        <v>2316</v>
      </c>
      <c r="E93" s="426" t="s">
        <v>2317</v>
      </c>
      <c r="F93" s="426" t="s">
        <v>2318</v>
      </c>
      <c r="G93" s="426" t="s">
        <v>2319</v>
      </c>
      <c r="H93" s="488"/>
      <c r="I93" s="488"/>
      <c r="J93" s="488"/>
      <c r="K93" s="488"/>
      <c r="L93" s="488"/>
      <c r="M93" s="490"/>
      <c r="N93" s="445"/>
      <c r="O93" s="445"/>
      <c r="P93" s="446"/>
      <c r="Q93" s="447"/>
    </row>
    <row r="94" spans="1:17" s="359" customFormat="1" ht="15.75" thickBot="1">
      <c r="A94" s="440"/>
      <c r="B94" s="430"/>
      <c r="C94" s="431">
        <v>100</v>
      </c>
      <c r="D94" s="431">
        <f>C94-$K25</f>
        <v>100</v>
      </c>
      <c r="E94" s="431">
        <f>D94-$K25</f>
        <v>100</v>
      </c>
      <c r="F94" s="431">
        <f>E94-$K25</f>
        <v>100</v>
      </c>
      <c r="G94" s="431">
        <f>F94-$K25</f>
        <v>100</v>
      </c>
      <c r="H94" s="435"/>
      <c r="I94" s="435"/>
      <c r="J94" s="435"/>
      <c r="K94" s="435"/>
      <c r="L94" s="435"/>
      <c r="M94" s="1149"/>
      <c r="N94" s="445"/>
      <c r="O94" s="445"/>
      <c r="P94" s="446"/>
      <c r="Q94" s="447"/>
    </row>
    <row r="95" spans="1:17" ht="15.75" thickTop="1">
      <c r="A95" s="420"/>
      <c r="B95" s="425" t="str">
        <f>B27</f>
        <v>临街状况</v>
      </c>
      <c r="C95" s="426" t="s">
        <v>2480</v>
      </c>
      <c r="D95" s="426" t="s">
        <v>2481</v>
      </c>
      <c r="E95" s="426" t="s">
        <v>2482</v>
      </c>
      <c r="F95" s="426" t="s">
        <v>2483</v>
      </c>
      <c r="G95" s="426"/>
      <c r="H95" s="426"/>
      <c r="I95" s="426"/>
      <c r="J95" s="426"/>
      <c r="K95" s="427"/>
      <c r="L95" s="428"/>
      <c r="M95" s="429"/>
      <c r="N95" s="419"/>
      <c r="O95" s="419"/>
      <c r="P95" s="18"/>
      <c r="Q95" s="390"/>
    </row>
    <row r="96" spans="1:17" ht="15.75" thickBot="1">
      <c r="A96" s="420"/>
      <c r="B96" s="430"/>
      <c r="C96" s="431">
        <v>100</v>
      </c>
      <c r="D96" s="431">
        <f t="shared" ref="D96:M96" si="22">C96-$K27</f>
        <v>100</v>
      </c>
      <c r="E96" s="431">
        <f t="shared" si="22"/>
        <v>100</v>
      </c>
      <c r="F96" s="431">
        <f t="shared" si="22"/>
        <v>100</v>
      </c>
      <c r="G96" s="431">
        <f t="shared" si="22"/>
        <v>100</v>
      </c>
      <c r="H96" s="431">
        <f t="shared" si="22"/>
        <v>100</v>
      </c>
      <c r="I96" s="431">
        <f t="shared" si="22"/>
        <v>100</v>
      </c>
      <c r="J96" s="431">
        <f t="shared" si="22"/>
        <v>100</v>
      </c>
      <c r="K96" s="431">
        <f t="shared" si="22"/>
        <v>100</v>
      </c>
      <c r="L96" s="431">
        <f t="shared" si="22"/>
        <v>100</v>
      </c>
      <c r="M96" s="431">
        <f t="shared" si="22"/>
        <v>100</v>
      </c>
      <c r="N96" s="424"/>
      <c r="O96" s="424"/>
      <c r="P96" s="18"/>
      <c r="Q96" s="390"/>
    </row>
    <row r="97" spans="1:17" ht="27.75" thickTop="1">
      <c r="A97" s="420"/>
      <c r="B97" s="425" t="s">
        <v>2388</v>
      </c>
      <c r="C97" s="441"/>
      <c r="D97" s="441"/>
      <c r="E97" s="441"/>
      <c r="F97" s="441"/>
      <c r="G97" s="441"/>
      <c r="H97" s="471"/>
      <c r="I97" s="471"/>
      <c r="J97" s="471"/>
      <c r="K97" s="472"/>
      <c r="L97" s="473"/>
      <c r="M97" s="474"/>
      <c r="N97" s="419"/>
      <c r="O97" s="419"/>
      <c r="P97" s="18"/>
      <c r="Q97" s="390"/>
    </row>
    <row r="98" spans="1:17" ht="15.75" thickBot="1">
      <c r="A98" s="420"/>
      <c r="B98" s="430"/>
      <c r="C98" s="431">
        <v>100</v>
      </c>
      <c r="D98" s="431">
        <f t="shared" ref="D98:M98" si="23">C98-$K28</f>
        <v>100</v>
      </c>
      <c r="E98" s="431">
        <f t="shared" si="23"/>
        <v>100</v>
      </c>
      <c r="F98" s="431">
        <f t="shared" si="23"/>
        <v>100</v>
      </c>
      <c r="G98" s="431">
        <f t="shared" si="23"/>
        <v>100</v>
      </c>
      <c r="H98" s="431">
        <f t="shared" si="23"/>
        <v>100</v>
      </c>
      <c r="I98" s="431">
        <f t="shared" si="23"/>
        <v>100</v>
      </c>
      <c r="J98" s="431">
        <f t="shared" si="23"/>
        <v>100</v>
      </c>
      <c r="K98" s="431">
        <f t="shared" si="23"/>
        <v>100</v>
      </c>
      <c r="L98" s="431">
        <f t="shared" si="23"/>
        <v>100</v>
      </c>
      <c r="M98" s="431">
        <f t="shared" si="23"/>
        <v>100</v>
      </c>
      <c r="N98" s="424"/>
      <c r="O98" s="424"/>
      <c r="P98" s="18"/>
      <c r="Q98" s="390"/>
    </row>
    <row r="99" spans="1:17" ht="15.75" thickTop="1">
      <c r="A99" s="420"/>
      <c r="B99" s="425" t="s">
        <v>2449</v>
      </c>
      <c r="C99" s="471"/>
      <c r="D99" s="471"/>
      <c r="E99" s="471"/>
      <c r="F99" s="471"/>
      <c r="G99" s="471"/>
      <c r="H99" s="471"/>
      <c r="I99" s="471"/>
      <c r="J99" s="471"/>
      <c r="K99" s="472"/>
      <c r="L99" s="473"/>
      <c r="M99" s="474"/>
      <c r="N99" s="419"/>
      <c r="O99" s="419"/>
      <c r="P99" s="18"/>
      <c r="Q99" s="390"/>
    </row>
    <row r="100" spans="1:17" ht="15.75" thickBot="1">
      <c r="A100" s="420"/>
      <c r="B100" s="430"/>
      <c r="C100" s="431">
        <v>100</v>
      </c>
      <c r="D100" s="431">
        <f t="shared" ref="D100:M100" si="24">C100-$K30</f>
        <v>100</v>
      </c>
      <c r="E100" s="431">
        <f t="shared" si="24"/>
        <v>100</v>
      </c>
      <c r="F100" s="431">
        <f t="shared" si="24"/>
        <v>100</v>
      </c>
      <c r="G100" s="431">
        <f t="shared" si="24"/>
        <v>100</v>
      </c>
      <c r="H100" s="431">
        <f t="shared" si="24"/>
        <v>100</v>
      </c>
      <c r="I100" s="431">
        <f t="shared" si="24"/>
        <v>100</v>
      </c>
      <c r="J100" s="431">
        <f t="shared" si="24"/>
        <v>100</v>
      </c>
      <c r="K100" s="431">
        <f t="shared" si="24"/>
        <v>100</v>
      </c>
      <c r="L100" s="431">
        <f t="shared" si="24"/>
        <v>100</v>
      </c>
      <c r="M100" s="431">
        <f t="shared" si="24"/>
        <v>100</v>
      </c>
      <c r="N100" s="424"/>
      <c r="O100" s="424"/>
      <c r="P100" s="18"/>
      <c r="Q100" s="390"/>
    </row>
    <row r="101" spans="1:17" ht="15.75" thickTop="1">
      <c r="A101" s="420"/>
      <c r="B101" s="433">
        <f>B31</f>
        <v>111</v>
      </c>
      <c r="C101" s="441"/>
      <c r="D101" s="441"/>
      <c r="E101" s="441"/>
      <c r="F101" s="441"/>
      <c r="G101" s="475"/>
      <c r="H101" s="475"/>
      <c r="I101" s="475"/>
      <c r="J101" s="475"/>
      <c r="K101" s="476"/>
      <c r="L101" s="477"/>
      <c r="M101" s="478"/>
      <c r="N101" s="419"/>
      <c r="O101" s="419"/>
      <c r="P101" s="18"/>
      <c r="Q101" s="390"/>
    </row>
    <row r="102" spans="1:17" ht="15.75" thickBot="1">
      <c r="A102" s="420"/>
      <c r="B102" s="457"/>
      <c r="C102" s="448"/>
      <c r="D102" s="422"/>
      <c r="E102" s="422"/>
      <c r="F102" s="422"/>
      <c r="G102" s="479"/>
      <c r="H102" s="479"/>
      <c r="I102" s="479"/>
      <c r="J102" s="479"/>
      <c r="K102" s="479"/>
      <c r="L102" s="479"/>
      <c r="M102" s="480"/>
      <c r="N102" s="424"/>
      <c r="O102" s="424"/>
      <c r="P102" s="18"/>
      <c r="Q102" s="390"/>
    </row>
    <row r="103" spans="1:17" ht="15" thickTop="1">
      <c r="A103" s="556"/>
      <c r="B103" s="425">
        <f>B32</f>
        <v>111</v>
      </c>
      <c r="C103" s="441"/>
      <c r="D103" s="441"/>
      <c r="E103" s="441"/>
      <c r="F103" s="441"/>
      <c r="G103" s="471"/>
      <c r="H103" s="471"/>
      <c r="I103" s="471"/>
      <c r="J103" s="471"/>
      <c r="K103" s="472"/>
      <c r="L103" s="473"/>
      <c r="M103" s="474"/>
      <c r="N103" s="419"/>
      <c r="O103" s="419"/>
      <c r="P103" s="18"/>
      <c r="Q103" s="390"/>
    </row>
    <row r="104" spans="1:17" ht="15.75" thickBot="1">
      <c r="A104" s="420"/>
      <c r="B104" s="430"/>
      <c r="C104" s="448"/>
      <c r="D104" s="448"/>
      <c r="E104" s="448"/>
      <c r="F104" s="448"/>
      <c r="G104" s="422"/>
      <c r="H104" s="422"/>
      <c r="I104" s="422"/>
      <c r="J104" s="422"/>
      <c r="K104" s="422"/>
      <c r="L104" s="422"/>
      <c r="M104" s="423"/>
      <c r="N104" s="424"/>
      <c r="O104" s="424"/>
      <c r="P104" s="18"/>
      <c r="Q104" s="390"/>
    </row>
    <row r="105" spans="1:17" s="359" customFormat="1" ht="15" thickTop="1">
      <c r="A105" s="481"/>
      <c r="B105" s="482">
        <f>B33</f>
        <v>111</v>
      </c>
      <c r="C105" s="408"/>
      <c r="D105" s="408"/>
      <c r="E105" s="408"/>
      <c r="F105" s="408"/>
      <c r="G105" s="483"/>
      <c r="H105" s="483"/>
      <c r="I105" s="483"/>
      <c r="J105" s="484"/>
      <c r="K105" s="484"/>
      <c r="L105" s="485"/>
      <c r="M105" s="486"/>
      <c r="N105" s="445"/>
      <c r="O105" s="445"/>
      <c r="P105" s="446"/>
      <c r="Q105" s="447"/>
    </row>
    <row r="106" spans="1:17" s="359" customFormat="1" ht="15.75" thickBot="1">
      <c r="A106" s="440"/>
      <c r="B106" s="433"/>
      <c r="C106" s="458"/>
      <c r="D106" s="458"/>
      <c r="E106" s="458"/>
      <c r="F106" s="458"/>
      <c r="G106" s="558"/>
      <c r="H106" s="558"/>
      <c r="I106" s="558"/>
      <c r="J106" s="558"/>
      <c r="K106" s="558"/>
      <c r="L106" s="558"/>
      <c r="M106" s="580"/>
      <c r="N106" s="424"/>
      <c r="O106" s="424"/>
      <c r="P106" s="446"/>
      <c r="Q106" s="447"/>
    </row>
    <row r="107" spans="1:17">
      <c r="A107" s="412" t="s">
        <v>2274</v>
      </c>
      <c r="B107" s="413" t="s">
        <v>2484</v>
      </c>
      <c r="C107" s="1313" t="str">
        <f t="shared" ref="C107:L107" si="25">C108&amp;"(含)"&amp;"-"&amp;D108</f>
        <v>(含)-</v>
      </c>
      <c r="D107" s="1313" t="str">
        <f t="shared" si="25"/>
        <v>(含)-</v>
      </c>
      <c r="E107" s="1313" t="str">
        <f t="shared" si="25"/>
        <v>(含)-</v>
      </c>
      <c r="F107" s="1313" t="str">
        <f t="shared" si="25"/>
        <v>(含)-</v>
      </c>
      <c r="G107" s="1313" t="str">
        <f t="shared" si="25"/>
        <v>(含)-</v>
      </c>
      <c r="H107" s="1313" t="str">
        <f t="shared" si="25"/>
        <v>(含)-</v>
      </c>
      <c r="I107" s="1313" t="str">
        <f t="shared" si="25"/>
        <v>(含)-</v>
      </c>
      <c r="J107" s="1313" t="str">
        <f t="shared" si="25"/>
        <v>(含)-</v>
      </c>
      <c r="K107" s="1313" t="str">
        <f t="shared" si="25"/>
        <v>(含)-</v>
      </c>
      <c r="L107" s="1314" t="str">
        <f t="shared" si="25"/>
        <v>(含)-</v>
      </c>
      <c r="M107" s="1315" t="str">
        <f>M108&amp;"(含)"&amp;"-"&amp;P108</f>
        <v>(含)-</v>
      </c>
      <c r="N107" s="419"/>
      <c r="O107" s="419"/>
      <c r="P107" s="18"/>
      <c r="Q107" s="390"/>
    </row>
    <row r="108" spans="1:17" ht="15">
      <c r="A108" s="420"/>
      <c r="B108" s="433"/>
      <c r="C108" s="483"/>
      <c r="D108" s="483"/>
      <c r="E108" s="483"/>
      <c r="F108" s="483"/>
      <c r="G108" s="483"/>
      <c r="H108" s="483"/>
      <c r="I108" s="483"/>
      <c r="J108" s="484"/>
      <c r="K108" s="484"/>
      <c r="L108" s="485"/>
      <c r="M108" s="486"/>
      <c r="N108" s="419"/>
      <c r="O108" s="419"/>
      <c r="P108" s="18"/>
      <c r="Q108" s="390"/>
    </row>
    <row r="109" spans="1:17" ht="15.75" thickBot="1">
      <c r="A109" s="420"/>
      <c r="B109" s="430"/>
      <c r="C109" s="458"/>
      <c r="D109" s="479"/>
      <c r="E109" s="479"/>
      <c r="F109" s="479"/>
      <c r="G109" s="479"/>
      <c r="H109" s="479"/>
      <c r="I109" s="479"/>
      <c r="J109" s="479"/>
      <c r="K109" s="479"/>
      <c r="L109" s="479"/>
      <c r="M109" s="480"/>
      <c r="N109" s="424"/>
      <c r="O109" s="424"/>
      <c r="P109" s="18"/>
      <c r="Q109" s="390"/>
    </row>
    <row r="110" spans="1:17" ht="15" thickTop="1">
      <c r="A110" s="487"/>
      <c r="B110" s="425" t="s">
        <v>2485</v>
      </c>
      <c r="C110" s="471"/>
      <c r="D110" s="471"/>
      <c r="E110" s="471"/>
      <c r="F110" s="471"/>
      <c r="G110" s="471"/>
      <c r="H110" s="471"/>
      <c r="I110" s="471"/>
      <c r="J110" s="471"/>
      <c r="K110" s="472"/>
      <c r="L110" s="473"/>
      <c r="M110" s="474"/>
      <c r="N110" s="419"/>
      <c r="O110" s="419"/>
      <c r="P110" s="18"/>
      <c r="Q110" s="390"/>
    </row>
    <row r="111" spans="1:17" ht="15.75" thickBot="1">
      <c r="A111" s="420"/>
      <c r="B111" s="430"/>
      <c r="C111" s="431">
        <v>100</v>
      </c>
      <c r="D111" s="431">
        <f t="shared" ref="D111:M111" si="26">C111-$K35</f>
        <v>100</v>
      </c>
      <c r="E111" s="431">
        <f t="shared" si="26"/>
        <v>100</v>
      </c>
      <c r="F111" s="431">
        <f t="shared" si="26"/>
        <v>100</v>
      </c>
      <c r="G111" s="431">
        <f t="shared" si="26"/>
        <v>100</v>
      </c>
      <c r="H111" s="431">
        <f t="shared" si="26"/>
        <v>100</v>
      </c>
      <c r="I111" s="431">
        <f t="shared" si="26"/>
        <v>100</v>
      </c>
      <c r="J111" s="431">
        <f t="shared" si="26"/>
        <v>100</v>
      </c>
      <c r="K111" s="431">
        <f t="shared" si="26"/>
        <v>100</v>
      </c>
      <c r="L111" s="431">
        <f t="shared" si="26"/>
        <v>100</v>
      </c>
      <c r="M111" s="432">
        <f t="shared" si="26"/>
        <v>100</v>
      </c>
      <c r="N111" s="424"/>
      <c r="O111" s="424"/>
      <c r="P111" s="18"/>
      <c r="Q111" s="390"/>
    </row>
    <row r="112" spans="1:17" s="359" customFormat="1" ht="15" thickTop="1">
      <c r="A112" s="481"/>
      <c r="B112" s="425" t="s">
        <v>2487</v>
      </c>
      <c r="C112" s="441"/>
      <c r="D112" s="441"/>
      <c r="E112" s="441"/>
      <c r="F112" s="441"/>
      <c r="G112" s="441"/>
      <c r="H112" s="471"/>
      <c r="I112" s="471"/>
      <c r="J112" s="471"/>
      <c r="K112" s="472"/>
      <c r="L112" s="473"/>
      <c r="M112" s="474"/>
      <c r="N112" s="445"/>
      <c r="O112" s="445"/>
      <c r="P112" s="446"/>
      <c r="Q112" s="447"/>
    </row>
    <row r="113" spans="1:17" s="359" customFormat="1" ht="15.75" thickBot="1">
      <c r="A113" s="440"/>
      <c r="B113" s="430"/>
      <c r="C113" s="431">
        <v>100</v>
      </c>
      <c r="D113" s="431">
        <f t="shared" ref="D113:M113" si="27">C113-$K36</f>
        <v>100</v>
      </c>
      <c r="E113" s="431">
        <f t="shared" si="27"/>
        <v>100</v>
      </c>
      <c r="F113" s="431">
        <f t="shared" si="27"/>
        <v>100</v>
      </c>
      <c r="G113" s="431">
        <f t="shared" si="27"/>
        <v>100</v>
      </c>
      <c r="H113" s="431">
        <f t="shared" si="27"/>
        <v>100</v>
      </c>
      <c r="I113" s="431">
        <f t="shared" si="27"/>
        <v>100</v>
      </c>
      <c r="J113" s="431">
        <f t="shared" si="27"/>
        <v>100</v>
      </c>
      <c r="K113" s="431">
        <f t="shared" si="27"/>
        <v>100</v>
      </c>
      <c r="L113" s="431">
        <f t="shared" si="27"/>
        <v>100</v>
      </c>
      <c r="M113" s="432">
        <f t="shared" si="27"/>
        <v>100</v>
      </c>
      <c r="N113" s="445"/>
      <c r="O113" s="445"/>
      <c r="P113" s="446"/>
      <c r="Q113" s="447"/>
    </row>
    <row r="114" spans="1:17" ht="15" thickTop="1">
      <c r="A114" s="487"/>
      <c r="B114" s="425" t="s">
        <v>2488</v>
      </c>
      <c r="C114" s="441"/>
      <c r="D114" s="441"/>
      <c r="E114" s="471"/>
      <c r="F114" s="471"/>
      <c r="G114" s="471"/>
      <c r="H114" s="471"/>
      <c r="I114" s="471"/>
      <c r="J114" s="471"/>
      <c r="K114" s="472"/>
      <c r="L114" s="473"/>
      <c r="M114" s="474"/>
      <c r="N114" s="419"/>
      <c r="O114" s="419"/>
      <c r="P114" s="18"/>
      <c r="Q114" s="390"/>
    </row>
    <row r="115" spans="1:17" ht="15.75" thickBot="1">
      <c r="A115" s="420"/>
      <c r="B115" s="430"/>
      <c r="C115" s="431">
        <v>100</v>
      </c>
      <c r="D115" s="431">
        <f t="shared" ref="D115:M115" si="28">C115-$K37</f>
        <v>100</v>
      </c>
      <c r="E115" s="431">
        <f t="shared" si="28"/>
        <v>100</v>
      </c>
      <c r="F115" s="431">
        <f t="shared" si="28"/>
        <v>100</v>
      </c>
      <c r="G115" s="431">
        <f t="shared" si="28"/>
        <v>100</v>
      </c>
      <c r="H115" s="431">
        <f t="shared" si="28"/>
        <v>100</v>
      </c>
      <c r="I115" s="431">
        <f t="shared" si="28"/>
        <v>100</v>
      </c>
      <c r="J115" s="431">
        <f t="shared" si="28"/>
        <v>100</v>
      </c>
      <c r="K115" s="431">
        <f t="shared" si="28"/>
        <v>100</v>
      </c>
      <c r="L115" s="431">
        <f t="shared" si="28"/>
        <v>100</v>
      </c>
      <c r="M115" s="432">
        <f t="shared" si="28"/>
        <v>100</v>
      </c>
      <c r="N115" s="424"/>
      <c r="O115" s="424"/>
      <c r="P115" s="18"/>
      <c r="Q115" s="390"/>
    </row>
    <row r="116" spans="1:17" ht="15" thickTop="1">
      <c r="A116" s="487"/>
      <c r="B116" s="425">
        <f>B38</f>
        <v>111</v>
      </c>
      <c r="C116" s="441"/>
      <c r="D116" s="441"/>
      <c r="E116" s="441"/>
      <c r="F116" s="441"/>
      <c r="G116" s="441"/>
      <c r="H116" s="471"/>
      <c r="I116" s="471"/>
      <c r="J116" s="471"/>
      <c r="K116" s="472"/>
      <c r="L116" s="473"/>
      <c r="M116" s="474"/>
      <c r="N116" s="419"/>
      <c r="O116" s="419"/>
      <c r="P116" s="18"/>
      <c r="Q116" s="390"/>
    </row>
    <row r="117" spans="1:17" ht="15.75" thickBot="1">
      <c r="A117" s="420"/>
      <c r="B117" s="430"/>
      <c r="C117" s="448"/>
      <c r="D117" s="422"/>
      <c r="E117" s="422"/>
      <c r="F117" s="422"/>
      <c r="G117" s="422"/>
      <c r="H117" s="422"/>
      <c r="I117" s="422"/>
      <c r="J117" s="422"/>
      <c r="K117" s="422"/>
      <c r="L117" s="422"/>
      <c r="M117" s="423"/>
      <c r="N117" s="424"/>
      <c r="O117" s="424"/>
      <c r="P117" s="18"/>
      <c r="Q117" s="390"/>
    </row>
    <row r="118" spans="1:17" ht="15" thickTop="1">
      <c r="A118" s="487"/>
      <c r="B118" s="425">
        <f>B39</f>
        <v>111</v>
      </c>
      <c r="C118" s="441"/>
      <c r="D118" s="441"/>
      <c r="E118" s="441"/>
      <c r="F118" s="441"/>
      <c r="G118" s="471"/>
      <c r="H118" s="471"/>
      <c r="I118" s="471"/>
      <c r="J118" s="471"/>
      <c r="K118" s="472"/>
      <c r="L118" s="473"/>
      <c r="M118" s="474"/>
      <c r="N118" s="419"/>
      <c r="O118" s="419"/>
      <c r="P118" s="18"/>
      <c r="Q118" s="390"/>
    </row>
    <row r="119" spans="1:17" ht="15.75" thickBot="1">
      <c r="A119" s="420"/>
      <c r="B119" s="430"/>
      <c r="C119" s="448"/>
      <c r="D119" s="448"/>
      <c r="E119" s="448"/>
      <c r="F119" s="448"/>
      <c r="G119" s="422"/>
      <c r="H119" s="422"/>
      <c r="I119" s="422"/>
      <c r="J119" s="422"/>
      <c r="K119" s="422"/>
      <c r="L119" s="422"/>
      <c r="M119" s="423"/>
      <c r="N119" s="424"/>
      <c r="O119" s="424"/>
      <c r="P119" s="18"/>
      <c r="Q119" s="390"/>
    </row>
    <row r="120" spans="1:17" s="359" customFormat="1" ht="15" thickTop="1">
      <c r="A120" s="481"/>
      <c r="B120" s="425">
        <f>B40</f>
        <v>111</v>
      </c>
      <c r="C120" s="408"/>
      <c r="D120" s="408"/>
      <c r="E120" s="408"/>
      <c r="F120" s="408"/>
      <c r="G120" s="442"/>
      <c r="H120" s="442"/>
      <c r="I120" s="442"/>
      <c r="J120" s="442"/>
      <c r="K120" s="442"/>
      <c r="L120" s="443"/>
      <c r="M120" s="444"/>
      <c r="N120" s="445"/>
      <c r="O120" s="445"/>
      <c r="P120" s="446"/>
      <c r="Q120" s="447"/>
    </row>
    <row r="121" spans="1:17" s="359" customFormat="1" ht="15.75" thickBot="1">
      <c r="A121" s="964"/>
      <c r="B121" s="1601"/>
      <c r="C121" s="458"/>
      <c r="D121" s="458"/>
      <c r="E121" s="458"/>
      <c r="F121" s="458"/>
      <c r="G121" s="479"/>
      <c r="H121" s="479"/>
      <c r="I121" s="479"/>
      <c r="J121" s="479"/>
      <c r="K121" s="479"/>
      <c r="L121" s="479"/>
      <c r="M121" s="480"/>
      <c r="N121" s="445"/>
      <c r="O121" s="445"/>
      <c r="P121" s="446"/>
      <c r="Q121" s="447"/>
    </row>
  </sheetData>
  <sheetProtection password="CEE9" sheet="1" objects="1" scenarios="1" formatCells="0" formatColumns="0" formatRows="0"/>
  <dataConsolidate/>
  <mergeCells count="40">
    <mergeCell ref="Y15:Y31"/>
    <mergeCell ref="P32:P40"/>
    <mergeCell ref="Y32:Y40"/>
    <mergeCell ref="P43:Q43"/>
    <mergeCell ref="R43:W43"/>
    <mergeCell ref="P42:Q42"/>
    <mergeCell ref="R42:S42"/>
    <mergeCell ref="T42:U42"/>
    <mergeCell ref="V42:W42"/>
    <mergeCell ref="P41:Q41"/>
    <mergeCell ref="R41:S41"/>
    <mergeCell ref="T41:U41"/>
    <mergeCell ref="V41:W41"/>
    <mergeCell ref="P15:P31"/>
    <mergeCell ref="C4:D4"/>
    <mergeCell ref="E4:F4"/>
    <mergeCell ref="G4:H4"/>
    <mergeCell ref="I4:J4"/>
    <mergeCell ref="P4:Q6"/>
    <mergeCell ref="C5:D5"/>
    <mergeCell ref="C6:D6"/>
    <mergeCell ref="I5:J5"/>
    <mergeCell ref="E6:F6"/>
    <mergeCell ref="G6:H6"/>
    <mergeCell ref="I6:J6"/>
    <mergeCell ref="G5:H5"/>
    <mergeCell ref="E5:F5"/>
    <mergeCell ref="P9:P14"/>
    <mergeCell ref="Y9:Y14"/>
    <mergeCell ref="Y7:Z7"/>
    <mergeCell ref="P7:Q7"/>
    <mergeCell ref="AC4:AC6"/>
    <mergeCell ref="AA4:AA6"/>
    <mergeCell ref="AB4:AB6"/>
    <mergeCell ref="R4:S6"/>
    <mergeCell ref="T4:U6"/>
    <mergeCell ref="V4:W6"/>
    <mergeCell ref="Y4:Z6"/>
    <mergeCell ref="P8:Q8"/>
    <mergeCell ref="Y8:Z8"/>
  </mergeCells>
  <phoneticPr fontId="27" type="noConversion"/>
  <conditionalFormatting sqref="F46 H46 J46">
    <cfRule type="containsText" dxfId="21" priority="18" stopIfTrue="1" operator="containsText" text="超过">
      <formula>NOT(ISERROR(SEARCH("超过",F46)))</formula>
    </cfRule>
  </conditionalFormatting>
  <conditionalFormatting sqref="J48">
    <cfRule type="containsText" dxfId="20" priority="17" stopIfTrue="1" operator="containsText" text="超过">
      <formula>NOT(ISERROR(SEARCH("超过",J48)))</formula>
    </cfRule>
  </conditionalFormatting>
  <conditionalFormatting sqref="H48">
    <cfRule type="containsText" dxfId="19" priority="16" stopIfTrue="1" operator="containsText" text="超过">
      <formula>NOT(ISERROR(SEARCH("超过",H48)))</formula>
    </cfRule>
  </conditionalFormatting>
  <conditionalFormatting sqref="F48">
    <cfRule type="containsText" dxfId="18" priority="15" stopIfTrue="1" operator="containsText" text="超过">
      <formula>NOT(ISERROR(SEARCH("超过",F48)))</formula>
    </cfRule>
  </conditionalFormatting>
  <conditionalFormatting sqref="F47 H47 J47">
    <cfRule type="containsText" dxfId="17" priority="14" stopIfTrue="1" operator="containsText" text="超过">
      <formula>NOT(ISERROR(SEARCH("超过",F47)))</formula>
    </cfRule>
  </conditionalFormatting>
  <conditionalFormatting sqref="E46">
    <cfRule type="expression" dxfId="16" priority="13" stopIfTrue="1">
      <formula>$F$46="超过30%"</formula>
    </cfRule>
  </conditionalFormatting>
  <conditionalFormatting sqref="G48">
    <cfRule type="expression" dxfId="15" priority="12" stopIfTrue="1">
      <formula>$H$48="超过30%"</formula>
    </cfRule>
  </conditionalFormatting>
  <conditionalFormatting sqref="E48">
    <cfRule type="expression" dxfId="14" priority="10" stopIfTrue="1">
      <formula>$F$48="超过30%"</formula>
    </cfRule>
  </conditionalFormatting>
  <conditionalFormatting sqref="G46">
    <cfRule type="expression" dxfId="13" priority="9" stopIfTrue="1">
      <formula>$H$46="超过30%"</formula>
    </cfRule>
  </conditionalFormatting>
  <conditionalFormatting sqref="G47">
    <cfRule type="expression" dxfId="12" priority="8" stopIfTrue="1">
      <formula>$H$47="超过20%"</formula>
    </cfRule>
  </conditionalFormatting>
  <conditionalFormatting sqref="I46">
    <cfRule type="expression" dxfId="11" priority="7" stopIfTrue="1">
      <formula>$J$46="超过30%"</formula>
    </cfRule>
  </conditionalFormatting>
  <conditionalFormatting sqref="I47">
    <cfRule type="expression" dxfId="10" priority="6" stopIfTrue="1">
      <formula>$J$47="超过20%"</formula>
    </cfRule>
  </conditionalFormatting>
  <conditionalFormatting sqref="I48">
    <cfRule type="expression" dxfId="9" priority="5" stopIfTrue="1">
      <formula>$J$48="超过30%"</formula>
    </cfRule>
  </conditionalFormatting>
  <conditionalFormatting sqref="E47">
    <cfRule type="expression" dxfId="8" priority="27" stopIfTrue="1">
      <formula>$J$54+$F$47="超过20%"</formula>
    </cfRule>
  </conditionalFormatting>
  <conditionalFormatting sqref="F42">
    <cfRule type="expression" dxfId="7" priority="4">
      <formula>$D$42="简单平均"</formula>
    </cfRule>
  </conditionalFormatting>
  <conditionalFormatting sqref="H42">
    <cfRule type="expression" dxfId="6" priority="3">
      <formula>$D$42="简单平均"</formula>
    </cfRule>
  </conditionalFormatting>
  <conditionalFormatting sqref="J42">
    <cfRule type="expression" dxfId="5" priority="2">
      <formula>$D$42="简单平均"</formula>
    </cfRule>
  </conditionalFormatting>
  <conditionalFormatting sqref="F7:F40 H7:H40 J7:J40">
    <cfRule type="cellIs" dxfId="4" priority="1" operator="notEqual">
      <formula>100</formula>
    </cfRule>
  </conditionalFormatting>
  <dataValidations count="18">
    <dataValidation type="list" allowBlank="1" showInputMessage="1" showErrorMessage="1" sqref="B41">
      <formula1>单价内涵</formula1>
    </dataValidation>
    <dataValidation type="list" allowBlank="1" showInputMessage="1" showErrorMessage="1" sqref="C22 E22 G22 I22">
      <formula1>环境</formula1>
    </dataValidation>
    <dataValidation type="list" allowBlank="1" showInputMessage="1" showErrorMessage="1" sqref="E18 C18 G18 I18">
      <formula1>交通便捷度</formula1>
    </dataValidation>
    <dataValidation type="list" allowBlank="1" showInputMessage="1" showErrorMessage="1" sqref="E24 C24 I24 G24">
      <formula1>公共配套设施</formula1>
    </dataValidation>
    <dataValidation type="list" allowBlank="1" showInputMessage="1" showErrorMessage="1" sqref="C8 E8 G8 I8">
      <formula1>套工交易情况</formula1>
    </dataValidation>
    <dataValidation type="list" allowBlank="1" showInputMessage="1" showErrorMessage="1" sqref="C9 E9 G9 I9">
      <formula1>套工用途</formula1>
    </dataValidation>
    <dataValidation type="list" allowBlank="1" showInputMessage="1" showErrorMessage="1" sqref="I30 E30 G30">
      <formula1>套工土地级别</formula1>
    </dataValidation>
    <dataValidation type="list" allowBlank="1" showInputMessage="1" showErrorMessage="1" sqref="C27 E27 G27 I27">
      <formula1>临街状况</formula1>
    </dataValidation>
    <dataValidation type="list" allowBlank="1" showInputMessage="1" showErrorMessage="1" sqref="E20 G20 I20 C20">
      <formula1>区域土地利用方向</formula1>
    </dataValidation>
    <dataValidation type="list" allowBlank="1" showInputMessage="1" showErrorMessage="1" sqref="C50">
      <formula1>"北京市系数,其他省市系数"</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9 E29 G29 I29">
      <formula1>套工道路等级</formula1>
    </dataValidation>
    <dataValidation type="list" allowBlank="1" showInputMessage="1" showErrorMessage="1" sqref="C37 E37 G37 I37">
      <formula1>套工地质条件</formula1>
    </dataValidation>
    <dataValidation type="list" allowBlank="1" showInputMessage="1" showErrorMessage="1" sqref="C36 E36 G36 I36">
      <formula1>套工宗地内开发程度</formula1>
    </dataValidation>
    <dataValidation type="list" allowBlank="1" showInputMessage="1" showErrorMessage="1" sqref="D52:D60">
      <formula1>"25%,1"</formula1>
    </dataValidation>
    <dataValidation type="list" allowBlank="1" showInputMessage="1" showErrorMessage="1" sqref="C26 E26 G26 I26">
      <formula1>基础设施水平</formula1>
    </dataValidation>
    <dataValidation type="list" allowBlank="1" showInputMessage="1" showErrorMessage="1" sqref="D42">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4"/>
  <sheetViews>
    <sheetView workbookViewId="0">
      <selection sqref="A1:IV65536"/>
    </sheetView>
  </sheetViews>
  <sheetFormatPr defaultRowHeight="13.5"/>
  <cols>
    <col min="1" max="1" width="12.625" style="741" customWidth="1"/>
    <col min="2" max="2" width="10.25" style="674" customWidth="1"/>
  </cols>
  <sheetData>
    <row r="1" spans="1:6">
      <c r="A1" s="3542" t="s">
        <v>779</v>
      </c>
      <c r="B1" s="3542"/>
    </row>
    <row r="2" spans="1:6" ht="14.25" thickBot="1">
      <c r="A2" s="841"/>
      <c r="B2" s="841"/>
    </row>
    <row r="3" spans="1:6" ht="14.25" thickBot="1">
      <c r="A3" s="841"/>
      <c r="B3" s="841"/>
      <c r="C3" s="842" t="s">
        <v>780</v>
      </c>
      <c r="D3" s="842" t="s">
        <v>781</v>
      </c>
      <c r="E3" s="842" t="s">
        <v>782</v>
      </c>
      <c r="F3" s="842" t="s">
        <v>783</v>
      </c>
    </row>
    <row r="4" spans="1:6" ht="14.25" thickBot="1">
      <c r="A4" s="843" t="s">
        <v>784</v>
      </c>
      <c r="B4" s="844" t="s">
        <v>785</v>
      </c>
      <c r="C4" s="842"/>
      <c r="D4" s="842"/>
      <c r="E4" s="842"/>
      <c r="F4" s="842"/>
    </row>
    <row r="5" spans="1:6" ht="14.25" thickBot="1">
      <c r="A5" s="717" t="s">
        <v>786</v>
      </c>
      <c r="B5" s="718" t="s">
        <v>787</v>
      </c>
      <c r="C5" s="845">
        <v>8.8999999999999996E-2</v>
      </c>
      <c r="D5" s="845">
        <v>7.3999999999999996E-2</v>
      </c>
      <c r="E5" s="845">
        <v>7.4999999999999997E-2</v>
      </c>
      <c r="F5" s="846">
        <v>0.1</v>
      </c>
    </row>
    <row r="6" spans="1:6" ht="14.25" thickBot="1">
      <c r="A6" s="717" t="s">
        <v>161</v>
      </c>
      <c r="B6" s="711" t="s">
        <v>788</v>
      </c>
      <c r="C6" s="847">
        <v>0.1</v>
      </c>
      <c r="D6" s="847">
        <v>9.0999999999999998E-2</v>
      </c>
      <c r="E6" s="847">
        <v>9.0999999999999998E-2</v>
      </c>
      <c r="F6" s="848">
        <v>0.1</v>
      </c>
    </row>
    <row r="7" spans="1:6" ht="14.25" thickBot="1">
      <c r="A7" s="717" t="s">
        <v>161</v>
      </c>
      <c r="B7" s="725" t="s">
        <v>150</v>
      </c>
      <c r="C7" s="847">
        <v>8.5999999999999993E-2</v>
      </c>
      <c r="D7" s="847">
        <v>9.6000000000000002E-2</v>
      </c>
      <c r="E7" s="847">
        <v>7.5999999999999998E-2</v>
      </c>
      <c r="F7" s="848">
        <v>0.1</v>
      </c>
    </row>
    <row r="8" spans="1:6" ht="14.25" thickBot="1">
      <c r="A8" s="717" t="s">
        <v>161</v>
      </c>
      <c r="B8" s="711" t="s">
        <v>162</v>
      </c>
      <c r="C8" s="847">
        <v>9.9000000000000005E-2</v>
      </c>
      <c r="D8" s="847">
        <v>9.8000000000000004E-2</v>
      </c>
      <c r="E8" s="847">
        <v>9.8000000000000004E-2</v>
      </c>
      <c r="F8" s="848">
        <v>0.1</v>
      </c>
    </row>
    <row r="9" spans="1:6" ht="14.25" thickBot="1">
      <c r="A9" s="734" t="s">
        <v>161</v>
      </c>
      <c r="B9" s="726" t="s">
        <v>174</v>
      </c>
      <c r="C9" s="849">
        <v>0.05</v>
      </c>
      <c r="D9" s="850"/>
      <c r="E9" s="850"/>
      <c r="F9" s="851"/>
    </row>
    <row r="10" spans="1:6" ht="14.25" thickBot="1">
      <c r="A10" s="717" t="s">
        <v>221</v>
      </c>
      <c r="B10" s="718" t="s">
        <v>789</v>
      </c>
      <c r="C10" s="845">
        <v>8.8999999999999996E-2</v>
      </c>
      <c r="D10" s="845">
        <v>7.2999999999999995E-2</v>
      </c>
      <c r="E10" s="845">
        <v>8.2000000000000003E-2</v>
      </c>
      <c r="F10" s="846">
        <v>0.1</v>
      </c>
    </row>
    <row r="11" spans="1:6" ht="14.25" thickBot="1">
      <c r="A11" s="717" t="s">
        <v>221</v>
      </c>
      <c r="B11" s="725" t="s">
        <v>137</v>
      </c>
      <c r="C11" s="847">
        <v>8.8999999999999996E-2</v>
      </c>
      <c r="D11" s="847">
        <v>7.2999999999999995E-2</v>
      </c>
      <c r="E11" s="847">
        <v>8.2000000000000003E-2</v>
      </c>
      <c r="F11" s="848">
        <v>0.1</v>
      </c>
    </row>
    <row r="12" spans="1:6" ht="14.25" thickBot="1">
      <c r="A12" s="717" t="s">
        <v>221</v>
      </c>
      <c r="B12" s="725" t="s">
        <v>88</v>
      </c>
      <c r="C12" s="847">
        <v>6.0999999999999999E-2</v>
      </c>
      <c r="D12" s="847">
        <v>7.0999999999999994E-2</v>
      </c>
      <c r="E12" s="847">
        <v>9.6000000000000002E-2</v>
      </c>
      <c r="F12" s="848">
        <v>0.1</v>
      </c>
    </row>
    <row r="13" spans="1:6" ht="14.25" thickBot="1">
      <c r="A13" s="717" t="s">
        <v>221</v>
      </c>
      <c r="B13" s="725" t="s">
        <v>163</v>
      </c>
      <c r="C13" s="847">
        <v>6.9000000000000006E-2</v>
      </c>
      <c r="D13" s="847">
        <v>6.5000000000000002E-2</v>
      </c>
      <c r="E13" s="847">
        <v>6.6000000000000003E-2</v>
      </c>
      <c r="F13" s="848">
        <v>0.1</v>
      </c>
    </row>
    <row r="14" spans="1:6" ht="14.25" thickBot="1">
      <c r="A14" s="717" t="s">
        <v>221</v>
      </c>
      <c r="B14" s="725" t="s">
        <v>175</v>
      </c>
      <c r="C14" s="847">
        <v>0.1</v>
      </c>
      <c r="D14" s="847">
        <v>6.5000000000000002E-2</v>
      </c>
      <c r="E14" s="847">
        <v>7.0000000000000007E-2</v>
      </c>
      <c r="F14" s="848">
        <v>0.1</v>
      </c>
    </row>
    <row r="15" spans="1:6" ht="14.25" thickBot="1">
      <c r="A15" s="717" t="s">
        <v>221</v>
      </c>
      <c r="B15" s="725" t="s">
        <v>187</v>
      </c>
      <c r="C15" s="847">
        <v>9.8000000000000004E-2</v>
      </c>
      <c r="D15" s="847">
        <v>8.8999999999999996E-2</v>
      </c>
      <c r="E15" s="847">
        <v>8.8999999999999996E-2</v>
      </c>
      <c r="F15" s="848">
        <v>0.1</v>
      </c>
    </row>
    <row r="16" spans="1:6" ht="14.25" thickBot="1">
      <c r="A16" s="717" t="s">
        <v>221</v>
      </c>
      <c r="B16" s="725" t="s">
        <v>199</v>
      </c>
      <c r="C16" s="847">
        <v>7.0000000000000007E-2</v>
      </c>
      <c r="D16" s="847">
        <v>9.2999999999999999E-2</v>
      </c>
      <c r="E16" s="847">
        <v>9.6000000000000002E-2</v>
      </c>
      <c r="F16" s="848">
        <v>0.1</v>
      </c>
    </row>
    <row r="17" spans="1:6" ht="14.25" thickBot="1">
      <c r="A17" s="717" t="s">
        <v>221</v>
      </c>
      <c r="B17" s="725" t="s">
        <v>211</v>
      </c>
      <c r="C17" s="847">
        <v>9.5000000000000001E-2</v>
      </c>
      <c r="D17" s="847">
        <v>0.1</v>
      </c>
      <c r="E17" s="847">
        <v>0.1</v>
      </c>
      <c r="F17" s="852"/>
    </row>
    <row r="18" spans="1:6" ht="14.25" thickBot="1">
      <c r="A18" s="717" t="s">
        <v>221</v>
      </c>
      <c r="B18" s="725" t="s">
        <v>224</v>
      </c>
      <c r="C18" s="847">
        <v>7.3999999999999996E-2</v>
      </c>
      <c r="D18" s="847">
        <v>9.9000000000000005E-2</v>
      </c>
      <c r="E18" s="847">
        <v>0.1</v>
      </c>
      <c r="F18" s="852"/>
    </row>
    <row r="19" spans="1:6" ht="14.25" thickBot="1">
      <c r="A19" s="717" t="s">
        <v>221</v>
      </c>
      <c r="B19" s="725" t="s">
        <v>235</v>
      </c>
      <c r="C19" s="847">
        <v>9.9000000000000005E-2</v>
      </c>
      <c r="D19" s="847">
        <v>7.5999999999999998E-2</v>
      </c>
      <c r="E19" s="847">
        <v>8.6999999999999994E-2</v>
      </c>
      <c r="F19" s="852"/>
    </row>
    <row r="20" spans="1:6" ht="14.25" thickBot="1">
      <c r="A20" s="717" t="s">
        <v>221</v>
      </c>
      <c r="B20" s="725" t="s">
        <v>246</v>
      </c>
      <c r="C20" s="847">
        <v>9.8000000000000004E-2</v>
      </c>
      <c r="D20" s="847">
        <v>8.5000000000000006E-2</v>
      </c>
      <c r="E20" s="847">
        <v>8.2000000000000003E-2</v>
      </c>
      <c r="F20" s="852"/>
    </row>
    <row r="21" spans="1:6" ht="14.25" thickBot="1">
      <c r="A21" s="717" t="s">
        <v>221</v>
      </c>
      <c r="B21" s="725" t="s">
        <v>257</v>
      </c>
      <c r="C21" s="847">
        <v>6.6000000000000003E-2</v>
      </c>
      <c r="D21" s="847">
        <v>6.4000000000000001E-2</v>
      </c>
      <c r="E21" s="847">
        <v>6.5000000000000002E-2</v>
      </c>
      <c r="F21" s="852"/>
    </row>
    <row r="22" spans="1:6" ht="14.25" thickBot="1">
      <c r="A22" s="717" t="s">
        <v>221</v>
      </c>
      <c r="B22" s="725" t="s">
        <v>790</v>
      </c>
      <c r="C22" s="847">
        <v>0.08</v>
      </c>
      <c r="D22" s="847">
        <v>9.8000000000000004E-2</v>
      </c>
      <c r="E22" s="847">
        <v>9.8000000000000004E-2</v>
      </c>
      <c r="F22" s="852"/>
    </row>
    <row r="23" spans="1:6" ht="14.25" thickBot="1">
      <c r="A23" s="717" t="s">
        <v>221</v>
      </c>
      <c r="B23" s="725" t="s">
        <v>279</v>
      </c>
      <c r="C23" s="847">
        <v>9.9000000000000005E-2</v>
      </c>
      <c r="D23" s="847">
        <v>9.8000000000000004E-2</v>
      </c>
      <c r="E23" s="847">
        <v>9.0999999999999998E-2</v>
      </c>
      <c r="F23" s="852"/>
    </row>
    <row r="24" spans="1:6" ht="14.25" thickBot="1">
      <c r="A24" s="717" t="s">
        <v>221</v>
      </c>
      <c r="B24" s="725" t="s">
        <v>290</v>
      </c>
      <c r="C24" s="847">
        <v>8.8999999999999996E-2</v>
      </c>
      <c r="D24" s="847">
        <v>9.7000000000000003E-2</v>
      </c>
      <c r="E24" s="847">
        <v>7.0000000000000007E-2</v>
      </c>
      <c r="F24" s="852"/>
    </row>
    <row r="25" spans="1:6" ht="14.25" thickBot="1">
      <c r="A25" s="717" t="s">
        <v>221</v>
      </c>
      <c r="B25" s="725" t="s">
        <v>300</v>
      </c>
      <c r="C25" s="847">
        <v>8.8999999999999996E-2</v>
      </c>
      <c r="D25" s="847">
        <v>0.1</v>
      </c>
      <c r="E25" s="847">
        <v>8.1000000000000003E-2</v>
      </c>
      <c r="F25" s="852"/>
    </row>
    <row r="26" spans="1:6" ht="14.25" thickBot="1">
      <c r="A26" s="717" t="s">
        <v>221</v>
      </c>
      <c r="B26" s="725" t="s">
        <v>310</v>
      </c>
      <c r="C26" s="853"/>
      <c r="D26" s="847">
        <v>9.6000000000000002E-2</v>
      </c>
      <c r="E26" s="847">
        <v>9.2999999999999999E-2</v>
      </c>
      <c r="F26" s="852"/>
    </row>
    <row r="27" spans="1:6" ht="14.25" thickBot="1">
      <c r="A27" s="717" t="s">
        <v>221</v>
      </c>
      <c r="B27" s="725" t="s">
        <v>320</v>
      </c>
      <c r="C27" s="853"/>
      <c r="D27" s="847">
        <v>7.5999999999999998E-2</v>
      </c>
      <c r="E27" s="847">
        <v>9.1999999999999998E-2</v>
      </c>
      <c r="F27" s="852"/>
    </row>
    <row r="28" spans="1:6" ht="14.25" thickBot="1">
      <c r="A28" s="734" t="s">
        <v>221</v>
      </c>
      <c r="B28" s="726" t="s">
        <v>330</v>
      </c>
      <c r="C28" s="850"/>
      <c r="D28" s="849">
        <v>7.5999999999999998E-2</v>
      </c>
      <c r="E28" s="849">
        <v>9.1999999999999998E-2</v>
      </c>
      <c r="F28" s="851"/>
    </row>
    <row r="29" spans="1:6" ht="14.25" thickBot="1">
      <c r="A29" s="717" t="s">
        <v>399</v>
      </c>
      <c r="B29" s="718" t="s">
        <v>791</v>
      </c>
      <c r="C29" s="845">
        <v>6.4000000000000001E-2</v>
      </c>
      <c r="D29" s="845">
        <v>6.5000000000000002E-2</v>
      </c>
      <c r="E29" s="845">
        <v>6.9000000000000006E-2</v>
      </c>
      <c r="F29" s="846">
        <v>0.1</v>
      </c>
    </row>
    <row r="30" spans="1:6" ht="14.25" thickBot="1">
      <c r="A30" s="717" t="s">
        <v>399</v>
      </c>
      <c r="B30" s="725" t="s">
        <v>138</v>
      </c>
      <c r="C30" s="847">
        <v>6.4000000000000001E-2</v>
      </c>
      <c r="D30" s="847">
        <v>9.9000000000000005E-2</v>
      </c>
      <c r="E30" s="847">
        <v>0.1</v>
      </c>
      <c r="F30" s="848">
        <v>0.1</v>
      </c>
    </row>
    <row r="31" spans="1:6" ht="14.25" thickBot="1">
      <c r="A31" s="717" t="s">
        <v>399</v>
      </c>
      <c r="B31" s="725" t="s">
        <v>151</v>
      </c>
      <c r="C31" s="847">
        <v>0.1</v>
      </c>
      <c r="D31" s="847">
        <v>9.5000000000000001E-2</v>
      </c>
      <c r="E31" s="847">
        <v>8.8999999999999996E-2</v>
      </c>
      <c r="F31" s="848">
        <v>0.1</v>
      </c>
    </row>
    <row r="32" spans="1:6" ht="14.25" thickBot="1">
      <c r="A32" s="717" t="s">
        <v>399</v>
      </c>
      <c r="B32" s="725" t="s">
        <v>164</v>
      </c>
      <c r="C32" s="847">
        <v>0.05</v>
      </c>
      <c r="D32" s="847">
        <v>0.05</v>
      </c>
      <c r="E32" s="847">
        <v>8.7999999999999995E-2</v>
      </c>
      <c r="F32" s="848">
        <v>0.1</v>
      </c>
    </row>
    <row r="33" spans="1:6" ht="14.25" thickBot="1">
      <c r="A33" s="717" t="s">
        <v>399</v>
      </c>
      <c r="B33" s="725" t="s">
        <v>176</v>
      </c>
      <c r="C33" s="847">
        <v>7.4999999999999997E-2</v>
      </c>
      <c r="D33" s="847">
        <v>9.4E-2</v>
      </c>
      <c r="E33" s="847">
        <v>9.7000000000000003E-2</v>
      </c>
      <c r="F33" s="848">
        <v>0.1</v>
      </c>
    </row>
    <row r="34" spans="1:6" ht="14.25" thickBot="1">
      <c r="A34" s="717" t="s">
        <v>399</v>
      </c>
      <c r="B34" s="725" t="s">
        <v>188</v>
      </c>
      <c r="C34" s="847">
        <v>9.8000000000000004E-2</v>
      </c>
      <c r="D34" s="847">
        <v>8.5999999999999993E-2</v>
      </c>
      <c r="E34" s="847">
        <v>9.7000000000000003E-2</v>
      </c>
      <c r="F34" s="848">
        <v>0.1</v>
      </c>
    </row>
    <row r="35" spans="1:6" ht="14.25" thickBot="1">
      <c r="A35" s="717" t="s">
        <v>399</v>
      </c>
      <c r="B35" s="725" t="s">
        <v>200</v>
      </c>
      <c r="C35" s="847">
        <v>5.8999999999999997E-2</v>
      </c>
      <c r="D35" s="847">
        <v>6.5000000000000002E-2</v>
      </c>
      <c r="E35" s="847">
        <v>7.0000000000000007E-2</v>
      </c>
      <c r="F35" s="848">
        <v>0.1</v>
      </c>
    </row>
    <row r="36" spans="1:6" ht="14.25" thickBot="1">
      <c r="A36" s="717" t="s">
        <v>399</v>
      </c>
      <c r="B36" s="725" t="s">
        <v>212</v>
      </c>
      <c r="C36" s="847">
        <v>6.3E-2</v>
      </c>
      <c r="D36" s="847">
        <v>0.1</v>
      </c>
      <c r="E36" s="847">
        <v>0.1</v>
      </c>
      <c r="F36" s="848">
        <v>0.1</v>
      </c>
    </row>
    <row r="37" spans="1:6" ht="14.25" thickBot="1">
      <c r="A37" s="717" t="s">
        <v>399</v>
      </c>
      <c r="B37" s="725" t="s">
        <v>225</v>
      </c>
      <c r="C37" s="847">
        <v>7.3999999999999996E-2</v>
      </c>
      <c r="D37" s="847">
        <v>0.1</v>
      </c>
      <c r="E37" s="847">
        <v>0.1</v>
      </c>
      <c r="F37" s="848">
        <v>0.1</v>
      </c>
    </row>
    <row r="38" spans="1:6" ht="14.25" thickBot="1">
      <c r="A38" s="717" t="s">
        <v>399</v>
      </c>
      <c r="B38" s="725" t="s">
        <v>236</v>
      </c>
      <c r="C38" s="847">
        <v>0.1</v>
      </c>
      <c r="D38" s="847">
        <v>9.6000000000000002E-2</v>
      </c>
      <c r="E38" s="847">
        <v>9.6000000000000002E-2</v>
      </c>
      <c r="F38" s="852"/>
    </row>
    <row r="39" spans="1:6" ht="14.25" thickBot="1">
      <c r="A39" s="717" t="s">
        <v>399</v>
      </c>
      <c r="B39" s="725" t="s">
        <v>247</v>
      </c>
      <c r="C39" s="847">
        <v>0.1</v>
      </c>
      <c r="D39" s="847">
        <v>9.6000000000000002E-2</v>
      </c>
      <c r="E39" s="847">
        <v>9.6000000000000002E-2</v>
      </c>
      <c r="F39" s="852"/>
    </row>
    <row r="40" spans="1:6" ht="14.25" thickBot="1">
      <c r="A40" s="717" t="s">
        <v>399</v>
      </c>
      <c r="B40" s="725" t="s">
        <v>258</v>
      </c>
      <c r="C40" s="847">
        <v>9.6000000000000002E-2</v>
      </c>
      <c r="D40" s="847">
        <v>0.1</v>
      </c>
      <c r="E40" s="847">
        <v>9.9000000000000005E-2</v>
      </c>
      <c r="F40" s="852"/>
    </row>
    <row r="41" spans="1:6" ht="14.25" thickBot="1">
      <c r="A41" s="717" t="s">
        <v>399</v>
      </c>
      <c r="B41" s="725" t="s">
        <v>269</v>
      </c>
      <c r="C41" s="847">
        <v>9.6000000000000002E-2</v>
      </c>
      <c r="D41" s="847">
        <v>9.8000000000000004E-2</v>
      </c>
      <c r="E41" s="847">
        <v>9.8000000000000004E-2</v>
      </c>
      <c r="F41" s="852"/>
    </row>
    <row r="42" spans="1:6" ht="14.25" thickBot="1">
      <c r="A42" s="717" t="s">
        <v>399</v>
      </c>
      <c r="B42" s="725" t="s">
        <v>280</v>
      </c>
      <c r="C42" s="847">
        <v>0.1</v>
      </c>
      <c r="D42" s="847">
        <v>8.7999999999999995E-2</v>
      </c>
      <c r="E42" s="847">
        <v>0.1</v>
      </c>
      <c r="F42" s="852"/>
    </row>
    <row r="43" spans="1:6" ht="14.25" thickBot="1">
      <c r="A43" s="717" t="s">
        <v>399</v>
      </c>
      <c r="B43" s="725" t="s">
        <v>291</v>
      </c>
      <c r="C43" s="847">
        <v>9.8000000000000004E-2</v>
      </c>
      <c r="D43" s="847">
        <v>9.7000000000000003E-2</v>
      </c>
      <c r="E43" s="847">
        <v>9.6000000000000002E-2</v>
      </c>
      <c r="F43" s="852"/>
    </row>
    <row r="44" spans="1:6" ht="14.25" thickBot="1">
      <c r="A44" s="717" t="s">
        <v>399</v>
      </c>
      <c r="B44" s="725" t="s">
        <v>301</v>
      </c>
      <c r="C44" s="847">
        <v>8.5999999999999993E-2</v>
      </c>
      <c r="D44" s="847">
        <v>7.9000000000000001E-2</v>
      </c>
      <c r="E44" s="847">
        <v>7.0999999999999994E-2</v>
      </c>
      <c r="F44" s="852"/>
    </row>
    <row r="45" spans="1:6" ht="14.25" thickBot="1">
      <c r="A45" s="717" t="s">
        <v>399</v>
      </c>
      <c r="B45" s="725" t="s">
        <v>311</v>
      </c>
      <c r="C45" s="847">
        <v>9.8000000000000004E-2</v>
      </c>
      <c r="D45" s="847">
        <v>9.6000000000000002E-2</v>
      </c>
      <c r="E45" s="847">
        <v>9.6000000000000002E-2</v>
      </c>
      <c r="F45" s="852"/>
    </row>
    <row r="46" spans="1:6" ht="14.25" thickBot="1">
      <c r="A46" s="717" t="s">
        <v>399</v>
      </c>
      <c r="B46" s="725" t="s">
        <v>321</v>
      </c>
      <c r="C46" s="847">
        <v>8.5999999999999993E-2</v>
      </c>
      <c r="D46" s="847">
        <v>9.8000000000000004E-2</v>
      </c>
      <c r="E46" s="847">
        <v>8.7999999999999995E-2</v>
      </c>
      <c r="F46" s="852"/>
    </row>
    <row r="47" spans="1:6" ht="14.25" thickBot="1">
      <c r="A47" s="717" t="s">
        <v>399</v>
      </c>
      <c r="B47" s="725" t="s">
        <v>331</v>
      </c>
      <c r="C47" s="847">
        <v>9.6000000000000002E-2</v>
      </c>
      <c r="D47" s="853"/>
      <c r="E47" s="847">
        <v>6.9000000000000006E-2</v>
      </c>
      <c r="F47" s="852"/>
    </row>
    <row r="48" spans="1:6" ht="14.25" thickBot="1">
      <c r="A48" s="734" t="s">
        <v>399</v>
      </c>
      <c r="B48" s="726" t="s">
        <v>340</v>
      </c>
      <c r="C48" s="849">
        <v>9.8000000000000004E-2</v>
      </c>
      <c r="D48" s="850"/>
      <c r="E48" s="849">
        <v>9.5000000000000001E-2</v>
      </c>
      <c r="F48" s="851"/>
    </row>
    <row r="49" spans="1:6" ht="14.25" thickBot="1">
      <c r="A49" s="717" t="s">
        <v>87</v>
      </c>
      <c r="B49" s="718" t="s">
        <v>792</v>
      </c>
      <c r="C49" s="845">
        <v>9.7000000000000003E-2</v>
      </c>
      <c r="D49" s="845">
        <v>9.5000000000000001E-2</v>
      </c>
      <c r="E49" s="845">
        <v>9.7000000000000003E-2</v>
      </c>
      <c r="F49" s="846">
        <v>0.1</v>
      </c>
    </row>
    <row r="50" spans="1:6" ht="14.25" thickBot="1">
      <c r="A50" s="717" t="s">
        <v>87</v>
      </c>
      <c r="B50" s="711" t="s">
        <v>139</v>
      </c>
      <c r="C50" s="847">
        <v>7.4999999999999997E-2</v>
      </c>
      <c r="D50" s="847">
        <v>9.5000000000000001E-2</v>
      </c>
      <c r="E50" s="847">
        <v>0.1</v>
      </c>
      <c r="F50" s="848">
        <v>0.1</v>
      </c>
    </row>
    <row r="51" spans="1:6" ht="14.25" thickBot="1">
      <c r="A51" s="717" t="s">
        <v>87</v>
      </c>
      <c r="B51" s="711" t="s">
        <v>152</v>
      </c>
      <c r="C51" s="847">
        <v>9.8000000000000004E-2</v>
      </c>
      <c r="D51" s="847">
        <v>8.8999999999999996E-2</v>
      </c>
      <c r="E51" s="847">
        <v>0.1</v>
      </c>
      <c r="F51" s="848">
        <v>0.1</v>
      </c>
    </row>
    <row r="52" spans="1:6" ht="14.25" thickBot="1">
      <c r="A52" s="717" t="s">
        <v>87</v>
      </c>
      <c r="B52" s="711" t="s">
        <v>165</v>
      </c>
      <c r="C52" s="847">
        <v>9.8000000000000004E-2</v>
      </c>
      <c r="D52" s="847">
        <v>9.7000000000000003E-2</v>
      </c>
      <c r="E52" s="847">
        <v>8.1000000000000003E-2</v>
      </c>
      <c r="F52" s="848">
        <v>0.1</v>
      </c>
    </row>
    <row r="53" spans="1:6" ht="14.25" thickBot="1">
      <c r="A53" s="717" t="s">
        <v>87</v>
      </c>
      <c r="B53" s="711" t="s">
        <v>177</v>
      </c>
      <c r="C53" s="847">
        <v>9.7000000000000003E-2</v>
      </c>
      <c r="D53" s="847">
        <v>7.5999999999999998E-2</v>
      </c>
      <c r="E53" s="847">
        <v>7.0999999999999994E-2</v>
      </c>
      <c r="F53" s="848">
        <v>0.1</v>
      </c>
    </row>
    <row r="54" spans="1:6" ht="14.25" thickBot="1">
      <c r="A54" s="717" t="s">
        <v>87</v>
      </c>
      <c r="B54" s="711" t="s">
        <v>189</v>
      </c>
      <c r="C54" s="847">
        <v>7.5999999999999998E-2</v>
      </c>
      <c r="D54" s="847">
        <v>0.1</v>
      </c>
      <c r="E54" s="847">
        <v>9.9000000000000005E-2</v>
      </c>
      <c r="F54" s="848">
        <v>0.1</v>
      </c>
    </row>
    <row r="55" spans="1:6" ht="14.25" thickBot="1">
      <c r="A55" s="717" t="s">
        <v>87</v>
      </c>
      <c r="B55" s="711" t="s">
        <v>201</v>
      </c>
      <c r="C55" s="847">
        <v>0.1</v>
      </c>
      <c r="D55" s="847">
        <v>0.1</v>
      </c>
      <c r="E55" s="847">
        <v>9.6000000000000002E-2</v>
      </c>
      <c r="F55" s="848">
        <v>0.1</v>
      </c>
    </row>
    <row r="56" spans="1:6" ht="14.25" thickBot="1">
      <c r="A56" s="717" t="s">
        <v>87</v>
      </c>
      <c r="B56" s="711" t="s">
        <v>213</v>
      </c>
      <c r="C56" s="847">
        <v>0.1</v>
      </c>
      <c r="D56" s="847">
        <v>9.6000000000000002E-2</v>
      </c>
      <c r="E56" s="847">
        <v>5.1999999999999998E-2</v>
      </c>
      <c r="F56" s="848">
        <v>0.1</v>
      </c>
    </row>
    <row r="57" spans="1:6" ht="14.25" thickBot="1">
      <c r="A57" s="717" t="s">
        <v>87</v>
      </c>
      <c r="B57" s="711" t="s">
        <v>226</v>
      </c>
      <c r="C57" s="847">
        <v>9.7000000000000003E-2</v>
      </c>
      <c r="D57" s="847">
        <v>9.6000000000000002E-2</v>
      </c>
      <c r="E57" s="847">
        <v>9.6000000000000002E-2</v>
      </c>
      <c r="F57" s="848">
        <v>0.1</v>
      </c>
    </row>
    <row r="58" spans="1:6" ht="14.25" thickBot="1">
      <c r="A58" s="717" t="s">
        <v>87</v>
      </c>
      <c r="B58" s="711" t="s">
        <v>237</v>
      </c>
      <c r="C58" s="847">
        <v>9.6000000000000002E-2</v>
      </c>
      <c r="D58" s="847">
        <v>9.9000000000000005E-2</v>
      </c>
      <c r="E58" s="847">
        <v>9.6000000000000002E-2</v>
      </c>
      <c r="F58" s="848">
        <v>0.1</v>
      </c>
    </row>
    <row r="59" spans="1:6" ht="14.25" thickBot="1">
      <c r="A59" s="717" t="s">
        <v>87</v>
      </c>
      <c r="B59" s="711" t="s">
        <v>248</v>
      </c>
      <c r="C59" s="847">
        <v>7.1999999999999995E-2</v>
      </c>
      <c r="D59" s="847">
        <v>9.6000000000000002E-2</v>
      </c>
      <c r="E59" s="847">
        <v>7.0999999999999994E-2</v>
      </c>
      <c r="F59" s="848">
        <v>0.1</v>
      </c>
    </row>
    <row r="60" spans="1:6" ht="14.25" thickBot="1">
      <c r="A60" s="717" t="s">
        <v>87</v>
      </c>
      <c r="B60" s="711" t="s">
        <v>259</v>
      </c>
      <c r="C60" s="847">
        <v>9.6000000000000002E-2</v>
      </c>
      <c r="D60" s="847">
        <v>8.8999999999999996E-2</v>
      </c>
      <c r="E60" s="847">
        <v>9.6000000000000002E-2</v>
      </c>
      <c r="F60" s="848">
        <v>0.1</v>
      </c>
    </row>
    <row r="61" spans="1:6" ht="14.25" thickBot="1">
      <c r="A61" s="717" t="s">
        <v>87</v>
      </c>
      <c r="B61" s="711" t="s">
        <v>270</v>
      </c>
      <c r="C61" s="847">
        <v>8.8999999999999996E-2</v>
      </c>
      <c r="D61" s="847">
        <v>9.8000000000000004E-2</v>
      </c>
      <c r="E61" s="847">
        <v>8.7999999999999995E-2</v>
      </c>
      <c r="F61" s="852"/>
    </row>
    <row r="62" spans="1:6" ht="14.25" thickBot="1">
      <c r="A62" s="717" t="s">
        <v>87</v>
      </c>
      <c r="B62" s="711" t="s">
        <v>281</v>
      </c>
      <c r="C62" s="847">
        <v>9.8000000000000004E-2</v>
      </c>
      <c r="D62" s="847">
        <v>9.2999999999999999E-2</v>
      </c>
      <c r="E62" s="847">
        <v>9.7000000000000003E-2</v>
      </c>
      <c r="F62" s="852"/>
    </row>
    <row r="63" spans="1:6" ht="14.25" thickBot="1">
      <c r="A63" s="717" t="s">
        <v>87</v>
      </c>
      <c r="B63" s="711" t="s">
        <v>292</v>
      </c>
      <c r="C63" s="847">
        <v>9.6000000000000002E-2</v>
      </c>
      <c r="D63" s="847">
        <v>9.8000000000000004E-2</v>
      </c>
      <c r="E63" s="847">
        <v>0.09</v>
      </c>
      <c r="F63" s="852"/>
    </row>
    <row r="64" spans="1:6" ht="14.25" thickBot="1">
      <c r="A64" s="717" t="s">
        <v>87</v>
      </c>
      <c r="B64" s="711" t="s">
        <v>302</v>
      </c>
      <c r="C64" s="847">
        <v>9.9000000000000005E-2</v>
      </c>
      <c r="D64" s="847">
        <v>9.7000000000000003E-2</v>
      </c>
      <c r="E64" s="847">
        <v>9.9000000000000005E-2</v>
      </c>
      <c r="F64" s="852"/>
    </row>
    <row r="65" spans="1:6" ht="14.25" thickBot="1">
      <c r="A65" s="717" t="s">
        <v>87</v>
      </c>
      <c r="B65" s="711" t="s">
        <v>312</v>
      </c>
      <c r="C65" s="847">
        <v>9.8000000000000004E-2</v>
      </c>
      <c r="D65" s="847">
        <v>9.6000000000000002E-2</v>
      </c>
      <c r="E65" s="847">
        <v>9.6000000000000002E-2</v>
      </c>
      <c r="F65" s="852"/>
    </row>
    <row r="66" spans="1:6" ht="14.25" thickBot="1">
      <c r="A66" s="717" t="s">
        <v>87</v>
      </c>
      <c r="B66" s="711" t="s">
        <v>322</v>
      </c>
      <c r="C66" s="847">
        <v>9.6000000000000002E-2</v>
      </c>
      <c r="D66" s="847">
        <v>9.1999999999999998E-2</v>
      </c>
      <c r="E66" s="847">
        <v>9.6000000000000002E-2</v>
      </c>
      <c r="F66" s="852"/>
    </row>
    <row r="67" spans="1:6" ht="14.25" thickBot="1">
      <c r="A67" s="717" t="s">
        <v>87</v>
      </c>
      <c r="B67" s="711" t="s">
        <v>332</v>
      </c>
      <c r="C67" s="847">
        <v>9.4E-2</v>
      </c>
      <c r="D67" s="847">
        <v>0.1</v>
      </c>
      <c r="E67" s="847">
        <v>8.7999999999999995E-2</v>
      </c>
      <c r="F67" s="852"/>
    </row>
    <row r="68" spans="1:6" ht="14.25" thickBot="1">
      <c r="A68" s="717" t="s">
        <v>87</v>
      </c>
      <c r="B68" s="711" t="s">
        <v>341</v>
      </c>
      <c r="C68" s="847">
        <v>0.1</v>
      </c>
      <c r="D68" s="847">
        <v>8.7999999999999995E-2</v>
      </c>
      <c r="E68" s="847">
        <v>9.7000000000000003E-2</v>
      </c>
      <c r="F68" s="852"/>
    </row>
    <row r="69" spans="1:6" ht="14.25" thickBot="1">
      <c r="A69" s="717" t="s">
        <v>87</v>
      </c>
      <c r="B69" s="711" t="s">
        <v>350</v>
      </c>
      <c r="C69" s="847">
        <v>6.4000000000000001E-2</v>
      </c>
      <c r="D69" s="847">
        <v>0.1</v>
      </c>
      <c r="E69" s="847">
        <v>0.1</v>
      </c>
      <c r="F69" s="852"/>
    </row>
    <row r="70" spans="1:6" ht="14.25" thickBot="1">
      <c r="A70" s="717" t="s">
        <v>87</v>
      </c>
      <c r="B70" s="711" t="s">
        <v>358</v>
      </c>
      <c r="C70" s="847">
        <v>9.0999999999999998E-2</v>
      </c>
      <c r="D70" s="853"/>
      <c r="E70" s="853"/>
      <c r="F70" s="852"/>
    </row>
    <row r="71" spans="1:6" ht="14.25" thickBot="1">
      <c r="A71" s="717" t="s">
        <v>87</v>
      </c>
      <c r="B71" s="711" t="s">
        <v>365</v>
      </c>
      <c r="C71" s="847">
        <v>0.1</v>
      </c>
      <c r="D71" s="853"/>
      <c r="E71" s="853"/>
      <c r="F71" s="852"/>
    </row>
    <row r="72" spans="1:6" ht="14.25" thickBot="1">
      <c r="A72" s="717" t="s">
        <v>87</v>
      </c>
      <c r="B72" s="711" t="s">
        <v>793</v>
      </c>
      <c r="C72" s="853"/>
      <c r="D72" s="853"/>
      <c r="E72" s="853"/>
      <c r="F72" s="848">
        <v>0.05</v>
      </c>
    </row>
    <row r="73" spans="1:6" ht="14.25" thickBot="1">
      <c r="A73" s="717" t="s">
        <v>87</v>
      </c>
      <c r="B73" s="711" t="s">
        <v>794</v>
      </c>
      <c r="C73" s="853"/>
      <c r="D73" s="853"/>
      <c r="E73" s="853"/>
      <c r="F73" s="848">
        <v>0.05</v>
      </c>
    </row>
    <row r="74" spans="1:6" ht="14.25" thickBot="1">
      <c r="A74" s="717" t="s">
        <v>87</v>
      </c>
      <c r="B74" s="711" t="s">
        <v>795</v>
      </c>
      <c r="C74" s="853"/>
      <c r="D74" s="853"/>
      <c r="E74" s="853"/>
      <c r="F74" s="848">
        <v>0.05</v>
      </c>
    </row>
    <row r="75" spans="1:6" ht="14.25" thickBot="1">
      <c r="A75" s="734" t="s">
        <v>87</v>
      </c>
      <c r="B75" s="727" t="s">
        <v>796</v>
      </c>
      <c r="C75" s="850"/>
      <c r="D75" s="850"/>
      <c r="E75" s="850"/>
      <c r="F75" s="854">
        <v>0.05</v>
      </c>
    </row>
    <row r="76" spans="1:6" ht="14.25" thickBot="1">
      <c r="A76" s="717" t="s">
        <v>480</v>
      </c>
      <c r="B76" s="718" t="s">
        <v>797</v>
      </c>
      <c r="C76" s="845">
        <v>0.1</v>
      </c>
      <c r="D76" s="845">
        <v>0.1</v>
      </c>
      <c r="E76" s="845">
        <v>0.1</v>
      </c>
      <c r="F76" s="846">
        <v>0.1</v>
      </c>
    </row>
    <row r="77" spans="1:6" ht="14.25" thickBot="1">
      <c r="A77" s="717" t="s">
        <v>480</v>
      </c>
      <c r="B77" s="711" t="s">
        <v>140</v>
      </c>
      <c r="C77" s="847">
        <v>8.7999999999999995E-2</v>
      </c>
      <c r="D77" s="847">
        <v>8.6999999999999994E-2</v>
      </c>
      <c r="E77" s="847">
        <v>7.9000000000000001E-2</v>
      </c>
      <c r="F77" s="848">
        <v>0.1</v>
      </c>
    </row>
    <row r="78" spans="1:6" ht="14.25" thickBot="1">
      <c r="A78" s="717" t="s">
        <v>480</v>
      </c>
      <c r="B78" s="711" t="s">
        <v>153</v>
      </c>
      <c r="C78" s="847">
        <v>8.6999999999999994E-2</v>
      </c>
      <c r="D78" s="847">
        <v>8.4000000000000005E-2</v>
      </c>
      <c r="E78" s="847">
        <v>9.6000000000000002E-2</v>
      </c>
      <c r="F78" s="848">
        <v>0.1</v>
      </c>
    </row>
    <row r="79" spans="1:6" ht="14.25" thickBot="1">
      <c r="A79" s="717" t="s">
        <v>480</v>
      </c>
      <c r="B79" s="711" t="s">
        <v>166</v>
      </c>
      <c r="C79" s="847">
        <v>9.8000000000000004E-2</v>
      </c>
      <c r="D79" s="847">
        <v>9.8000000000000004E-2</v>
      </c>
      <c r="E79" s="847">
        <v>9.0999999999999998E-2</v>
      </c>
      <c r="F79" s="848">
        <v>0.1</v>
      </c>
    </row>
    <row r="80" spans="1:6" ht="14.25" thickBot="1">
      <c r="A80" s="717" t="s">
        <v>480</v>
      </c>
      <c r="B80" s="711" t="s">
        <v>178</v>
      </c>
      <c r="C80" s="847">
        <v>9.6000000000000002E-2</v>
      </c>
      <c r="D80" s="847">
        <v>9.6000000000000002E-2</v>
      </c>
      <c r="E80" s="847">
        <v>0.1</v>
      </c>
      <c r="F80" s="848">
        <v>0.1</v>
      </c>
    </row>
    <row r="81" spans="1:6" ht="14.25" thickBot="1">
      <c r="A81" s="717" t="s">
        <v>480</v>
      </c>
      <c r="B81" s="711" t="s">
        <v>190</v>
      </c>
      <c r="C81" s="847">
        <v>9.9000000000000005E-2</v>
      </c>
      <c r="D81" s="847">
        <v>9.9000000000000005E-2</v>
      </c>
      <c r="E81" s="847">
        <v>9.8000000000000004E-2</v>
      </c>
      <c r="F81" s="848">
        <v>0.1</v>
      </c>
    </row>
    <row r="82" spans="1:6" ht="14.25" thickBot="1">
      <c r="A82" s="717" t="s">
        <v>480</v>
      </c>
      <c r="B82" s="711" t="s">
        <v>202</v>
      </c>
      <c r="C82" s="847">
        <v>9.9000000000000005E-2</v>
      </c>
      <c r="D82" s="847">
        <v>9.9000000000000005E-2</v>
      </c>
      <c r="E82" s="847">
        <v>9.7000000000000003E-2</v>
      </c>
      <c r="F82" s="848">
        <v>0.1</v>
      </c>
    </row>
    <row r="83" spans="1:6" ht="14.25" thickBot="1">
      <c r="A83" s="717" t="s">
        <v>480</v>
      </c>
      <c r="B83" s="711" t="s">
        <v>214</v>
      </c>
      <c r="C83" s="847">
        <v>9.8000000000000004E-2</v>
      </c>
      <c r="D83" s="847">
        <v>9.8000000000000004E-2</v>
      </c>
      <c r="E83" s="847">
        <v>9.8000000000000004E-2</v>
      </c>
      <c r="F83" s="848">
        <v>0.1</v>
      </c>
    </row>
    <row r="84" spans="1:6" ht="14.25" thickBot="1">
      <c r="A84" s="717" t="s">
        <v>480</v>
      </c>
      <c r="B84" s="711" t="s">
        <v>227</v>
      </c>
      <c r="C84" s="847">
        <v>9.9000000000000005E-2</v>
      </c>
      <c r="D84" s="847">
        <v>9.9000000000000005E-2</v>
      </c>
      <c r="E84" s="847">
        <v>9.9000000000000005E-2</v>
      </c>
      <c r="F84" s="848">
        <v>0.1</v>
      </c>
    </row>
    <row r="85" spans="1:6" ht="14.25" thickBot="1">
      <c r="A85" s="717" t="s">
        <v>480</v>
      </c>
      <c r="B85" s="711" t="s">
        <v>238</v>
      </c>
      <c r="C85" s="847">
        <v>9.9000000000000005E-2</v>
      </c>
      <c r="D85" s="847">
        <v>9.9000000000000005E-2</v>
      </c>
      <c r="E85" s="847">
        <v>9.9000000000000005E-2</v>
      </c>
      <c r="F85" s="848">
        <v>0.1</v>
      </c>
    </row>
    <row r="86" spans="1:6" ht="14.25" thickBot="1">
      <c r="A86" s="717" t="s">
        <v>480</v>
      </c>
      <c r="B86" s="711" t="s">
        <v>249</v>
      </c>
      <c r="C86" s="847">
        <v>0.1</v>
      </c>
      <c r="D86" s="847">
        <v>0.1</v>
      </c>
      <c r="E86" s="847">
        <v>7.6999999999999999E-2</v>
      </c>
      <c r="F86" s="848">
        <v>0.1</v>
      </c>
    </row>
    <row r="87" spans="1:6" ht="14.25" thickBot="1">
      <c r="A87" s="717" t="s">
        <v>480</v>
      </c>
      <c r="B87" s="711" t="s">
        <v>260</v>
      </c>
      <c r="C87" s="847">
        <v>0.1</v>
      </c>
      <c r="D87" s="847">
        <v>0.1</v>
      </c>
      <c r="E87" s="847">
        <v>9.8000000000000004E-2</v>
      </c>
      <c r="F87" s="852"/>
    </row>
    <row r="88" spans="1:6" ht="14.25" thickBot="1">
      <c r="A88" s="717" t="s">
        <v>480</v>
      </c>
      <c r="B88" s="711" t="s">
        <v>271</v>
      </c>
      <c r="C88" s="847">
        <v>9.1999999999999998E-2</v>
      </c>
      <c r="D88" s="847">
        <v>8.5000000000000006E-2</v>
      </c>
      <c r="E88" s="847">
        <v>9.6000000000000002E-2</v>
      </c>
      <c r="F88" s="852"/>
    </row>
    <row r="89" spans="1:6" ht="14.25" thickBot="1">
      <c r="A89" s="717" t="s">
        <v>480</v>
      </c>
      <c r="B89" s="711" t="s">
        <v>282</v>
      </c>
      <c r="C89" s="847">
        <v>0.1</v>
      </c>
      <c r="D89" s="847">
        <v>0.1</v>
      </c>
      <c r="E89" s="847">
        <v>9.7000000000000003E-2</v>
      </c>
      <c r="F89" s="852"/>
    </row>
    <row r="90" spans="1:6" ht="14.25" thickBot="1">
      <c r="A90" s="717" t="s">
        <v>480</v>
      </c>
      <c r="B90" s="711" t="s">
        <v>293</v>
      </c>
      <c r="C90" s="847">
        <v>9.8000000000000004E-2</v>
      </c>
      <c r="D90" s="847">
        <v>9.8000000000000004E-2</v>
      </c>
      <c r="E90" s="847">
        <v>8.7999999999999995E-2</v>
      </c>
      <c r="F90" s="852"/>
    </row>
    <row r="91" spans="1:6" ht="14.25" thickBot="1">
      <c r="A91" s="717" t="s">
        <v>480</v>
      </c>
      <c r="B91" s="711" t="s">
        <v>303</v>
      </c>
      <c r="C91" s="847">
        <v>9.9000000000000005E-2</v>
      </c>
      <c r="D91" s="847">
        <v>9.9000000000000005E-2</v>
      </c>
      <c r="E91" s="847">
        <v>9.0999999999999998E-2</v>
      </c>
      <c r="F91" s="852"/>
    </row>
    <row r="92" spans="1:6" ht="14.25" thickBot="1">
      <c r="A92" s="717" t="s">
        <v>480</v>
      </c>
      <c r="B92" s="711" t="s">
        <v>313</v>
      </c>
      <c r="C92" s="847">
        <v>9.6000000000000002E-2</v>
      </c>
      <c r="D92" s="847">
        <v>9.6000000000000002E-2</v>
      </c>
      <c r="E92" s="847">
        <v>7.2999999999999995E-2</v>
      </c>
      <c r="F92" s="852"/>
    </row>
    <row r="93" spans="1:6" ht="14.25" thickBot="1">
      <c r="A93" s="717" t="s">
        <v>480</v>
      </c>
      <c r="B93" s="711" t="s">
        <v>323</v>
      </c>
      <c r="C93" s="847">
        <v>9.6000000000000002E-2</v>
      </c>
      <c r="D93" s="847">
        <v>9.6000000000000002E-2</v>
      </c>
      <c r="E93" s="847">
        <v>9.9000000000000005E-2</v>
      </c>
      <c r="F93" s="852"/>
    </row>
    <row r="94" spans="1:6" ht="14.25" thickBot="1">
      <c r="A94" s="717" t="s">
        <v>480</v>
      </c>
      <c r="B94" s="711" t="s">
        <v>333</v>
      </c>
      <c r="C94" s="847">
        <v>7.5999999999999998E-2</v>
      </c>
      <c r="D94" s="847">
        <v>7.3999999999999996E-2</v>
      </c>
      <c r="E94" s="847">
        <v>9.7000000000000003E-2</v>
      </c>
      <c r="F94" s="852"/>
    </row>
    <row r="95" spans="1:6" ht="14.25" thickBot="1">
      <c r="A95" s="717" t="s">
        <v>480</v>
      </c>
      <c r="B95" s="711" t="s">
        <v>342</v>
      </c>
      <c r="C95" s="847">
        <v>9.9000000000000005E-2</v>
      </c>
      <c r="D95" s="847">
        <v>9.4E-2</v>
      </c>
      <c r="E95" s="847">
        <v>9.6000000000000002E-2</v>
      </c>
      <c r="F95" s="852"/>
    </row>
    <row r="96" spans="1:6" ht="14.25" thickBot="1">
      <c r="A96" s="717" t="s">
        <v>480</v>
      </c>
      <c r="B96" s="711" t="s">
        <v>351</v>
      </c>
      <c r="C96" s="847">
        <v>9.9000000000000005E-2</v>
      </c>
      <c r="D96" s="847">
        <v>9.9000000000000005E-2</v>
      </c>
      <c r="E96" s="847">
        <v>9.9000000000000005E-2</v>
      </c>
      <c r="F96" s="852"/>
    </row>
    <row r="97" spans="1:6" ht="14.25" thickBot="1">
      <c r="A97" s="717" t="s">
        <v>480</v>
      </c>
      <c r="B97" s="711" t="s">
        <v>359</v>
      </c>
      <c r="C97" s="847">
        <v>9.8000000000000004E-2</v>
      </c>
      <c r="D97" s="847">
        <v>9.8000000000000004E-2</v>
      </c>
      <c r="E97" s="847">
        <v>9.7000000000000003E-2</v>
      </c>
      <c r="F97" s="852"/>
    </row>
    <row r="98" spans="1:6" ht="14.25" thickBot="1">
      <c r="A98" s="717" t="s">
        <v>480</v>
      </c>
      <c r="B98" s="711" t="s">
        <v>366</v>
      </c>
      <c r="C98" s="847">
        <v>0.1</v>
      </c>
      <c r="D98" s="847">
        <v>0.1</v>
      </c>
      <c r="E98" s="847">
        <v>9.7000000000000003E-2</v>
      </c>
      <c r="F98" s="852"/>
    </row>
    <row r="99" spans="1:6" ht="14.25" thickBot="1">
      <c r="A99" s="717" t="s">
        <v>480</v>
      </c>
      <c r="B99" s="711" t="s">
        <v>373</v>
      </c>
      <c r="C99" s="847">
        <v>0.1</v>
      </c>
      <c r="D99" s="847">
        <v>0.1</v>
      </c>
      <c r="E99" s="853"/>
      <c r="F99" s="852"/>
    </row>
    <row r="100" spans="1:6" ht="14.25" thickBot="1">
      <c r="A100" s="717" t="s">
        <v>480</v>
      </c>
      <c r="B100" s="711" t="s">
        <v>380</v>
      </c>
      <c r="C100" s="847">
        <v>0.09</v>
      </c>
      <c r="D100" s="847">
        <v>8.8999999999999996E-2</v>
      </c>
      <c r="E100" s="853"/>
      <c r="F100" s="852"/>
    </row>
    <row r="101" spans="1:6" ht="14.25" thickBot="1">
      <c r="A101" s="717" t="s">
        <v>480</v>
      </c>
      <c r="B101" s="711" t="s">
        <v>387</v>
      </c>
      <c r="C101" s="847">
        <v>9.8000000000000004E-2</v>
      </c>
      <c r="D101" s="847">
        <v>9.7000000000000003E-2</v>
      </c>
      <c r="E101" s="853"/>
      <c r="F101" s="852"/>
    </row>
    <row r="102" spans="1:6" ht="14.25" thickBot="1">
      <c r="A102" s="717" t="s">
        <v>480</v>
      </c>
      <c r="B102" s="711" t="s">
        <v>798</v>
      </c>
      <c r="C102" s="853"/>
      <c r="D102" s="853"/>
      <c r="E102" s="853"/>
      <c r="F102" s="848">
        <v>0.05</v>
      </c>
    </row>
    <row r="103" spans="1:6" ht="24.75" thickBot="1">
      <c r="A103" s="717" t="s">
        <v>480</v>
      </c>
      <c r="B103" s="711" t="s">
        <v>799</v>
      </c>
      <c r="C103" s="853"/>
      <c r="D103" s="853"/>
      <c r="E103" s="853"/>
      <c r="F103" s="848">
        <v>0.05</v>
      </c>
    </row>
    <row r="104" spans="1:6" ht="14.25" thickBot="1">
      <c r="A104" s="717" t="s">
        <v>480</v>
      </c>
      <c r="B104" s="711" t="s">
        <v>800</v>
      </c>
      <c r="C104" s="853"/>
      <c r="D104" s="853"/>
      <c r="E104" s="853"/>
      <c r="F104" s="848">
        <v>0.05</v>
      </c>
    </row>
    <row r="105" spans="1:6" ht="14.25" thickBot="1">
      <c r="A105" s="717" t="s">
        <v>480</v>
      </c>
      <c r="B105" s="711" t="s">
        <v>801</v>
      </c>
      <c r="C105" s="853"/>
      <c r="D105" s="853"/>
      <c r="E105" s="853"/>
      <c r="F105" s="848">
        <v>0.05</v>
      </c>
    </row>
    <row r="106" spans="1:6" ht="14.25" thickBot="1">
      <c r="A106" s="717" t="s">
        <v>480</v>
      </c>
      <c r="B106" s="711" t="s">
        <v>802</v>
      </c>
      <c r="C106" s="853"/>
      <c r="D106" s="853"/>
      <c r="E106" s="853"/>
      <c r="F106" s="848">
        <v>0.05</v>
      </c>
    </row>
    <row r="107" spans="1:6" ht="24.75" thickBot="1">
      <c r="A107" s="717" t="s">
        <v>480</v>
      </c>
      <c r="B107" s="711" t="s">
        <v>803</v>
      </c>
      <c r="C107" s="853"/>
      <c r="D107" s="853"/>
      <c r="E107" s="853"/>
      <c r="F107" s="848">
        <v>0.05</v>
      </c>
    </row>
    <row r="108" spans="1:6" ht="24.75" thickBot="1">
      <c r="A108" s="717" t="s">
        <v>480</v>
      </c>
      <c r="B108" s="711" t="s">
        <v>804</v>
      </c>
      <c r="C108" s="853"/>
      <c r="D108" s="853"/>
      <c r="E108" s="853"/>
      <c r="F108" s="848">
        <v>0.05</v>
      </c>
    </row>
    <row r="109" spans="1:6" ht="24.75" thickBot="1">
      <c r="A109" s="734" t="s">
        <v>480</v>
      </c>
      <c r="B109" s="727" t="s">
        <v>805</v>
      </c>
      <c r="C109" s="850"/>
      <c r="D109" s="850"/>
      <c r="E109" s="850"/>
      <c r="F109" s="854">
        <v>0.05</v>
      </c>
    </row>
    <row r="110" spans="1:6" ht="14.25" thickBot="1">
      <c r="A110" s="717" t="s">
        <v>70</v>
      </c>
      <c r="B110" s="718" t="s">
        <v>806</v>
      </c>
      <c r="C110" s="845">
        <v>0.129</v>
      </c>
      <c r="D110" s="845">
        <v>0.129</v>
      </c>
      <c r="E110" s="845">
        <v>0.126</v>
      </c>
      <c r="F110" s="846">
        <v>0.13</v>
      </c>
    </row>
    <row r="111" spans="1:6" ht="14.25" thickBot="1">
      <c r="A111" s="717" t="s">
        <v>70</v>
      </c>
      <c r="B111" s="711" t="s">
        <v>141</v>
      </c>
      <c r="C111" s="847">
        <v>0.11</v>
      </c>
      <c r="D111" s="847">
        <v>0.11</v>
      </c>
      <c r="E111" s="847">
        <v>9.9000000000000005E-2</v>
      </c>
      <c r="F111" s="848">
        <v>0.128</v>
      </c>
    </row>
    <row r="112" spans="1:6" ht="14.25" thickBot="1">
      <c r="A112" s="717" t="s">
        <v>70</v>
      </c>
      <c r="B112" s="711" t="s">
        <v>154</v>
      </c>
      <c r="C112" s="847">
        <v>0.125</v>
      </c>
      <c r="D112" s="847">
        <v>0.125</v>
      </c>
      <c r="E112" s="847">
        <v>0.12</v>
      </c>
      <c r="F112" s="848">
        <v>0.125</v>
      </c>
    </row>
    <row r="113" spans="1:6" ht="14.25" thickBot="1">
      <c r="A113" s="717" t="s">
        <v>70</v>
      </c>
      <c r="B113" s="711" t="s">
        <v>167</v>
      </c>
      <c r="C113" s="847">
        <v>0.13</v>
      </c>
      <c r="D113" s="847">
        <v>0.13</v>
      </c>
      <c r="E113" s="847">
        <v>0.13</v>
      </c>
      <c r="F113" s="848">
        <v>0.13</v>
      </c>
    </row>
    <row r="114" spans="1:6" ht="14.25" thickBot="1">
      <c r="A114" s="717" t="s">
        <v>70</v>
      </c>
      <c r="B114" s="711" t="s">
        <v>179</v>
      </c>
      <c r="C114" s="847">
        <v>0.123</v>
      </c>
      <c r="D114" s="847">
        <v>0.123</v>
      </c>
      <c r="E114" s="847">
        <v>0.12</v>
      </c>
      <c r="F114" s="848">
        <v>0.13</v>
      </c>
    </row>
    <row r="115" spans="1:6" ht="14.25" thickBot="1">
      <c r="A115" s="717" t="s">
        <v>70</v>
      </c>
      <c r="B115" s="711" t="s">
        <v>191</v>
      </c>
      <c r="C115" s="847">
        <v>0.125</v>
      </c>
      <c r="D115" s="847">
        <v>0.125</v>
      </c>
      <c r="E115" s="847">
        <v>0.11700000000000001</v>
      </c>
      <c r="F115" s="848">
        <v>0.13</v>
      </c>
    </row>
    <row r="116" spans="1:6" ht="14.25" thickBot="1">
      <c r="A116" s="717" t="s">
        <v>70</v>
      </c>
      <c r="B116" s="711" t="s">
        <v>203</v>
      </c>
      <c r="C116" s="847">
        <v>0.11700000000000001</v>
      </c>
      <c r="D116" s="847">
        <v>0.11700000000000001</v>
      </c>
      <c r="E116" s="847">
        <v>8.7999999999999995E-2</v>
      </c>
      <c r="F116" s="848">
        <v>0.13</v>
      </c>
    </row>
    <row r="117" spans="1:6" ht="14.25" thickBot="1">
      <c r="A117" s="717" t="s">
        <v>70</v>
      </c>
      <c r="B117" s="711" t="s">
        <v>215</v>
      </c>
      <c r="C117" s="847">
        <v>0.13</v>
      </c>
      <c r="D117" s="847">
        <v>0.13</v>
      </c>
      <c r="E117" s="847">
        <v>0.129</v>
      </c>
      <c r="F117" s="848">
        <v>0.13</v>
      </c>
    </row>
    <row r="118" spans="1:6" ht="14.25" thickBot="1">
      <c r="A118" s="717" t="s">
        <v>70</v>
      </c>
      <c r="B118" s="711" t="s">
        <v>228</v>
      </c>
      <c r="C118" s="847">
        <v>0.123</v>
      </c>
      <c r="D118" s="847">
        <v>0.123</v>
      </c>
      <c r="E118" s="847">
        <v>0.11600000000000001</v>
      </c>
      <c r="F118" s="848">
        <v>0.13</v>
      </c>
    </row>
    <row r="119" spans="1:6" ht="14.25" thickBot="1">
      <c r="A119" s="717" t="s">
        <v>70</v>
      </c>
      <c r="B119" s="711" t="s">
        <v>239</v>
      </c>
      <c r="C119" s="847">
        <v>0.127</v>
      </c>
      <c r="D119" s="847">
        <v>0.127</v>
      </c>
      <c r="E119" s="847">
        <v>0.124</v>
      </c>
      <c r="F119" s="848">
        <v>0.13</v>
      </c>
    </row>
    <row r="120" spans="1:6" ht="14.25" thickBot="1">
      <c r="A120" s="717" t="s">
        <v>70</v>
      </c>
      <c r="B120" s="711" t="s">
        <v>250</v>
      </c>
      <c r="C120" s="847">
        <v>0.125</v>
      </c>
      <c r="D120" s="847">
        <v>0.125</v>
      </c>
      <c r="E120" s="847">
        <v>0.122</v>
      </c>
      <c r="F120" s="848">
        <v>0.13</v>
      </c>
    </row>
    <row r="121" spans="1:6" ht="14.25" thickBot="1">
      <c r="A121" s="717" t="s">
        <v>70</v>
      </c>
      <c r="B121" s="711" t="s">
        <v>261</v>
      </c>
      <c r="C121" s="847">
        <v>0.13</v>
      </c>
      <c r="D121" s="847">
        <v>0.13</v>
      </c>
      <c r="E121" s="847">
        <v>0.13</v>
      </c>
      <c r="F121" s="848">
        <v>0.13</v>
      </c>
    </row>
    <row r="122" spans="1:6" ht="14.25" thickBot="1">
      <c r="A122" s="717" t="s">
        <v>70</v>
      </c>
      <c r="B122" s="711" t="s">
        <v>272</v>
      </c>
      <c r="C122" s="847">
        <v>0.13</v>
      </c>
      <c r="D122" s="847">
        <v>0.13</v>
      </c>
      <c r="E122" s="847">
        <v>0.125</v>
      </c>
      <c r="F122" s="848">
        <v>0.13</v>
      </c>
    </row>
    <row r="123" spans="1:6" ht="14.25" thickBot="1">
      <c r="A123" s="717" t="s">
        <v>70</v>
      </c>
      <c r="B123" s="711" t="s">
        <v>283</v>
      </c>
      <c r="C123" s="847">
        <v>0.129</v>
      </c>
      <c r="D123" s="847">
        <v>0.129</v>
      </c>
      <c r="E123" s="847">
        <v>0.123</v>
      </c>
      <c r="F123" s="848">
        <v>0.13</v>
      </c>
    </row>
    <row r="124" spans="1:6" ht="14.25" thickBot="1">
      <c r="A124" s="717" t="s">
        <v>70</v>
      </c>
      <c r="B124" s="711" t="s">
        <v>294</v>
      </c>
      <c r="C124" s="847">
        <v>0.10199999999999999</v>
      </c>
      <c r="D124" s="847">
        <v>0.10100000000000001</v>
      </c>
      <c r="E124" s="847">
        <v>0.08</v>
      </c>
      <c r="F124" s="852"/>
    </row>
    <row r="125" spans="1:6" ht="14.25" thickBot="1">
      <c r="A125" s="717" t="s">
        <v>70</v>
      </c>
      <c r="B125" s="711" t="s">
        <v>304</v>
      </c>
      <c r="C125" s="847">
        <v>0.13</v>
      </c>
      <c r="D125" s="847">
        <v>0.13</v>
      </c>
      <c r="E125" s="847">
        <v>0.129</v>
      </c>
      <c r="F125" s="852"/>
    </row>
    <row r="126" spans="1:6" ht="14.25" thickBot="1">
      <c r="A126" s="717" t="s">
        <v>70</v>
      </c>
      <c r="B126" s="711" t="s">
        <v>314</v>
      </c>
      <c r="C126" s="847">
        <v>0.13</v>
      </c>
      <c r="D126" s="847">
        <v>0.13</v>
      </c>
      <c r="E126" s="847">
        <v>0.126</v>
      </c>
      <c r="F126" s="852"/>
    </row>
    <row r="127" spans="1:6" ht="14.25" thickBot="1">
      <c r="A127" s="717" t="s">
        <v>70</v>
      </c>
      <c r="B127" s="711" t="s">
        <v>324</v>
      </c>
      <c r="C127" s="847">
        <v>0.125</v>
      </c>
      <c r="D127" s="847">
        <v>0.125</v>
      </c>
      <c r="E127" s="847">
        <v>0.121</v>
      </c>
      <c r="F127" s="852"/>
    </row>
    <row r="128" spans="1:6" ht="14.25" thickBot="1">
      <c r="A128" s="717" t="s">
        <v>70</v>
      </c>
      <c r="B128" s="711" t="s">
        <v>334</v>
      </c>
      <c r="C128" s="847">
        <v>0.12</v>
      </c>
      <c r="D128" s="847">
        <v>0.12</v>
      </c>
      <c r="E128" s="847">
        <v>0.105</v>
      </c>
      <c r="F128" s="852"/>
    </row>
    <row r="129" spans="1:6" ht="14.25" thickBot="1">
      <c r="A129" s="717" t="s">
        <v>70</v>
      </c>
      <c r="B129" s="711" t="s">
        <v>343</v>
      </c>
      <c r="C129" s="847">
        <v>0.13</v>
      </c>
      <c r="D129" s="847">
        <v>0.13</v>
      </c>
      <c r="E129" s="847">
        <v>0.126</v>
      </c>
      <c r="F129" s="852"/>
    </row>
    <row r="130" spans="1:6" ht="14.25" thickBot="1">
      <c r="A130" s="717" t="s">
        <v>70</v>
      </c>
      <c r="B130" s="711" t="s">
        <v>352</v>
      </c>
      <c r="C130" s="847">
        <v>0.125</v>
      </c>
      <c r="D130" s="847">
        <v>0.125</v>
      </c>
      <c r="E130" s="847">
        <v>0.122</v>
      </c>
      <c r="F130" s="852"/>
    </row>
    <row r="131" spans="1:6" ht="14.25" thickBot="1">
      <c r="A131" s="717" t="s">
        <v>70</v>
      </c>
      <c r="B131" s="711" t="s">
        <v>360</v>
      </c>
      <c r="C131" s="847">
        <v>0.127</v>
      </c>
      <c r="D131" s="847">
        <v>0.126</v>
      </c>
      <c r="E131" s="847">
        <v>0.123</v>
      </c>
      <c r="F131" s="852"/>
    </row>
    <row r="132" spans="1:6" ht="14.25" thickBot="1">
      <c r="A132" s="717" t="s">
        <v>70</v>
      </c>
      <c r="B132" s="711" t="s">
        <v>367</v>
      </c>
      <c r="C132" s="847">
        <v>9.0999999999999998E-2</v>
      </c>
      <c r="D132" s="847">
        <v>0.121</v>
      </c>
      <c r="E132" s="847">
        <v>9.9000000000000005E-2</v>
      </c>
      <c r="F132" s="852"/>
    </row>
    <row r="133" spans="1:6" ht="14.25" thickBot="1">
      <c r="A133" s="717" t="s">
        <v>70</v>
      </c>
      <c r="B133" s="711" t="s">
        <v>374</v>
      </c>
      <c r="C133" s="847">
        <v>0.13</v>
      </c>
      <c r="D133" s="847">
        <v>0.13</v>
      </c>
      <c r="E133" s="847">
        <v>0.129</v>
      </c>
      <c r="F133" s="852"/>
    </row>
    <row r="134" spans="1:6" ht="14.25" thickBot="1">
      <c r="A134" s="717" t="s">
        <v>70</v>
      </c>
      <c r="B134" s="711" t="s">
        <v>807</v>
      </c>
      <c r="C134" s="847">
        <v>6.8000000000000005E-2</v>
      </c>
      <c r="D134" s="847">
        <v>6.5000000000000002E-2</v>
      </c>
      <c r="E134" s="847">
        <v>6.5000000000000002E-2</v>
      </c>
      <c r="F134" s="848">
        <v>0.13</v>
      </c>
    </row>
    <row r="135" spans="1:6" ht="14.25" thickBot="1">
      <c r="A135" s="717" t="s">
        <v>70</v>
      </c>
      <c r="B135" s="711" t="s">
        <v>388</v>
      </c>
      <c r="C135" s="847">
        <v>0.123</v>
      </c>
      <c r="D135" s="847">
        <v>0.123</v>
      </c>
      <c r="E135" s="847">
        <v>0.11</v>
      </c>
      <c r="F135" s="852"/>
    </row>
    <row r="136" spans="1:6" ht="14.25" thickBot="1">
      <c r="A136" s="717" t="s">
        <v>70</v>
      </c>
      <c r="B136" s="711" t="s">
        <v>395</v>
      </c>
      <c r="C136" s="847">
        <v>0.13</v>
      </c>
      <c r="D136" s="847">
        <v>0.13</v>
      </c>
      <c r="E136" s="847">
        <v>0.125</v>
      </c>
      <c r="F136" s="852"/>
    </row>
    <row r="137" spans="1:6" ht="14.25" thickBot="1">
      <c r="A137" s="717" t="s">
        <v>70</v>
      </c>
      <c r="B137" s="711" t="s">
        <v>402</v>
      </c>
      <c r="C137" s="847">
        <v>0.121</v>
      </c>
      <c r="D137" s="847">
        <v>0.122</v>
      </c>
      <c r="E137" s="847">
        <v>0.115</v>
      </c>
      <c r="F137" s="852"/>
    </row>
    <row r="138" spans="1:6" ht="14.25" thickBot="1">
      <c r="A138" s="717" t="s">
        <v>70</v>
      </c>
      <c r="B138" s="711" t="s">
        <v>808</v>
      </c>
      <c r="C138" s="847">
        <v>0.105</v>
      </c>
      <c r="D138" s="847">
        <v>0.125</v>
      </c>
      <c r="E138" s="847">
        <v>0.112</v>
      </c>
      <c r="F138" s="852"/>
    </row>
    <row r="139" spans="1:6" ht="14.25" thickBot="1">
      <c r="A139" s="717" t="s">
        <v>70</v>
      </c>
      <c r="B139" s="711" t="s">
        <v>809</v>
      </c>
      <c r="C139" s="847">
        <v>0.127</v>
      </c>
      <c r="D139" s="847">
        <v>0.127</v>
      </c>
      <c r="E139" s="847">
        <v>0.122</v>
      </c>
      <c r="F139" s="848">
        <v>0.13</v>
      </c>
    </row>
    <row r="140" spans="1:6" ht="14.25" thickBot="1">
      <c r="A140" s="717" t="s">
        <v>70</v>
      </c>
      <c r="B140" s="711" t="s">
        <v>810</v>
      </c>
      <c r="C140" s="847">
        <v>0.125</v>
      </c>
      <c r="D140" s="847">
        <v>0.125</v>
      </c>
      <c r="E140" s="847">
        <v>0.11899999999999999</v>
      </c>
      <c r="F140" s="848">
        <v>0.13</v>
      </c>
    </row>
    <row r="141" spans="1:6" ht="14.25" thickBot="1">
      <c r="A141" s="717" t="s">
        <v>70</v>
      </c>
      <c r="B141" s="711" t="s">
        <v>421</v>
      </c>
      <c r="C141" s="847">
        <v>0.125</v>
      </c>
      <c r="D141" s="847">
        <v>0.125</v>
      </c>
      <c r="E141" s="847">
        <v>0.11700000000000001</v>
      </c>
      <c r="F141" s="852"/>
    </row>
    <row r="142" spans="1:6" ht="14.25" thickBot="1">
      <c r="A142" s="717" t="s">
        <v>70</v>
      </c>
      <c r="B142" s="711" t="s">
        <v>426</v>
      </c>
      <c r="C142" s="847">
        <v>0.125</v>
      </c>
      <c r="D142" s="847">
        <v>0.125</v>
      </c>
      <c r="E142" s="847">
        <v>0.115</v>
      </c>
      <c r="F142" s="852"/>
    </row>
    <row r="143" spans="1:6" ht="14.25" thickBot="1">
      <c r="A143" s="717" t="s">
        <v>70</v>
      </c>
      <c r="B143" s="711" t="s">
        <v>431</v>
      </c>
      <c r="C143" s="847">
        <v>0.121</v>
      </c>
      <c r="D143" s="847">
        <v>0.121</v>
      </c>
      <c r="E143" s="847">
        <v>0.108</v>
      </c>
      <c r="F143" s="852"/>
    </row>
    <row r="144" spans="1:6" ht="14.25" thickBot="1">
      <c r="A144" s="717" t="s">
        <v>70</v>
      </c>
      <c r="B144" s="855" t="s">
        <v>811</v>
      </c>
      <c r="C144" s="856">
        <v>0.126</v>
      </c>
      <c r="D144" s="856">
        <v>0.126</v>
      </c>
      <c r="E144" s="856">
        <v>0.121</v>
      </c>
      <c r="F144" s="852"/>
    </row>
    <row r="145" spans="1:6" ht="14.25" thickBot="1">
      <c r="A145" s="734" t="s">
        <v>70</v>
      </c>
      <c r="B145" s="857" t="s">
        <v>812</v>
      </c>
      <c r="C145" s="858"/>
      <c r="D145" s="858"/>
      <c r="E145" s="858"/>
      <c r="F145" s="859">
        <v>0.05</v>
      </c>
    </row>
    <row r="146" spans="1:6" ht="24.75" thickBot="1">
      <c r="A146" s="860" t="s">
        <v>70</v>
      </c>
      <c r="B146" s="725" t="s">
        <v>813</v>
      </c>
      <c r="C146" s="853"/>
      <c r="D146" s="853"/>
      <c r="E146" s="853"/>
      <c r="F146" s="861">
        <v>0.05</v>
      </c>
    </row>
    <row r="147" spans="1:6" ht="24.75" thickBot="1">
      <c r="A147" s="717" t="s">
        <v>70</v>
      </c>
      <c r="B147" s="711" t="s">
        <v>814</v>
      </c>
      <c r="C147" s="853"/>
      <c r="D147" s="853"/>
      <c r="E147" s="853"/>
      <c r="F147" s="848">
        <v>0.05</v>
      </c>
    </row>
    <row r="148" spans="1:6" ht="24.75" thickBot="1">
      <c r="A148" s="717" t="s">
        <v>70</v>
      </c>
      <c r="B148" s="711" t="s">
        <v>815</v>
      </c>
      <c r="C148" s="853"/>
      <c r="D148" s="853"/>
      <c r="E148" s="853"/>
      <c r="F148" s="848">
        <v>0.05</v>
      </c>
    </row>
    <row r="149" spans="1:6" ht="24.75" thickBot="1">
      <c r="A149" s="717" t="s">
        <v>70</v>
      </c>
      <c r="B149" s="711" t="s">
        <v>816</v>
      </c>
      <c r="C149" s="853"/>
      <c r="D149" s="853"/>
      <c r="E149" s="853"/>
      <c r="F149" s="848">
        <v>0.05</v>
      </c>
    </row>
    <row r="150" spans="1:6" ht="24.75" thickBot="1">
      <c r="A150" s="717" t="s">
        <v>70</v>
      </c>
      <c r="B150" s="711" t="s">
        <v>817</v>
      </c>
      <c r="C150" s="853"/>
      <c r="D150" s="853"/>
      <c r="E150" s="853"/>
      <c r="F150" s="848">
        <v>0.05</v>
      </c>
    </row>
    <row r="151" spans="1:6" ht="24.75" thickBot="1">
      <c r="A151" s="717" t="s">
        <v>70</v>
      </c>
      <c r="B151" s="711" t="s">
        <v>818</v>
      </c>
      <c r="C151" s="853"/>
      <c r="D151" s="853"/>
      <c r="E151" s="853"/>
      <c r="F151" s="848">
        <v>0.05</v>
      </c>
    </row>
    <row r="152" spans="1:6" ht="24.75" thickBot="1">
      <c r="A152" s="717" t="s">
        <v>70</v>
      </c>
      <c r="B152" s="711" t="s">
        <v>464</v>
      </c>
      <c r="C152" s="853"/>
      <c r="D152" s="853"/>
      <c r="E152" s="853"/>
      <c r="F152" s="848">
        <v>0.05</v>
      </c>
    </row>
    <row r="153" spans="1:6" ht="14.25" thickBot="1">
      <c r="A153" s="717" t="s">
        <v>70</v>
      </c>
      <c r="B153" s="711" t="s">
        <v>819</v>
      </c>
      <c r="C153" s="853"/>
      <c r="D153" s="853"/>
      <c r="E153" s="853"/>
      <c r="F153" s="848">
        <v>0.05</v>
      </c>
    </row>
    <row r="154" spans="1:6" ht="14.25" thickBot="1">
      <c r="A154" s="717" t="s">
        <v>70</v>
      </c>
      <c r="B154" s="711" t="s">
        <v>820</v>
      </c>
      <c r="C154" s="853"/>
      <c r="D154" s="853"/>
      <c r="E154" s="853"/>
      <c r="F154" s="848">
        <v>0.05</v>
      </c>
    </row>
    <row r="155" spans="1:6" ht="24.75" thickBot="1">
      <c r="A155" s="717" t="s">
        <v>70</v>
      </c>
      <c r="B155" s="711" t="s">
        <v>821</v>
      </c>
      <c r="C155" s="853"/>
      <c r="D155" s="853"/>
      <c r="E155" s="853"/>
      <c r="F155" s="848">
        <v>0.05</v>
      </c>
    </row>
    <row r="156" spans="1:6" ht="24.75" thickBot="1">
      <c r="A156" s="717" t="s">
        <v>70</v>
      </c>
      <c r="B156" s="711" t="s">
        <v>822</v>
      </c>
      <c r="C156" s="853"/>
      <c r="D156" s="853"/>
      <c r="E156" s="853"/>
      <c r="F156" s="848">
        <v>0.05</v>
      </c>
    </row>
    <row r="157" spans="1:6" ht="14.25" thickBot="1">
      <c r="A157" s="734" t="s">
        <v>70</v>
      </c>
      <c r="B157" s="727" t="s">
        <v>823</v>
      </c>
      <c r="C157" s="850"/>
      <c r="D157" s="850"/>
      <c r="E157" s="850"/>
      <c r="F157" s="854">
        <v>0.05</v>
      </c>
    </row>
    <row r="158" spans="1:6" ht="14.25" thickBot="1">
      <c r="A158" s="717" t="s">
        <v>483</v>
      </c>
      <c r="B158" s="718" t="s">
        <v>824</v>
      </c>
      <c r="C158" s="845">
        <v>0.13</v>
      </c>
      <c r="D158" s="845">
        <v>0.13</v>
      </c>
      <c r="E158" s="845">
        <v>0.13</v>
      </c>
      <c r="F158" s="846">
        <v>0.13</v>
      </c>
    </row>
    <row r="159" spans="1:6" ht="14.25" thickBot="1">
      <c r="A159" s="717" t="s">
        <v>483</v>
      </c>
      <c r="B159" s="711" t="s">
        <v>142</v>
      </c>
      <c r="C159" s="847">
        <v>0.13</v>
      </c>
      <c r="D159" s="847">
        <v>0.13</v>
      </c>
      <c r="E159" s="847">
        <v>0.13</v>
      </c>
      <c r="F159" s="848">
        <v>0.13</v>
      </c>
    </row>
    <row r="160" spans="1:6" ht="14.25" thickBot="1">
      <c r="A160" s="717" t="s">
        <v>483</v>
      </c>
      <c r="B160" s="711" t="s">
        <v>155</v>
      </c>
      <c r="C160" s="847">
        <v>0.13</v>
      </c>
      <c r="D160" s="847">
        <v>0.13</v>
      </c>
      <c r="E160" s="847">
        <v>0.129</v>
      </c>
      <c r="F160" s="848">
        <v>0.13</v>
      </c>
    </row>
    <row r="161" spans="1:6" ht="14.25" thickBot="1">
      <c r="A161" s="717" t="s">
        <v>483</v>
      </c>
      <c r="B161" s="711" t="s">
        <v>168</v>
      </c>
      <c r="C161" s="847">
        <v>0.128</v>
      </c>
      <c r="D161" s="847">
        <v>0.128</v>
      </c>
      <c r="E161" s="847">
        <v>0.125</v>
      </c>
      <c r="F161" s="848">
        <v>0.13</v>
      </c>
    </row>
    <row r="162" spans="1:6" ht="14.25" thickBot="1">
      <c r="A162" s="717" t="s">
        <v>483</v>
      </c>
      <c r="B162" s="711" t="s">
        <v>180</v>
      </c>
      <c r="C162" s="847">
        <v>0.122</v>
      </c>
      <c r="D162" s="847">
        <v>0.122</v>
      </c>
      <c r="E162" s="847">
        <v>0.126</v>
      </c>
      <c r="F162" s="848">
        <v>0.122</v>
      </c>
    </row>
    <row r="163" spans="1:6" ht="14.25" thickBot="1">
      <c r="A163" s="717" t="s">
        <v>483</v>
      </c>
      <c r="B163" s="711" t="s">
        <v>192</v>
      </c>
      <c r="C163" s="847">
        <v>0.13</v>
      </c>
      <c r="D163" s="847">
        <v>0.13</v>
      </c>
      <c r="E163" s="847">
        <v>0.125</v>
      </c>
      <c r="F163" s="848">
        <v>0.13</v>
      </c>
    </row>
    <row r="164" spans="1:6" ht="14.25" thickBot="1">
      <c r="A164" s="717" t="s">
        <v>483</v>
      </c>
      <c r="B164" s="711" t="s">
        <v>204</v>
      </c>
      <c r="C164" s="847">
        <v>0.13</v>
      </c>
      <c r="D164" s="847">
        <v>0.13</v>
      </c>
      <c r="E164" s="847">
        <v>0.13</v>
      </c>
      <c r="F164" s="848">
        <v>0.13</v>
      </c>
    </row>
    <row r="165" spans="1:6" ht="14.25" thickBot="1">
      <c r="A165" s="717" t="s">
        <v>483</v>
      </c>
      <c r="B165" s="711" t="s">
        <v>216</v>
      </c>
      <c r="C165" s="847">
        <v>0.13</v>
      </c>
      <c r="D165" s="847">
        <v>0.13</v>
      </c>
      <c r="E165" s="847">
        <v>0.124</v>
      </c>
      <c r="F165" s="848">
        <v>0.13</v>
      </c>
    </row>
    <row r="166" spans="1:6" ht="14.25" thickBot="1">
      <c r="A166" s="717" t="s">
        <v>483</v>
      </c>
      <c r="B166" s="711" t="s">
        <v>229</v>
      </c>
      <c r="C166" s="847">
        <v>0.13</v>
      </c>
      <c r="D166" s="847">
        <v>0.13</v>
      </c>
      <c r="E166" s="847">
        <v>0.13</v>
      </c>
      <c r="F166" s="848">
        <v>0.13</v>
      </c>
    </row>
    <row r="167" spans="1:6" ht="14.25" thickBot="1">
      <c r="A167" s="717" t="s">
        <v>483</v>
      </c>
      <c r="B167" s="711" t="s">
        <v>240</v>
      </c>
      <c r="C167" s="847">
        <v>0.125</v>
      </c>
      <c r="D167" s="847">
        <v>0.125</v>
      </c>
      <c r="E167" s="847">
        <v>0.121</v>
      </c>
      <c r="F167" s="852"/>
    </row>
    <row r="168" spans="1:6" ht="14.25" thickBot="1">
      <c r="A168" s="717" t="s">
        <v>483</v>
      </c>
      <c r="B168" s="711" t="s">
        <v>251</v>
      </c>
      <c r="C168" s="847">
        <v>0.13</v>
      </c>
      <c r="D168" s="847">
        <v>0.13</v>
      </c>
      <c r="E168" s="847">
        <v>0.126</v>
      </c>
      <c r="F168" s="852"/>
    </row>
    <row r="169" spans="1:6" ht="14.25" thickBot="1">
      <c r="A169" s="717" t="s">
        <v>483</v>
      </c>
      <c r="B169" s="711" t="s">
        <v>262</v>
      </c>
      <c r="C169" s="847">
        <v>0.128</v>
      </c>
      <c r="D169" s="847">
        <v>0.129</v>
      </c>
      <c r="E169" s="847">
        <v>0.13</v>
      </c>
      <c r="F169" s="852"/>
    </row>
    <row r="170" spans="1:6" ht="14.25" thickBot="1">
      <c r="A170" s="717" t="s">
        <v>483</v>
      </c>
      <c r="B170" s="711" t="s">
        <v>273</v>
      </c>
      <c r="C170" s="847">
        <v>0.14099999999999999</v>
      </c>
      <c r="D170" s="847">
        <v>0.13</v>
      </c>
      <c r="E170" s="847">
        <v>0.125</v>
      </c>
      <c r="F170" s="852"/>
    </row>
    <row r="171" spans="1:6" ht="14.25" thickBot="1">
      <c r="A171" s="717" t="s">
        <v>483</v>
      </c>
      <c r="B171" s="711" t="s">
        <v>825</v>
      </c>
      <c r="C171" s="847">
        <v>0.127</v>
      </c>
      <c r="D171" s="847">
        <v>0.126</v>
      </c>
      <c r="E171" s="847">
        <v>0.126</v>
      </c>
      <c r="F171" s="848">
        <v>0.11799999999999999</v>
      </c>
    </row>
    <row r="172" spans="1:6" ht="14.25" thickBot="1">
      <c r="A172" s="717" t="s">
        <v>483</v>
      </c>
      <c r="B172" s="711" t="s">
        <v>826</v>
      </c>
      <c r="C172" s="847">
        <v>0.13</v>
      </c>
      <c r="D172" s="847">
        <v>0.13</v>
      </c>
      <c r="E172" s="847">
        <v>0.13</v>
      </c>
      <c r="F172" s="852"/>
    </row>
    <row r="173" spans="1:6" ht="14.25" thickBot="1">
      <c r="A173" s="717" t="s">
        <v>483</v>
      </c>
      <c r="B173" s="711" t="s">
        <v>305</v>
      </c>
      <c r="C173" s="847">
        <v>0.13</v>
      </c>
      <c r="D173" s="847">
        <v>0.13</v>
      </c>
      <c r="E173" s="847">
        <v>0.13</v>
      </c>
      <c r="F173" s="852"/>
    </row>
    <row r="174" spans="1:6" ht="14.25" thickBot="1">
      <c r="A174" s="717" t="s">
        <v>483</v>
      </c>
      <c r="B174" s="711" t="s">
        <v>827</v>
      </c>
      <c r="C174" s="847">
        <v>0.13</v>
      </c>
      <c r="D174" s="847">
        <v>0.13</v>
      </c>
      <c r="E174" s="847">
        <v>0.13</v>
      </c>
      <c r="F174" s="848">
        <v>0.13</v>
      </c>
    </row>
    <row r="175" spans="1:6" ht="14.25" thickBot="1">
      <c r="A175" s="717" t="s">
        <v>483</v>
      </c>
      <c r="B175" s="711" t="s">
        <v>828</v>
      </c>
      <c r="C175" s="847">
        <v>0.13</v>
      </c>
      <c r="D175" s="847">
        <v>0.13</v>
      </c>
      <c r="E175" s="847">
        <v>0.13</v>
      </c>
      <c r="F175" s="848">
        <v>0.13</v>
      </c>
    </row>
    <row r="176" spans="1:6" ht="14.25" thickBot="1">
      <c r="A176" s="717" t="s">
        <v>483</v>
      </c>
      <c r="B176" s="711" t="s">
        <v>335</v>
      </c>
      <c r="C176" s="847">
        <v>0.13</v>
      </c>
      <c r="D176" s="847">
        <v>0.13</v>
      </c>
      <c r="E176" s="847">
        <v>0.13</v>
      </c>
      <c r="F176" s="848">
        <v>0.13</v>
      </c>
    </row>
    <row r="177" spans="1:6" ht="14.25" thickBot="1">
      <c r="A177" s="717" t="s">
        <v>483</v>
      </c>
      <c r="B177" s="711" t="s">
        <v>829</v>
      </c>
      <c r="C177" s="847">
        <v>0.13</v>
      </c>
      <c r="D177" s="847">
        <v>0.13</v>
      </c>
      <c r="E177" s="847">
        <v>0.13</v>
      </c>
      <c r="F177" s="848">
        <v>0.13</v>
      </c>
    </row>
    <row r="178" spans="1:6" ht="14.25" thickBot="1">
      <c r="A178" s="717" t="s">
        <v>483</v>
      </c>
      <c r="B178" s="711" t="s">
        <v>353</v>
      </c>
      <c r="C178" s="847">
        <v>0.13</v>
      </c>
      <c r="D178" s="847">
        <v>0.13</v>
      </c>
      <c r="E178" s="847">
        <v>0.13</v>
      </c>
      <c r="F178" s="848">
        <v>0.127</v>
      </c>
    </row>
    <row r="179" spans="1:6" ht="14.25" thickBot="1">
      <c r="A179" s="717" t="s">
        <v>483</v>
      </c>
      <c r="B179" s="711" t="s">
        <v>361</v>
      </c>
      <c r="C179" s="847">
        <v>0.13</v>
      </c>
      <c r="D179" s="847">
        <v>0.13</v>
      </c>
      <c r="E179" s="847">
        <v>0.13</v>
      </c>
      <c r="F179" s="852"/>
    </row>
    <row r="180" spans="1:6" ht="14.25" thickBot="1">
      <c r="A180" s="717" t="s">
        <v>483</v>
      </c>
      <c r="B180" s="711" t="s">
        <v>830</v>
      </c>
      <c r="C180" s="847">
        <v>0.13</v>
      </c>
      <c r="D180" s="847">
        <v>0.13</v>
      </c>
      <c r="E180" s="847">
        <v>0.125</v>
      </c>
      <c r="F180" s="848">
        <v>0.13</v>
      </c>
    </row>
    <row r="181" spans="1:6" ht="14.25" thickBot="1">
      <c r="A181" s="717" t="s">
        <v>483</v>
      </c>
      <c r="B181" s="711" t="s">
        <v>375</v>
      </c>
      <c r="C181" s="847">
        <v>0.122</v>
      </c>
      <c r="D181" s="847">
        <v>0.123</v>
      </c>
      <c r="E181" s="847">
        <v>0.126</v>
      </c>
      <c r="F181" s="848">
        <v>0.121</v>
      </c>
    </row>
    <row r="182" spans="1:6" ht="14.25" thickBot="1">
      <c r="A182" s="717" t="s">
        <v>483</v>
      </c>
      <c r="B182" s="711" t="s">
        <v>382</v>
      </c>
      <c r="C182" s="847">
        <v>0.125</v>
      </c>
      <c r="D182" s="847">
        <v>0.125</v>
      </c>
      <c r="E182" s="847">
        <v>0.11700000000000001</v>
      </c>
      <c r="F182" s="848">
        <v>0.13</v>
      </c>
    </row>
    <row r="183" spans="1:6" ht="14.25" thickBot="1">
      <c r="A183" s="717" t="s">
        <v>483</v>
      </c>
      <c r="B183" s="711" t="s">
        <v>389</v>
      </c>
      <c r="C183" s="847">
        <v>0.127</v>
      </c>
      <c r="D183" s="847">
        <v>0.127</v>
      </c>
      <c r="E183" s="847">
        <v>0.128</v>
      </c>
      <c r="F183" s="852"/>
    </row>
    <row r="184" spans="1:6" ht="14.25" thickBot="1">
      <c r="A184" s="717" t="s">
        <v>483</v>
      </c>
      <c r="B184" s="711" t="s">
        <v>396</v>
      </c>
      <c r="C184" s="847">
        <v>0.125</v>
      </c>
      <c r="D184" s="847">
        <v>0.125</v>
      </c>
      <c r="E184" s="847">
        <v>0.127</v>
      </c>
      <c r="F184" s="852"/>
    </row>
    <row r="185" spans="1:6" ht="14.25" thickBot="1">
      <c r="A185" s="717" t="s">
        <v>483</v>
      </c>
      <c r="B185" s="711" t="s">
        <v>831</v>
      </c>
      <c r="C185" s="847">
        <v>0.127</v>
      </c>
      <c r="D185" s="847">
        <v>0.127</v>
      </c>
      <c r="E185" s="847">
        <v>0.128</v>
      </c>
      <c r="F185" s="848">
        <v>0.13</v>
      </c>
    </row>
    <row r="186" spans="1:6" ht="24.75" thickBot="1">
      <c r="A186" s="717" t="s">
        <v>483</v>
      </c>
      <c r="B186" s="711" t="s">
        <v>832</v>
      </c>
      <c r="C186" s="853"/>
      <c r="D186" s="853"/>
      <c r="E186" s="853"/>
      <c r="F186" s="848">
        <v>0.05</v>
      </c>
    </row>
    <row r="187" spans="1:6" ht="14.25" thickBot="1">
      <c r="A187" s="717" t="s">
        <v>483</v>
      </c>
      <c r="B187" s="711" t="s">
        <v>833</v>
      </c>
      <c r="C187" s="853"/>
      <c r="D187" s="853"/>
      <c r="E187" s="853"/>
      <c r="F187" s="848">
        <v>0.05</v>
      </c>
    </row>
    <row r="188" spans="1:6" ht="14.25" thickBot="1">
      <c r="A188" s="717" t="s">
        <v>483</v>
      </c>
      <c r="B188" s="711" t="s">
        <v>834</v>
      </c>
      <c r="C188" s="853"/>
      <c r="D188" s="853"/>
      <c r="E188" s="853"/>
      <c r="F188" s="848">
        <v>0.05</v>
      </c>
    </row>
    <row r="189" spans="1:6" ht="24.75" thickBot="1">
      <c r="A189" s="717" t="s">
        <v>483</v>
      </c>
      <c r="B189" s="711" t="s">
        <v>835</v>
      </c>
      <c r="C189" s="853"/>
      <c r="D189" s="853"/>
      <c r="E189" s="853"/>
      <c r="F189" s="848">
        <v>0.05</v>
      </c>
    </row>
    <row r="190" spans="1:6" ht="24.75" thickBot="1">
      <c r="A190" s="717" t="s">
        <v>483</v>
      </c>
      <c r="B190" s="711" t="s">
        <v>836</v>
      </c>
      <c r="C190" s="853"/>
      <c r="D190" s="853"/>
      <c r="E190" s="853"/>
      <c r="F190" s="848">
        <v>0.05</v>
      </c>
    </row>
    <row r="191" spans="1:6" ht="24.75" thickBot="1">
      <c r="A191" s="717" t="s">
        <v>483</v>
      </c>
      <c r="B191" s="711" t="s">
        <v>837</v>
      </c>
      <c r="C191" s="853"/>
      <c r="D191" s="853"/>
      <c r="E191" s="853"/>
      <c r="F191" s="848">
        <v>0.05</v>
      </c>
    </row>
    <row r="192" spans="1:6" ht="24.75" thickBot="1">
      <c r="A192" s="717" t="s">
        <v>483</v>
      </c>
      <c r="B192" s="711" t="s">
        <v>838</v>
      </c>
      <c r="C192" s="853"/>
      <c r="D192" s="853"/>
      <c r="E192" s="853"/>
      <c r="F192" s="848">
        <v>0.05</v>
      </c>
    </row>
    <row r="193" spans="1:6" ht="24.75" thickBot="1">
      <c r="A193" s="717" t="s">
        <v>483</v>
      </c>
      <c r="B193" s="711" t="s">
        <v>839</v>
      </c>
      <c r="C193" s="853"/>
      <c r="D193" s="853"/>
      <c r="E193" s="853"/>
      <c r="F193" s="848">
        <v>0.05</v>
      </c>
    </row>
    <row r="194" spans="1:6" ht="24.75" thickBot="1">
      <c r="A194" s="717" t="s">
        <v>483</v>
      </c>
      <c r="B194" s="711" t="s">
        <v>840</v>
      </c>
      <c r="C194" s="853"/>
      <c r="D194" s="853"/>
      <c r="E194" s="853"/>
      <c r="F194" s="848">
        <v>0.05</v>
      </c>
    </row>
    <row r="195" spans="1:6" ht="14.25" thickBot="1">
      <c r="A195" s="717" t="s">
        <v>483</v>
      </c>
      <c r="B195" s="711" t="s">
        <v>841</v>
      </c>
      <c r="C195" s="853"/>
      <c r="D195" s="853"/>
      <c r="E195" s="853"/>
      <c r="F195" s="848">
        <v>0.05</v>
      </c>
    </row>
    <row r="196" spans="1:6" ht="24.75" thickBot="1">
      <c r="A196" s="717" t="s">
        <v>483</v>
      </c>
      <c r="B196" s="711" t="s">
        <v>842</v>
      </c>
      <c r="C196" s="853"/>
      <c r="D196" s="853"/>
      <c r="E196" s="853"/>
      <c r="F196" s="848">
        <v>0.05</v>
      </c>
    </row>
    <row r="197" spans="1:6" ht="24.75" thickBot="1">
      <c r="A197" s="717" t="s">
        <v>483</v>
      </c>
      <c r="B197" s="711" t="s">
        <v>843</v>
      </c>
      <c r="C197" s="853"/>
      <c r="D197" s="853"/>
      <c r="E197" s="853"/>
      <c r="F197" s="848">
        <v>0.05</v>
      </c>
    </row>
    <row r="198" spans="1:6" ht="24.75" thickBot="1">
      <c r="A198" s="717" t="s">
        <v>483</v>
      </c>
      <c r="B198" s="711" t="s">
        <v>844</v>
      </c>
      <c r="C198" s="853"/>
      <c r="D198" s="853"/>
      <c r="E198" s="853"/>
      <c r="F198" s="848">
        <v>0.05</v>
      </c>
    </row>
    <row r="199" spans="1:6" ht="24.75" thickBot="1">
      <c r="A199" s="717" t="s">
        <v>483</v>
      </c>
      <c r="B199" s="711" t="s">
        <v>845</v>
      </c>
      <c r="C199" s="853"/>
      <c r="D199" s="853"/>
      <c r="E199" s="853"/>
      <c r="F199" s="848">
        <v>0.05</v>
      </c>
    </row>
    <row r="200" spans="1:6" ht="24.75" thickBot="1">
      <c r="A200" s="717" t="s">
        <v>483</v>
      </c>
      <c r="B200" s="711" t="s">
        <v>846</v>
      </c>
      <c r="C200" s="853"/>
      <c r="D200" s="853"/>
      <c r="E200" s="853"/>
      <c r="F200" s="848">
        <v>0.05</v>
      </c>
    </row>
    <row r="201" spans="1:6" ht="24.75" thickBot="1">
      <c r="A201" s="717" t="s">
        <v>483</v>
      </c>
      <c r="B201" s="711" t="s">
        <v>847</v>
      </c>
      <c r="C201" s="853"/>
      <c r="D201" s="853"/>
      <c r="E201" s="853"/>
      <c r="F201" s="848">
        <v>0.05</v>
      </c>
    </row>
    <row r="202" spans="1:6" ht="24.75" thickBot="1">
      <c r="A202" s="717" t="s">
        <v>483</v>
      </c>
      <c r="B202" s="711" t="s">
        <v>848</v>
      </c>
      <c r="C202" s="853"/>
      <c r="D202" s="853"/>
      <c r="E202" s="853"/>
      <c r="F202" s="848">
        <v>0.05</v>
      </c>
    </row>
    <row r="203" spans="1:6" ht="24.75" thickBot="1">
      <c r="A203" s="717" t="s">
        <v>483</v>
      </c>
      <c r="B203" s="711" t="s">
        <v>849</v>
      </c>
      <c r="C203" s="853"/>
      <c r="D203" s="853"/>
      <c r="E203" s="853"/>
      <c r="F203" s="848">
        <v>0.05</v>
      </c>
    </row>
    <row r="204" spans="1:6" ht="14.25" thickBot="1">
      <c r="A204" s="717" t="s">
        <v>483</v>
      </c>
      <c r="B204" s="711" t="s">
        <v>850</v>
      </c>
      <c r="C204" s="853"/>
      <c r="D204" s="853"/>
      <c r="E204" s="853"/>
      <c r="F204" s="848">
        <v>0.05</v>
      </c>
    </row>
    <row r="205" spans="1:6" ht="14.25" thickBot="1">
      <c r="A205" s="734" t="s">
        <v>483</v>
      </c>
      <c r="B205" s="727" t="s">
        <v>851</v>
      </c>
      <c r="C205" s="850"/>
      <c r="D205" s="850"/>
      <c r="E205" s="850"/>
      <c r="F205" s="854">
        <v>0.05</v>
      </c>
    </row>
    <row r="206" spans="1:6" ht="14.25" thickBot="1">
      <c r="A206" s="717" t="s">
        <v>485</v>
      </c>
      <c r="B206" s="718" t="s">
        <v>852</v>
      </c>
      <c r="C206" s="845">
        <v>0.15</v>
      </c>
      <c r="D206" s="845">
        <v>0.15</v>
      </c>
      <c r="E206" s="845">
        <v>0.15</v>
      </c>
      <c r="F206" s="846">
        <v>0.15</v>
      </c>
    </row>
    <row r="207" spans="1:6" ht="14.25" thickBot="1">
      <c r="A207" s="717" t="s">
        <v>485</v>
      </c>
      <c r="B207" s="711" t="s">
        <v>143</v>
      </c>
      <c r="C207" s="847">
        <v>0.15</v>
      </c>
      <c r="D207" s="847">
        <v>0.15</v>
      </c>
      <c r="E207" s="847">
        <v>0.15</v>
      </c>
      <c r="F207" s="848">
        <v>0.14399999999999999</v>
      </c>
    </row>
    <row r="208" spans="1:6" ht="14.25" thickBot="1">
      <c r="A208" s="717" t="s">
        <v>485</v>
      </c>
      <c r="B208" s="711" t="s">
        <v>156</v>
      </c>
      <c r="C208" s="847">
        <v>0.15</v>
      </c>
      <c r="D208" s="847">
        <v>0.15</v>
      </c>
      <c r="E208" s="847">
        <v>0.15</v>
      </c>
      <c r="F208" s="848">
        <v>0.15</v>
      </c>
    </row>
    <row r="209" spans="1:6" ht="14.25" thickBot="1">
      <c r="A209" s="717" t="s">
        <v>485</v>
      </c>
      <c r="B209" s="711" t="s">
        <v>169</v>
      </c>
      <c r="C209" s="847">
        <v>0.13700000000000001</v>
      </c>
      <c r="D209" s="847">
        <v>0.13700000000000001</v>
      </c>
      <c r="E209" s="847">
        <v>0.14000000000000001</v>
      </c>
      <c r="F209" s="848">
        <v>0.11700000000000001</v>
      </c>
    </row>
    <row r="210" spans="1:6" ht="14.25" thickBot="1">
      <c r="A210" s="717" t="s">
        <v>485</v>
      </c>
      <c r="B210" s="711" t="s">
        <v>853</v>
      </c>
      <c r="C210" s="847">
        <v>0.15</v>
      </c>
      <c r="D210" s="847">
        <v>0.15</v>
      </c>
      <c r="E210" s="847">
        <v>0.15</v>
      </c>
      <c r="F210" s="848">
        <v>0.13800000000000001</v>
      </c>
    </row>
    <row r="211" spans="1:6" ht="14.25" thickBot="1">
      <c r="A211" s="717" t="s">
        <v>485</v>
      </c>
      <c r="B211" s="711" t="s">
        <v>854</v>
      </c>
      <c r="C211" s="847">
        <v>0.13700000000000001</v>
      </c>
      <c r="D211" s="847">
        <v>0.13500000000000001</v>
      </c>
      <c r="E211" s="847">
        <v>0.13600000000000001</v>
      </c>
      <c r="F211" s="848">
        <v>0.1</v>
      </c>
    </row>
    <row r="212" spans="1:6" ht="14.25" thickBot="1">
      <c r="A212" s="717" t="s">
        <v>485</v>
      </c>
      <c r="B212" s="711" t="s">
        <v>855</v>
      </c>
      <c r="C212" s="847">
        <v>0.15</v>
      </c>
      <c r="D212" s="847">
        <v>0.15</v>
      </c>
      <c r="E212" s="847">
        <v>0.14799999999999999</v>
      </c>
      <c r="F212" s="848">
        <v>0.13600000000000001</v>
      </c>
    </row>
    <row r="213" spans="1:6" ht="14.25" thickBot="1">
      <c r="A213" s="717" t="s">
        <v>485</v>
      </c>
      <c r="B213" s="711" t="s">
        <v>217</v>
      </c>
      <c r="C213" s="847">
        <v>0.15</v>
      </c>
      <c r="D213" s="847">
        <v>0.15</v>
      </c>
      <c r="E213" s="847">
        <v>0.15</v>
      </c>
      <c r="F213" s="848">
        <v>0.13800000000000001</v>
      </c>
    </row>
    <row r="214" spans="1:6" ht="14.25" thickBot="1">
      <c r="A214" s="717" t="s">
        <v>485</v>
      </c>
      <c r="B214" s="711" t="s">
        <v>230</v>
      </c>
      <c r="C214" s="847">
        <v>9.0999999999999998E-2</v>
      </c>
      <c r="D214" s="847">
        <v>0.09</v>
      </c>
      <c r="E214" s="847">
        <v>9.1999999999999998E-2</v>
      </c>
      <c r="F214" s="852"/>
    </row>
    <row r="215" spans="1:6" ht="14.25" thickBot="1">
      <c r="A215" s="717" t="s">
        <v>485</v>
      </c>
      <c r="B215" s="711" t="s">
        <v>856</v>
      </c>
      <c r="C215" s="847">
        <v>0.15</v>
      </c>
      <c r="D215" s="847">
        <v>0.15</v>
      </c>
      <c r="E215" s="847">
        <v>0.15</v>
      </c>
      <c r="F215" s="848">
        <v>0.15</v>
      </c>
    </row>
    <row r="216" spans="1:6" ht="14.25" thickBot="1">
      <c r="A216" s="717" t="s">
        <v>485</v>
      </c>
      <c r="B216" s="711" t="s">
        <v>252</v>
      </c>
      <c r="C216" s="847">
        <v>0.14699999999999999</v>
      </c>
      <c r="D216" s="847">
        <v>0.14699999999999999</v>
      </c>
      <c r="E216" s="847">
        <v>0.15</v>
      </c>
      <c r="F216" s="848">
        <v>0.14000000000000001</v>
      </c>
    </row>
    <row r="217" spans="1:6" ht="14.25" thickBot="1">
      <c r="A217" s="717" t="s">
        <v>485</v>
      </c>
      <c r="B217" s="711" t="s">
        <v>263</v>
      </c>
      <c r="C217" s="847">
        <v>0.15</v>
      </c>
      <c r="D217" s="847">
        <v>0.15</v>
      </c>
      <c r="E217" s="847">
        <v>0.15</v>
      </c>
      <c r="F217" s="848">
        <v>0.15</v>
      </c>
    </row>
    <row r="218" spans="1:6" ht="14.25" thickBot="1">
      <c r="A218" s="717" t="s">
        <v>485</v>
      </c>
      <c r="B218" s="711" t="s">
        <v>857</v>
      </c>
      <c r="C218" s="847">
        <v>0.15</v>
      </c>
      <c r="D218" s="847">
        <v>0.15</v>
      </c>
      <c r="E218" s="847">
        <v>0.15</v>
      </c>
      <c r="F218" s="848">
        <v>0.15</v>
      </c>
    </row>
    <row r="219" spans="1:6" ht="14.25" thickBot="1">
      <c r="A219" s="717" t="s">
        <v>485</v>
      </c>
      <c r="B219" s="711" t="s">
        <v>285</v>
      </c>
      <c r="C219" s="847">
        <v>0.15</v>
      </c>
      <c r="D219" s="847">
        <v>0.15</v>
      </c>
      <c r="E219" s="847">
        <v>0.15</v>
      </c>
      <c r="F219" s="848">
        <v>0.14799999999999999</v>
      </c>
    </row>
    <row r="220" spans="1:6" ht="14.25" thickBot="1">
      <c r="A220" s="717" t="s">
        <v>485</v>
      </c>
      <c r="B220" s="711" t="s">
        <v>858</v>
      </c>
      <c r="C220" s="847">
        <v>0.15</v>
      </c>
      <c r="D220" s="847">
        <v>0.15</v>
      </c>
      <c r="E220" s="847">
        <v>0.15</v>
      </c>
      <c r="F220" s="848">
        <v>0.15</v>
      </c>
    </row>
    <row r="221" spans="1:6" ht="14.25" thickBot="1">
      <c r="A221" s="717" t="s">
        <v>485</v>
      </c>
      <c r="B221" s="711" t="s">
        <v>306</v>
      </c>
      <c r="C221" s="847"/>
      <c r="D221" s="853"/>
      <c r="E221" s="853"/>
      <c r="F221" s="848">
        <v>0.14799999999999999</v>
      </c>
    </row>
    <row r="222" spans="1:6" ht="14.25" thickBot="1">
      <c r="A222" s="717" t="s">
        <v>485</v>
      </c>
      <c r="B222" s="711" t="s">
        <v>316</v>
      </c>
      <c r="C222" s="847"/>
      <c r="D222" s="853"/>
      <c r="E222" s="853"/>
      <c r="F222" s="848">
        <v>0.1</v>
      </c>
    </row>
    <row r="223" spans="1:6" ht="14.25" thickBot="1">
      <c r="A223" s="717" t="s">
        <v>485</v>
      </c>
      <c r="B223" s="711" t="s">
        <v>326</v>
      </c>
      <c r="C223" s="847"/>
      <c r="D223" s="853"/>
      <c r="E223" s="853"/>
      <c r="F223" s="848">
        <v>0.15</v>
      </c>
    </row>
    <row r="224" spans="1:6" ht="14.25" thickBot="1">
      <c r="A224" s="717" t="s">
        <v>485</v>
      </c>
      <c r="B224" s="711" t="s">
        <v>336</v>
      </c>
      <c r="C224" s="847"/>
      <c r="D224" s="853"/>
      <c r="E224" s="853"/>
      <c r="F224" s="848">
        <v>0.15</v>
      </c>
    </row>
    <row r="225" spans="1:6" ht="14.25" thickBot="1">
      <c r="A225" s="717" t="s">
        <v>485</v>
      </c>
      <c r="B225" s="711" t="s">
        <v>859</v>
      </c>
      <c r="C225" s="847">
        <v>0.15</v>
      </c>
      <c r="D225" s="847">
        <v>0.15</v>
      </c>
      <c r="E225" s="847">
        <v>0.15</v>
      </c>
      <c r="F225" s="848">
        <v>0.15</v>
      </c>
    </row>
    <row r="226" spans="1:6" ht="14.25" thickBot="1">
      <c r="A226" s="717" t="s">
        <v>485</v>
      </c>
      <c r="B226" s="711" t="s">
        <v>354</v>
      </c>
      <c r="C226" s="847">
        <v>0.15</v>
      </c>
      <c r="D226" s="847">
        <v>0.15</v>
      </c>
      <c r="E226" s="847">
        <v>0.15</v>
      </c>
      <c r="F226" s="848">
        <v>0.14799999999999999</v>
      </c>
    </row>
    <row r="227" spans="1:6" ht="14.25" thickBot="1">
      <c r="A227" s="717" t="s">
        <v>485</v>
      </c>
      <c r="B227" s="711" t="s">
        <v>860</v>
      </c>
      <c r="C227" s="847">
        <v>0.15</v>
      </c>
      <c r="D227" s="847">
        <v>0.15</v>
      </c>
      <c r="E227" s="847">
        <v>0.15</v>
      </c>
      <c r="F227" s="848">
        <v>0.15</v>
      </c>
    </row>
    <row r="228" spans="1:6" ht="14.25" thickBot="1">
      <c r="A228" s="717" t="s">
        <v>485</v>
      </c>
      <c r="B228" s="711" t="s">
        <v>369</v>
      </c>
      <c r="C228" s="847">
        <v>0.15</v>
      </c>
      <c r="D228" s="847">
        <v>0.15</v>
      </c>
      <c r="E228" s="847">
        <v>0.15</v>
      </c>
      <c r="F228" s="848">
        <v>0.15</v>
      </c>
    </row>
    <row r="229" spans="1:6" ht="14.25" thickBot="1">
      <c r="A229" s="717" t="s">
        <v>485</v>
      </c>
      <c r="B229" s="711" t="s">
        <v>376</v>
      </c>
      <c r="C229" s="847">
        <v>0.15</v>
      </c>
      <c r="D229" s="847">
        <v>0.15</v>
      </c>
      <c r="E229" s="847">
        <v>0.15</v>
      </c>
      <c r="F229" s="852"/>
    </row>
    <row r="230" spans="1:6" ht="14.25" thickBot="1">
      <c r="A230" s="717" t="s">
        <v>485</v>
      </c>
      <c r="B230" s="711" t="s">
        <v>383</v>
      </c>
      <c r="C230" s="847">
        <v>0.14499999999999999</v>
      </c>
      <c r="D230" s="847">
        <v>0.14499999999999999</v>
      </c>
      <c r="E230" s="847">
        <v>0.14399999999999999</v>
      </c>
      <c r="F230" s="852"/>
    </row>
    <row r="231" spans="1:6" ht="14.25" thickBot="1">
      <c r="A231" s="717" t="s">
        <v>485</v>
      </c>
      <c r="B231" s="711" t="s">
        <v>861</v>
      </c>
      <c r="C231" s="847">
        <v>0.128</v>
      </c>
      <c r="D231" s="847">
        <v>0.125</v>
      </c>
      <c r="E231" s="847">
        <v>0.13200000000000001</v>
      </c>
      <c r="F231" s="852"/>
    </row>
    <row r="232" spans="1:6" ht="14.25" thickBot="1">
      <c r="A232" s="717" t="s">
        <v>485</v>
      </c>
      <c r="B232" s="711" t="s">
        <v>862</v>
      </c>
      <c r="C232" s="847">
        <v>0.14499999999999999</v>
      </c>
      <c r="D232" s="847">
        <v>0.14399999999999999</v>
      </c>
      <c r="E232" s="847">
        <v>0.14599999999999999</v>
      </c>
      <c r="F232" s="848">
        <v>0.13800000000000001</v>
      </c>
    </row>
    <row r="233" spans="1:6" ht="14.25" thickBot="1">
      <c r="A233" s="717" t="s">
        <v>485</v>
      </c>
      <c r="B233" s="711" t="s">
        <v>863</v>
      </c>
      <c r="C233" s="847">
        <v>0.14499999999999999</v>
      </c>
      <c r="D233" s="847">
        <v>0.14299999999999999</v>
      </c>
      <c r="E233" s="847">
        <v>0.14199999999999999</v>
      </c>
      <c r="F233" s="852"/>
    </row>
    <row r="234" spans="1:6" ht="14.25" thickBot="1">
      <c r="A234" s="717" t="s">
        <v>485</v>
      </c>
      <c r="B234" s="711" t="s">
        <v>864</v>
      </c>
      <c r="C234" s="847">
        <v>0.14000000000000001</v>
      </c>
      <c r="D234" s="847">
        <v>0.14000000000000001</v>
      </c>
      <c r="E234" s="847">
        <v>0.14399999999999999</v>
      </c>
      <c r="F234" s="852"/>
    </row>
    <row r="235" spans="1:6" ht="14.25" thickBot="1">
      <c r="A235" s="717" t="s">
        <v>485</v>
      </c>
      <c r="B235" s="711" t="s">
        <v>865</v>
      </c>
      <c r="C235" s="847">
        <v>0.14099999999999999</v>
      </c>
      <c r="D235" s="847">
        <v>0.14199999999999999</v>
      </c>
      <c r="E235" s="847">
        <v>0.14499999999999999</v>
      </c>
      <c r="F235" s="848">
        <v>0.15</v>
      </c>
    </row>
    <row r="236" spans="1:6" ht="14.25" thickBot="1">
      <c r="A236" s="717" t="s">
        <v>485</v>
      </c>
      <c r="B236" s="711" t="s">
        <v>418</v>
      </c>
      <c r="C236" s="853"/>
      <c r="D236" s="853"/>
      <c r="E236" s="853"/>
      <c r="F236" s="848">
        <v>0.14299999999999999</v>
      </c>
    </row>
    <row r="237" spans="1:6" ht="24.75" thickBot="1">
      <c r="A237" s="717" t="s">
        <v>485</v>
      </c>
      <c r="B237" s="711" t="s">
        <v>866</v>
      </c>
      <c r="C237" s="853"/>
      <c r="D237" s="853"/>
      <c r="E237" s="853"/>
      <c r="F237" s="848">
        <v>0.05</v>
      </c>
    </row>
    <row r="238" spans="1:6" ht="24.75" thickBot="1">
      <c r="A238" s="717" t="s">
        <v>485</v>
      </c>
      <c r="B238" s="711" t="s">
        <v>867</v>
      </c>
      <c r="C238" s="853"/>
      <c r="D238" s="853"/>
      <c r="E238" s="853"/>
      <c r="F238" s="848">
        <v>0.05</v>
      </c>
    </row>
    <row r="239" spans="1:6" ht="24.75" thickBot="1">
      <c r="A239" s="717" t="s">
        <v>485</v>
      </c>
      <c r="B239" s="711" t="s">
        <v>868</v>
      </c>
      <c r="C239" s="853"/>
      <c r="D239" s="853"/>
      <c r="E239" s="853"/>
      <c r="F239" s="848">
        <v>0.05</v>
      </c>
    </row>
    <row r="240" spans="1:6" ht="24.75" thickBot="1">
      <c r="A240" s="717" t="s">
        <v>485</v>
      </c>
      <c r="B240" s="711" t="s">
        <v>869</v>
      </c>
      <c r="C240" s="853"/>
      <c r="D240" s="853"/>
      <c r="E240" s="853"/>
      <c r="F240" s="848">
        <v>0.05</v>
      </c>
    </row>
    <row r="241" spans="1:6" ht="24.75" thickBot="1">
      <c r="A241" s="717" t="s">
        <v>485</v>
      </c>
      <c r="B241" s="711" t="s">
        <v>870</v>
      </c>
      <c r="C241" s="853"/>
      <c r="D241" s="853"/>
      <c r="E241" s="853"/>
      <c r="F241" s="848">
        <v>0.05</v>
      </c>
    </row>
    <row r="242" spans="1:6" ht="24.75" thickBot="1">
      <c r="A242" s="717" t="s">
        <v>485</v>
      </c>
      <c r="B242" s="711" t="s">
        <v>871</v>
      </c>
      <c r="C242" s="853"/>
      <c r="D242" s="853"/>
      <c r="E242" s="853"/>
      <c r="F242" s="848">
        <v>0.05</v>
      </c>
    </row>
    <row r="243" spans="1:6" ht="24.75" thickBot="1">
      <c r="A243" s="717" t="s">
        <v>485</v>
      </c>
      <c r="B243" s="711" t="s">
        <v>872</v>
      </c>
      <c r="C243" s="853"/>
      <c r="D243" s="853"/>
      <c r="E243" s="853"/>
      <c r="F243" s="848">
        <v>0.05</v>
      </c>
    </row>
    <row r="244" spans="1:6" ht="24.75" thickBot="1">
      <c r="A244" s="734" t="s">
        <v>485</v>
      </c>
      <c r="B244" s="727" t="s">
        <v>873</v>
      </c>
      <c r="C244" s="850"/>
      <c r="D244" s="850"/>
      <c r="E244" s="850"/>
      <c r="F244" s="854">
        <v>0.05</v>
      </c>
    </row>
    <row r="245" spans="1:6" ht="14.25" thickBot="1">
      <c r="A245" s="717" t="s">
        <v>487</v>
      </c>
      <c r="B245" s="718" t="s">
        <v>874</v>
      </c>
      <c r="C245" s="845">
        <v>0.15</v>
      </c>
      <c r="D245" s="845">
        <v>0.15</v>
      </c>
      <c r="E245" s="845">
        <v>0.15</v>
      </c>
      <c r="F245" s="846">
        <v>0.14299999999999999</v>
      </c>
    </row>
    <row r="246" spans="1:6" ht="14.25" thickBot="1">
      <c r="A246" s="717" t="s">
        <v>487</v>
      </c>
      <c r="B246" s="711" t="s">
        <v>144</v>
      </c>
      <c r="C246" s="847">
        <v>0.15</v>
      </c>
      <c r="D246" s="847">
        <v>0.15</v>
      </c>
      <c r="E246" s="847">
        <v>0.15</v>
      </c>
      <c r="F246" s="848">
        <v>0.114</v>
      </c>
    </row>
    <row r="247" spans="1:6" ht="14.25" thickBot="1">
      <c r="A247" s="717" t="s">
        <v>487</v>
      </c>
      <c r="B247" s="711" t="s">
        <v>875</v>
      </c>
      <c r="C247" s="847">
        <v>0.15</v>
      </c>
      <c r="D247" s="847">
        <v>0.15</v>
      </c>
      <c r="E247" s="847">
        <v>0.15</v>
      </c>
      <c r="F247" s="848">
        <v>0.15</v>
      </c>
    </row>
    <row r="248" spans="1:6" ht="14.25" thickBot="1">
      <c r="A248" s="717" t="s">
        <v>487</v>
      </c>
      <c r="B248" s="711" t="s">
        <v>876</v>
      </c>
      <c r="C248" s="847">
        <v>0.15</v>
      </c>
      <c r="D248" s="847">
        <v>0.15</v>
      </c>
      <c r="E248" s="847">
        <v>0.15</v>
      </c>
      <c r="F248" s="848">
        <v>0.14000000000000001</v>
      </c>
    </row>
    <row r="249" spans="1:6" ht="14.25" thickBot="1">
      <c r="A249" s="717" t="s">
        <v>487</v>
      </c>
      <c r="B249" s="711" t="s">
        <v>877</v>
      </c>
      <c r="C249" s="847">
        <v>0.15</v>
      </c>
      <c r="D249" s="847">
        <v>0.14899999999999999</v>
      </c>
      <c r="E249" s="847">
        <v>0.15</v>
      </c>
      <c r="F249" s="848">
        <v>0.1</v>
      </c>
    </row>
    <row r="250" spans="1:6" ht="14.25" thickBot="1">
      <c r="A250" s="717" t="s">
        <v>487</v>
      </c>
      <c r="B250" s="711" t="s">
        <v>878</v>
      </c>
      <c r="C250" s="847">
        <v>0.15</v>
      </c>
      <c r="D250" s="847">
        <v>0.15</v>
      </c>
      <c r="E250" s="847">
        <v>0.15</v>
      </c>
      <c r="F250" s="848">
        <v>0.14399999999999999</v>
      </c>
    </row>
    <row r="251" spans="1:6" ht="14.25" thickBot="1">
      <c r="A251" s="717" t="s">
        <v>487</v>
      </c>
      <c r="B251" s="711" t="s">
        <v>206</v>
      </c>
      <c r="C251" s="847">
        <v>0.15</v>
      </c>
      <c r="D251" s="847">
        <v>0.15</v>
      </c>
      <c r="E251" s="847">
        <v>0.15</v>
      </c>
      <c r="F251" s="848">
        <v>0.14299999999999999</v>
      </c>
    </row>
    <row r="252" spans="1:6" ht="14.25" thickBot="1">
      <c r="A252" s="717" t="s">
        <v>487</v>
      </c>
      <c r="B252" s="711" t="s">
        <v>218</v>
      </c>
      <c r="C252" s="847">
        <v>0.15</v>
      </c>
      <c r="D252" s="847">
        <v>0.15</v>
      </c>
      <c r="E252" s="847">
        <v>0.15</v>
      </c>
      <c r="F252" s="848">
        <v>0.1</v>
      </c>
    </row>
    <row r="253" spans="1:6" ht="14.25" thickBot="1">
      <c r="A253" s="717" t="s">
        <v>487</v>
      </c>
      <c r="B253" s="711" t="s">
        <v>231</v>
      </c>
      <c r="C253" s="847">
        <v>0.15</v>
      </c>
      <c r="D253" s="847">
        <v>0.15</v>
      </c>
      <c r="E253" s="847">
        <v>0.15</v>
      </c>
      <c r="F253" s="848">
        <v>0.1</v>
      </c>
    </row>
    <row r="254" spans="1:6" ht="14.25" thickBot="1">
      <c r="A254" s="717" t="s">
        <v>487</v>
      </c>
      <c r="B254" s="711" t="s">
        <v>242</v>
      </c>
      <c r="C254" s="853"/>
      <c r="D254" s="853"/>
      <c r="E254" s="853"/>
      <c r="F254" s="848">
        <v>0.15</v>
      </c>
    </row>
    <row r="255" spans="1:6" ht="14.25" thickBot="1">
      <c r="A255" s="717" t="s">
        <v>487</v>
      </c>
      <c r="B255" s="711" t="s">
        <v>253</v>
      </c>
      <c r="C255" s="853"/>
      <c r="D255" s="853"/>
      <c r="E255" s="853"/>
      <c r="F255" s="848">
        <v>0.14299999999999999</v>
      </c>
    </row>
    <row r="256" spans="1:6" ht="14.25" thickBot="1">
      <c r="A256" s="717" t="s">
        <v>487</v>
      </c>
      <c r="B256" s="711" t="s">
        <v>879</v>
      </c>
      <c r="C256" s="847">
        <v>0.14599999999999999</v>
      </c>
      <c r="D256" s="847">
        <v>0.14699999999999999</v>
      </c>
      <c r="E256" s="847">
        <v>0.15</v>
      </c>
      <c r="F256" s="848">
        <v>0.13200000000000001</v>
      </c>
    </row>
    <row r="257" spans="1:6" ht="14.25" thickBot="1">
      <c r="A257" s="717" t="s">
        <v>487</v>
      </c>
      <c r="B257" s="711" t="s">
        <v>275</v>
      </c>
      <c r="C257" s="847">
        <v>0.15</v>
      </c>
      <c r="D257" s="847">
        <v>0.15</v>
      </c>
      <c r="E257" s="847">
        <v>0.15</v>
      </c>
      <c r="F257" s="848">
        <v>0.13900000000000001</v>
      </c>
    </row>
    <row r="258" spans="1:6" ht="14.25" thickBot="1">
      <c r="A258" s="717" t="s">
        <v>487</v>
      </c>
      <c r="B258" s="711" t="s">
        <v>286</v>
      </c>
      <c r="C258" s="847">
        <v>0.15</v>
      </c>
      <c r="D258" s="847">
        <v>0.15</v>
      </c>
      <c r="E258" s="847">
        <v>0.15</v>
      </c>
      <c r="F258" s="848">
        <v>0.13</v>
      </c>
    </row>
    <row r="259" spans="1:6" ht="14.25" thickBot="1">
      <c r="A259" s="717" t="s">
        <v>487</v>
      </c>
      <c r="B259" s="711" t="s">
        <v>880</v>
      </c>
      <c r="C259" s="847">
        <v>0.14799999999999999</v>
      </c>
      <c r="D259" s="847">
        <v>0.14899999999999999</v>
      </c>
      <c r="E259" s="847">
        <v>0.15</v>
      </c>
      <c r="F259" s="848">
        <v>0.13700000000000001</v>
      </c>
    </row>
    <row r="260" spans="1:6" ht="14.25" thickBot="1">
      <c r="A260" s="717" t="s">
        <v>487</v>
      </c>
      <c r="B260" s="711" t="s">
        <v>307</v>
      </c>
      <c r="C260" s="847">
        <v>0.15</v>
      </c>
      <c r="D260" s="847">
        <v>0.15</v>
      </c>
      <c r="E260" s="847">
        <v>0.15</v>
      </c>
      <c r="F260" s="848">
        <v>0.14199999999999999</v>
      </c>
    </row>
    <row r="261" spans="1:6" ht="14.25" thickBot="1">
      <c r="A261" s="717" t="s">
        <v>487</v>
      </c>
      <c r="B261" s="711" t="s">
        <v>317</v>
      </c>
      <c r="C261" s="847">
        <v>0.15</v>
      </c>
      <c r="D261" s="847">
        <v>0.15</v>
      </c>
      <c r="E261" s="847">
        <v>0.14899999999999999</v>
      </c>
      <c r="F261" s="848">
        <v>0.14799999999999999</v>
      </c>
    </row>
    <row r="262" spans="1:6" ht="14.25" thickBot="1">
      <c r="A262" s="717" t="s">
        <v>487</v>
      </c>
      <c r="B262" s="711" t="s">
        <v>327</v>
      </c>
      <c r="C262" s="847">
        <v>0.15</v>
      </c>
      <c r="D262" s="847">
        <v>0.15</v>
      </c>
      <c r="E262" s="847">
        <v>0.15</v>
      </c>
      <c r="F262" s="852"/>
    </row>
    <row r="263" spans="1:6" ht="14.25" thickBot="1">
      <c r="A263" s="717" t="s">
        <v>487</v>
      </c>
      <c r="B263" s="711" t="s">
        <v>881</v>
      </c>
      <c r="C263" s="847">
        <v>0.14899999999999999</v>
      </c>
      <c r="D263" s="847">
        <v>0.14899999999999999</v>
      </c>
      <c r="E263" s="847">
        <v>0.15</v>
      </c>
      <c r="F263" s="848">
        <v>0.13</v>
      </c>
    </row>
    <row r="264" spans="1:6" ht="14.25" thickBot="1">
      <c r="A264" s="717" t="s">
        <v>487</v>
      </c>
      <c r="B264" s="711" t="s">
        <v>346</v>
      </c>
      <c r="C264" s="847">
        <v>0.14799999999999999</v>
      </c>
      <c r="D264" s="847">
        <v>0.14699999999999999</v>
      </c>
      <c r="E264" s="847">
        <v>0.15</v>
      </c>
      <c r="F264" s="848">
        <v>7.8E-2</v>
      </c>
    </row>
    <row r="265" spans="1:6" ht="14.25" thickBot="1">
      <c r="A265" s="717" t="s">
        <v>487</v>
      </c>
      <c r="B265" s="711" t="s">
        <v>355</v>
      </c>
      <c r="C265" s="847">
        <v>0.15</v>
      </c>
      <c r="D265" s="847">
        <v>0.15</v>
      </c>
      <c r="E265" s="847">
        <v>0.15</v>
      </c>
      <c r="F265" s="848">
        <v>7.3999999999999996E-2</v>
      </c>
    </row>
    <row r="266" spans="1:6" ht="14.25" thickBot="1">
      <c r="A266" s="717" t="s">
        <v>487</v>
      </c>
      <c r="B266" s="711" t="s">
        <v>363</v>
      </c>
      <c r="C266" s="847">
        <v>0.14699999999999999</v>
      </c>
      <c r="D266" s="847">
        <v>0.14699999999999999</v>
      </c>
      <c r="E266" s="847">
        <v>0.15</v>
      </c>
      <c r="F266" s="848">
        <v>0.14299999999999999</v>
      </c>
    </row>
    <row r="267" spans="1:6" ht="14.25" thickBot="1">
      <c r="A267" s="717" t="s">
        <v>487</v>
      </c>
      <c r="B267" s="711" t="s">
        <v>370</v>
      </c>
      <c r="C267" s="847">
        <v>0.14199999999999999</v>
      </c>
      <c r="D267" s="847">
        <v>0.14299999999999999</v>
      </c>
      <c r="E267" s="847">
        <v>0.15</v>
      </c>
      <c r="F267" s="852"/>
    </row>
    <row r="268" spans="1:6" ht="14.25" thickBot="1">
      <c r="A268" s="717" t="s">
        <v>487</v>
      </c>
      <c r="B268" s="711" t="s">
        <v>882</v>
      </c>
      <c r="C268" s="847">
        <v>0.15</v>
      </c>
      <c r="D268" s="847">
        <v>0.15</v>
      </c>
      <c r="E268" s="847">
        <v>0.15</v>
      </c>
      <c r="F268" s="848">
        <v>0.13</v>
      </c>
    </row>
    <row r="269" spans="1:6" ht="14.25" thickBot="1">
      <c r="A269" s="717" t="s">
        <v>487</v>
      </c>
      <c r="B269" s="711" t="s">
        <v>384</v>
      </c>
      <c r="C269" s="847">
        <v>0.15</v>
      </c>
      <c r="D269" s="847">
        <v>0.15</v>
      </c>
      <c r="E269" s="847">
        <v>0.15</v>
      </c>
      <c r="F269" s="848">
        <v>0.14299999999999999</v>
      </c>
    </row>
    <row r="270" spans="1:6" ht="14.25" thickBot="1">
      <c r="A270" s="717" t="s">
        <v>487</v>
      </c>
      <c r="B270" s="711" t="s">
        <v>391</v>
      </c>
      <c r="C270" s="847">
        <v>0.14499999999999999</v>
      </c>
      <c r="D270" s="847">
        <v>0.14499999999999999</v>
      </c>
      <c r="E270" s="847">
        <v>0.15</v>
      </c>
      <c r="F270" s="848">
        <v>0.14699999999999999</v>
      </c>
    </row>
    <row r="271" spans="1:6" ht="14.25" thickBot="1">
      <c r="A271" s="717" t="s">
        <v>487</v>
      </c>
      <c r="B271" s="711" t="s">
        <v>398</v>
      </c>
      <c r="C271" s="847">
        <v>0.15</v>
      </c>
      <c r="D271" s="847">
        <v>0.15</v>
      </c>
      <c r="E271" s="847">
        <v>0.15</v>
      </c>
      <c r="F271" s="848">
        <v>0.13800000000000001</v>
      </c>
    </row>
    <row r="272" spans="1:6" ht="14.25" thickBot="1">
      <c r="A272" s="717" t="s">
        <v>487</v>
      </c>
      <c r="B272" s="711" t="s">
        <v>405</v>
      </c>
      <c r="C272" s="853"/>
      <c r="D272" s="853"/>
      <c r="E272" s="853"/>
      <c r="F272" s="848">
        <v>0.14000000000000001</v>
      </c>
    </row>
    <row r="273" spans="1:6" ht="14.25" thickBot="1">
      <c r="A273" s="717" t="s">
        <v>487</v>
      </c>
      <c r="B273" s="711" t="s">
        <v>883</v>
      </c>
      <c r="C273" s="847">
        <v>0.14199999999999999</v>
      </c>
      <c r="D273" s="847">
        <v>0.14299999999999999</v>
      </c>
      <c r="E273" s="847">
        <v>0.15</v>
      </c>
      <c r="F273" s="848">
        <v>0.1</v>
      </c>
    </row>
    <row r="274" spans="1:6" ht="14.25" thickBot="1">
      <c r="A274" s="717" t="s">
        <v>487</v>
      </c>
      <c r="B274" s="711" t="s">
        <v>884</v>
      </c>
      <c r="C274" s="847">
        <v>0.14799999999999999</v>
      </c>
      <c r="D274" s="847">
        <v>0.14799999999999999</v>
      </c>
      <c r="E274" s="847">
        <v>0.15</v>
      </c>
      <c r="F274" s="848">
        <v>6.7000000000000004E-2</v>
      </c>
    </row>
    <row r="275" spans="1:6" ht="14.25" thickBot="1">
      <c r="A275" s="717" t="s">
        <v>487</v>
      </c>
      <c r="B275" s="711" t="s">
        <v>885</v>
      </c>
      <c r="C275" s="847">
        <v>0.15</v>
      </c>
      <c r="D275" s="847">
        <v>0.15</v>
      </c>
      <c r="E275" s="847">
        <v>0.15</v>
      </c>
      <c r="F275" s="848">
        <v>0.15</v>
      </c>
    </row>
    <row r="276" spans="1:6" ht="14.25" thickBot="1">
      <c r="A276" s="717" t="s">
        <v>487</v>
      </c>
      <c r="B276" s="711" t="s">
        <v>886</v>
      </c>
      <c r="C276" s="847">
        <v>0.14499999999999999</v>
      </c>
      <c r="D276" s="847">
        <v>0.14299999999999999</v>
      </c>
      <c r="E276" s="847">
        <v>0.15</v>
      </c>
      <c r="F276" s="848">
        <v>5.8999999999999997E-2</v>
      </c>
    </row>
    <row r="277" spans="1:6" ht="14.25" thickBot="1">
      <c r="A277" s="717" t="s">
        <v>487</v>
      </c>
      <c r="B277" s="711" t="s">
        <v>887</v>
      </c>
      <c r="C277" s="847">
        <v>0.15</v>
      </c>
      <c r="D277" s="847">
        <v>0.15</v>
      </c>
      <c r="E277" s="847">
        <v>0.15</v>
      </c>
      <c r="F277" s="848">
        <v>0.121</v>
      </c>
    </row>
    <row r="278" spans="1:6" ht="14.25" thickBot="1">
      <c r="A278" s="717" t="s">
        <v>487</v>
      </c>
      <c r="B278" s="711" t="s">
        <v>888</v>
      </c>
      <c r="C278" s="847">
        <v>0.15</v>
      </c>
      <c r="D278" s="847">
        <v>0.15</v>
      </c>
      <c r="E278" s="847">
        <v>0.15</v>
      </c>
      <c r="F278" s="848">
        <v>0.13800000000000001</v>
      </c>
    </row>
    <row r="279" spans="1:6" ht="24.75" thickBot="1">
      <c r="A279" s="717" t="s">
        <v>487</v>
      </c>
      <c r="B279" s="711" t="s">
        <v>889</v>
      </c>
      <c r="C279" s="853"/>
      <c r="D279" s="853"/>
      <c r="E279" s="853"/>
      <c r="F279" s="848">
        <v>0.05</v>
      </c>
    </row>
    <row r="280" spans="1:6" ht="24.75" thickBot="1">
      <c r="A280" s="717" t="s">
        <v>487</v>
      </c>
      <c r="B280" s="711" t="s">
        <v>890</v>
      </c>
      <c r="C280" s="853"/>
      <c r="D280" s="853"/>
      <c r="E280" s="853"/>
      <c r="F280" s="848">
        <v>0.05</v>
      </c>
    </row>
    <row r="281" spans="1:6" ht="24.75" thickBot="1">
      <c r="A281" s="717" t="s">
        <v>487</v>
      </c>
      <c r="B281" s="711" t="s">
        <v>891</v>
      </c>
      <c r="C281" s="853"/>
      <c r="D281" s="853"/>
      <c r="E281" s="853"/>
      <c r="F281" s="848">
        <v>0.05</v>
      </c>
    </row>
    <row r="282" spans="1:6" ht="24.75" thickBot="1">
      <c r="A282" s="717" t="s">
        <v>487</v>
      </c>
      <c r="B282" s="711" t="s">
        <v>892</v>
      </c>
      <c r="C282" s="853"/>
      <c r="D282" s="853"/>
      <c r="E282" s="853"/>
      <c r="F282" s="848">
        <v>0.05</v>
      </c>
    </row>
    <row r="283" spans="1:6" ht="24.75" thickBot="1">
      <c r="A283" s="717" t="s">
        <v>487</v>
      </c>
      <c r="B283" s="711" t="s">
        <v>893</v>
      </c>
      <c r="C283" s="853"/>
      <c r="D283" s="853"/>
      <c r="E283" s="853"/>
      <c r="F283" s="848">
        <v>0.05</v>
      </c>
    </row>
    <row r="284" spans="1:6" ht="24.75" thickBot="1">
      <c r="A284" s="717" t="s">
        <v>487</v>
      </c>
      <c r="B284" s="711" t="s">
        <v>894</v>
      </c>
      <c r="C284" s="853"/>
      <c r="D284" s="853"/>
      <c r="E284" s="853"/>
      <c r="F284" s="848">
        <v>0.05</v>
      </c>
    </row>
    <row r="285" spans="1:6" ht="24.75" thickBot="1">
      <c r="A285" s="717" t="s">
        <v>487</v>
      </c>
      <c r="B285" s="711" t="s">
        <v>895</v>
      </c>
      <c r="C285" s="853"/>
      <c r="D285" s="853"/>
      <c r="E285" s="853"/>
      <c r="F285" s="848">
        <v>0.05</v>
      </c>
    </row>
    <row r="286" spans="1:6" ht="24.75" thickBot="1">
      <c r="A286" s="717" t="s">
        <v>487</v>
      </c>
      <c r="B286" s="711" t="s">
        <v>896</v>
      </c>
      <c r="C286" s="853"/>
      <c r="D286" s="853"/>
      <c r="E286" s="853"/>
      <c r="F286" s="848">
        <v>0.05</v>
      </c>
    </row>
    <row r="287" spans="1:6" ht="24.75" thickBot="1">
      <c r="A287" s="717" t="s">
        <v>487</v>
      </c>
      <c r="B287" s="711" t="s">
        <v>897</v>
      </c>
      <c r="C287" s="853"/>
      <c r="D287" s="853"/>
      <c r="E287" s="853"/>
      <c r="F287" s="848">
        <v>0.05</v>
      </c>
    </row>
    <row r="288" spans="1:6" ht="24.75" thickBot="1">
      <c r="A288" s="717" t="s">
        <v>487</v>
      </c>
      <c r="B288" s="711" t="s">
        <v>898</v>
      </c>
      <c r="C288" s="853"/>
      <c r="D288" s="853"/>
      <c r="E288" s="853"/>
      <c r="F288" s="848">
        <v>0.05</v>
      </c>
    </row>
    <row r="289" spans="1:6" ht="24.75" thickBot="1">
      <c r="A289" s="734" t="s">
        <v>487</v>
      </c>
      <c r="B289" s="727" t="s">
        <v>899</v>
      </c>
      <c r="C289" s="850"/>
      <c r="D289" s="850"/>
      <c r="E289" s="850"/>
      <c r="F289" s="854">
        <v>0.05</v>
      </c>
    </row>
    <row r="290" spans="1:6" ht="14.25" thickBot="1">
      <c r="A290" s="717" t="s">
        <v>491</v>
      </c>
      <c r="B290" s="718" t="s">
        <v>900</v>
      </c>
      <c r="C290" s="845">
        <v>0.15</v>
      </c>
      <c r="D290" s="845">
        <v>0.15</v>
      </c>
      <c r="E290" s="845">
        <v>0.15</v>
      </c>
      <c r="F290" s="862"/>
    </row>
    <row r="291" spans="1:6" ht="14.25" thickBot="1">
      <c r="A291" s="717" t="s">
        <v>491</v>
      </c>
      <c r="B291" s="711" t="s">
        <v>145</v>
      </c>
      <c r="C291" s="847">
        <v>0.15</v>
      </c>
      <c r="D291" s="847">
        <v>0.15</v>
      </c>
      <c r="E291" s="847">
        <v>0.15</v>
      </c>
      <c r="F291" s="852"/>
    </row>
    <row r="292" spans="1:6" ht="14.25" thickBot="1">
      <c r="A292" s="717" t="s">
        <v>491</v>
      </c>
      <c r="B292" s="711" t="s">
        <v>901</v>
      </c>
      <c r="C292" s="847">
        <v>0.15</v>
      </c>
      <c r="D292" s="847">
        <v>0.15</v>
      </c>
      <c r="E292" s="847">
        <v>0.15</v>
      </c>
      <c r="F292" s="848">
        <v>0.14699999999999999</v>
      </c>
    </row>
    <row r="293" spans="1:6" ht="14.25" thickBot="1">
      <c r="A293" s="717" t="s">
        <v>491</v>
      </c>
      <c r="B293" s="711" t="s">
        <v>902</v>
      </c>
      <c r="C293" s="853"/>
      <c r="D293" s="853"/>
      <c r="E293" s="853"/>
      <c r="F293" s="848">
        <v>0.1</v>
      </c>
    </row>
    <row r="294" spans="1:6" ht="14.25" thickBot="1">
      <c r="A294" s="717" t="s">
        <v>491</v>
      </c>
      <c r="B294" s="711" t="s">
        <v>903</v>
      </c>
      <c r="C294" s="847">
        <v>0.15</v>
      </c>
      <c r="D294" s="847">
        <v>0.15</v>
      </c>
      <c r="E294" s="847">
        <v>0.15</v>
      </c>
      <c r="F294" s="848">
        <v>0.15</v>
      </c>
    </row>
    <row r="295" spans="1:6" ht="14.25" thickBot="1">
      <c r="A295" s="717" t="s">
        <v>491</v>
      </c>
      <c r="B295" s="711" t="s">
        <v>183</v>
      </c>
      <c r="C295" s="847">
        <v>0.15</v>
      </c>
      <c r="D295" s="847">
        <v>0.15</v>
      </c>
      <c r="E295" s="847">
        <v>0.15</v>
      </c>
      <c r="F295" s="848">
        <v>0.15</v>
      </c>
    </row>
    <row r="296" spans="1:6" ht="14.25" thickBot="1">
      <c r="A296" s="717" t="s">
        <v>491</v>
      </c>
      <c r="B296" s="711" t="s">
        <v>904</v>
      </c>
      <c r="C296" s="847">
        <v>0.15</v>
      </c>
      <c r="D296" s="847">
        <v>0.15</v>
      </c>
      <c r="E296" s="847">
        <v>0.15</v>
      </c>
      <c r="F296" s="848">
        <v>0.15</v>
      </c>
    </row>
    <row r="297" spans="1:6" ht="14.25" thickBot="1">
      <c r="A297" s="717" t="s">
        <v>491</v>
      </c>
      <c r="B297" s="711" t="s">
        <v>905</v>
      </c>
      <c r="C297" s="847">
        <v>0.14799999999999999</v>
      </c>
      <c r="D297" s="847">
        <v>0.14899999999999999</v>
      </c>
      <c r="E297" s="847">
        <v>0.15</v>
      </c>
      <c r="F297" s="848">
        <v>0.13700000000000001</v>
      </c>
    </row>
    <row r="298" spans="1:6" ht="14.25" thickBot="1">
      <c r="A298" s="717" t="s">
        <v>491</v>
      </c>
      <c r="B298" s="711" t="s">
        <v>219</v>
      </c>
      <c r="C298" s="847">
        <v>0.13400000000000001</v>
      </c>
      <c r="D298" s="847">
        <v>0.13400000000000001</v>
      </c>
      <c r="E298" s="847">
        <v>0.14499999999999999</v>
      </c>
      <c r="F298" s="848">
        <v>0.14799999999999999</v>
      </c>
    </row>
    <row r="299" spans="1:6" ht="14.25" thickBot="1">
      <c r="A299" s="717" t="s">
        <v>491</v>
      </c>
      <c r="B299" s="711" t="s">
        <v>232</v>
      </c>
      <c r="C299" s="847">
        <v>0.15</v>
      </c>
      <c r="D299" s="847">
        <v>0.15</v>
      </c>
      <c r="E299" s="847">
        <v>0.15</v>
      </c>
      <c r="F299" s="852"/>
    </row>
    <row r="300" spans="1:6" ht="14.25" thickBot="1">
      <c r="A300" s="717" t="s">
        <v>491</v>
      </c>
      <c r="B300" s="711" t="s">
        <v>906</v>
      </c>
      <c r="C300" s="847">
        <v>0.15</v>
      </c>
      <c r="D300" s="847">
        <v>0.15</v>
      </c>
      <c r="E300" s="847">
        <v>0.15</v>
      </c>
      <c r="F300" s="848">
        <v>0.15</v>
      </c>
    </row>
    <row r="301" spans="1:6" ht="14.25" thickBot="1">
      <c r="A301" s="717" t="s">
        <v>491</v>
      </c>
      <c r="B301" s="711" t="s">
        <v>254</v>
      </c>
      <c r="C301" s="847">
        <v>0.15</v>
      </c>
      <c r="D301" s="847">
        <v>0.15</v>
      </c>
      <c r="E301" s="847">
        <v>0.15</v>
      </c>
      <c r="F301" s="852"/>
    </row>
    <row r="302" spans="1:6" ht="14.25" thickBot="1">
      <c r="A302" s="717" t="s">
        <v>491</v>
      </c>
      <c r="B302" s="711" t="s">
        <v>907</v>
      </c>
      <c r="C302" s="847">
        <v>0.15</v>
      </c>
      <c r="D302" s="847">
        <v>0.15</v>
      </c>
      <c r="E302" s="847">
        <v>0.15</v>
      </c>
      <c r="F302" s="848">
        <v>0.15</v>
      </c>
    </row>
    <row r="303" spans="1:6" ht="14.25" thickBot="1">
      <c r="A303" s="717" t="s">
        <v>491</v>
      </c>
      <c r="B303" s="711" t="s">
        <v>276</v>
      </c>
      <c r="C303" s="847">
        <v>0.15</v>
      </c>
      <c r="D303" s="847">
        <v>0.15</v>
      </c>
      <c r="E303" s="847">
        <v>0.15</v>
      </c>
      <c r="F303" s="848">
        <v>0.15</v>
      </c>
    </row>
    <row r="304" spans="1:6" ht="14.25" thickBot="1">
      <c r="A304" s="717" t="s">
        <v>491</v>
      </c>
      <c r="B304" s="711" t="s">
        <v>287</v>
      </c>
      <c r="C304" s="847">
        <v>0.15</v>
      </c>
      <c r="D304" s="847">
        <v>0.15</v>
      </c>
      <c r="E304" s="847">
        <v>0.15</v>
      </c>
      <c r="F304" s="852"/>
    </row>
    <row r="305" spans="1:6" ht="14.25" thickBot="1">
      <c r="A305" s="717" t="s">
        <v>491</v>
      </c>
      <c r="B305" s="711" t="s">
        <v>908</v>
      </c>
      <c r="C305" s="847">
        <v>0.15</v>
      </c>
      <c r="D305" s="847">
        <v>0.15</v>
      </c>
      <c r="E305" s="847">
        <v>0.15</v>
      </c>
      <c r="F305" s="848">
        <v>0.14000000000000001</v>
      </c>
    </row>
    <row r="306" spans="1:6" ht="14.25" thickBot="1">
      <c r="A306" s="717" t="s">
        <v>491</v>
      </c>
      <c r="B306" s="711" t="s">
        <v>308</v>
      </c>
      <c r="C306" s="847">
        <v>0.15</v>
      </c>
      <c r="D306" s="847">
        <v>0.15</v>
      </c>
      <c r="E306" s="847">
        <v>0.15</v>
      </c>
      <c r="F306" s="852"/>
    </row>
    <row r="307" spans="1:6" ht="14.25" thickBot="1">
      <c r="A307" s="717" t="s">
        <v>491</v>
      </c>
      <c r="B307" s="711" t="s">
        <v>909</v>
      </c>
      <c r="C307" s="847">
        <v>0.15</v>
      </c>
      <c r="D307" s="847">
        <v>0.15</v>
      </c>
      <c r="E307" s="847">
        <v>0.15</v>
      </c>
      <c r="F307" s="848">
        <v>0.14299999999999999</v>
      </c>
    </row>
    <row r="308" spans="1:6" ht="14.25" thickBot="1">
      <c r="A308" s="717" t="s">
        <v>491</v>
      </c>
      <c r="B308" s="711" t="s">
        <v>328</v>
      </c>
      <c r="C308" s="847">
        <v>0.15</v>
      </c>
      <c r="D308" s="847">
        <v>0.15</v>
      </c>
      <c r="E308" s="847">
        <v>0.15</v>
      </c>
      <c r="F308" s="848">
        <v>0.15</v>
      </c>
    </row>
    <row r="309" spans="1:6" ht="14.25" thickBot="1">
      <c r="A309" s="717" t="s">
        <v>491</v>
      </c>
      <c r="B309" s="711" t="s">
        <v>338</v>
      </c>
      <c r="C309" s="847">
        <v>0.15</v>
      </c>
      <c r="D309" s="847">
        <v>0.15</v>
      </c>
      <c r="E309" s="847">
        <v>0.15</v>
      </c>
      <c r="F309" s="852"/>
    </row>
    <row r="310" spans="1:6" ht="14.25" thickBot="1">
      <c r="A310" s="717" t="s">
        <v>491</v>
      </c>
      <c r="B310" s="711" t="s">
        <v>910</v>
      </c>
      <c r="C310" s="847">
        <v>0.15</v>
      </c>
      <c r="D310" s="847">
        <v>0.15</v>
      </c>
      <c r="E310" s="847">
        <v>0.15</v>
      </c>
      <c r="F310" s="848">
        <v>0.13700000000000001</v>
      </c>
    </row>
    <row r="311" spans="1:6" ht="14.25" thickBot="1">
      <c r="A311" s="717" t="s">
        <v>491</v>
      </c>
      <c r="B311" s="711" t="s">
        <v>911</v>
      </c>
      <c r="C311" s="847">
        <v>0.15</v>
      </c>
      <c r="D311" s="847">
        <v>0.15</v>
      </c>
      <c r="E311" s="847">
        <v>0.15</v>
      </c>
      <c r="F311" s="848">
        <v>0.15</v>
      </c>
    </row>
    <row r="312" spans="1:6" ht="14.25" thickBot="1">
      <c r="A312" s="717" t="s">
        <v>491</v>
      </c>
      <c r="B312" s="711" t="s">
        <v>364</v>
      </c>
      <c r="C312" s="847">
        <v>0.15</v>
      </c>
      <c r="D312" s="847">
        <v>0.15</v>
      </c>
      <c r="E312" s="847">
        <v>0.15</v>
      </c>
      <c r="F312" s="848">
        <v>0.1</v>
      </c>
    </row>
    <row r="313" spans="1:6" ht="14.25" thickBot="1">
      <c r="A313" s="717" t="s">
        <v>491</v>
      </c>
      <c r="B313" s="711" t="s">
        <v>912</v>
      </c>
      <c r="C313" s="847">
        <v>0.15</v>
      </c>
      <c r="D313" s="847">
        <v>0.15</v>
      </c>
      <c r="E313" s="847">
        <v>0.15</v>
      </c>
      <c r="F313" s="848">
        <v>0.15</v>
      </c>
    </row>
    <row r="314" spans="1:6" ht="24.75" thickBot="1">
      <c r="A314" s="717" t="s">
        <v>491</v>
      </c>
      <c r="B314" s="711" t="s">
        <v>913</v>
      </c>
      <c r="C314" s="853"/>
      <c r="D314" s="853"/>
      <c r="E314" s="853"/>
      <c r="F314" s="848">
        <v>0.05</v>
      </c>
    </row>
    <row r="315" spans="1:6" ht="24.75" thickBot="1">
      <c r="A315" s="717" t="s">
        <v>491</v>
      </c>
      <c r="B315" s="711" t="s">
        <v>914</v>
      </c>
      <c r="C315" s="853"/>
      <c r="D315" s="853"/>
      <c r="E315" s="853"/>
      <c r="F315" s="848">
        <v>0.05</v>
      </c>
    </row>
    <row r="316" spans="1:6" ht="24.75" thickBot="1">
      <c r="A316" s="734" t="s">
        <v>491</v>
      </c>
      <c r="B316" s="727" t="s">
        <v>915</v>
      </c>
      <c r="C316" s="850"/>
      <c r="D316" s="850"/>
      <c r="E316" s="850"/>
      <c r="F316" s="854">
        <v>0.05</v>
      </c>
    </row>
    <row r="317" spans="1:6" ht="14.25" thickBot="1">
      <c r="A317" s="717" t="s">
        <v>916</v>
      </c>
      <c r="B317" s="718" t="s">
        <v>917</v>
      </c>
      <c r="C317" s="845">
        <v>0.15</v>
      </c>
      <c r="D317" s="845">
        <v>0.15</v>
      </c>
      <c r="E317" s="845">
        <v>0.15</v>
      </c>
      <c r="F317" s="846">
        <v>0.15</v>
      </c>
    </row>
    <row r="318" spans="1:6" ht="14.25" thickBot="1">
      <c r="A318" s="717" t="s">
        <v>916</v>
      </c>
      <c r="B318" s="711" t="s">
        <v>918</v>
      </c>
      <c r="C318" s="847">
        <v>0.107</v>
      </c>
      <c r="D318" s="847">
        <v>0.11</v>
      </c>
      <c r="E318" s="847">
        <v>0.112</v>
      </c>
      <c r="F318" s="852"/>
    </row>
    <row r="319" spans="1:6" ht="14.25" thickBot="1">
      <c r="A319" s="717" t="s">
        <v>916</v>
      </c>
      <c r="B319" s="711" t="s">
        <v>919</v>
      </c>
      <c r="C319" s="847">
        <v>0.15</v>
      </c>
      <c r="D319" s="847">
        <v>0.15</v>
      </c>
      <c r="E319" s="847">
        <v>0.15</v>
      </c>
      <c r="F319" s="848">
        <v>0.15</v>
      </c>
    </row>
    <row r="320" spans="1:6" ht="14.25" thickBot="1">
      <c r="A320" s="717" t="s">
        <v>916</v>
      </c>
      <c r="B320" s="711" t="s">
        <v>172</v>
      </c>
      <c r="C320" s="847">
        <v>0.15</v>
      </c>
      <c r="D320" s="847">
        <v>0.15</v>
      </c>
      <c r="E320" s="847">
        <v>0.15</v>
      </c>
      <c r="F320" s="852"/>
    </row>
    <row r="321" spans="1:6" ht="14.25" thickBot="1">
      <c r="A321" s="717" t="s">
        <v>916</v>
      </c>
      <c r="B321" s="711" t="s">
        <v>920</v>
      </c>
      <c r="C321" s="847">
        <v>0.15</v>
      </c>
      <c r="D321" s="847">
        <v>0.15</v>
      </c>
      <c r="E321" s="847">
        <v>0.15</v>
      </c>
      <c r="F321" s="852"/>
    </row>
    <row r="322" spans="1:6" ht="14.25" thickBot="1">
      <c r="A322" s="717" t="s">
        <v>916</v>
      </c>
      <c r="B322" s="711" t="s">
        <v>921</v>
      </c>
      <c r="C322" s="847">
        <v>0.15</v>
      </c>
      <c r="D322" s="847">
        <v>0.15</v>
      </c>
      <c r="E322" s="847">
        <v>0.15</v>
      </c>
      <c r="F322" s="848">
        <v>0.15</v>
      </c>
    </row>
    <row r="323" spans="1:6" ht="14.25" thickBot="1">
      <c r="A323" s="717" t="s">
        <v>916</v>
      </c>
      <c r="B323" s="711" t="s">
        <v>922</v>
      </c>
      <c r="C323" s="847">
        <v>0.15</v>
      </c>
      <c r="D323" s="847">
        <v>0.15</v>
      </c>
      <c r="E323" s="847">
        <v>0.15</v>
      </c>
      <c r="F323" s="852"/>
    </row>
    <row r="324" spans="1:6" ht="14.25" thickBot="1">
      <c r="A324" s="717" t="s">
        <v>916</v>
      </c>
      <c r="B324" s="711" t="s">
        <v>923</v>
      </c>
      <c r="C324" s="847">
        <v>0.15</v>
      </c>
      <c r="D324" s="847">
        <v>0.15</v>
      </c>
      <c r="E324" s="847">
        <v>0.15</v>
      </c>
      <c r="F324" s="852"/>
    </row>
    <row r="325" spans="1:6" ht="14.25" thickBot="1">
      <c r="A325" s="717" t="s">
        <v>916</v>
      </c>
      <c r="B325" s="711" t="s">
        <v>924</v>
      </c>
      <c r="C325" s="847">
        <v>0.15</v>
      </c>
      <c r="D325" s="847">
        <v>0.15</v>
      </c>
      <c r="E325" s="847">
        <v>0.15</v>
      </c>
      <c r="F325" s="848">
        <v>0.14699999999999999</v>
      </c>
    </row>
    <row r="326" spans="1:6" ht="14.25" thickBot="1">
      <c r="A326" s="717" t="s">
        <v>916</v>
      </c>
      <c r="B326" s="711" t="s">
        <v>244</v>
      </c>
      <c r="C326" s="847">
        <v>0.15</v>
      </c>
      <c r="D326" s="847">
        <v>0.15</v>
      </c>
      <c r="E326" s="847">
        <v>0.15</v>
      </c>
      <c r="F326" s="852"/>
    </row>
    <row r="327" spans="1:6" ht="14.25" thickBot="1">
      <c r="A327" s="717" t="s">
        <v>916</v>
      </c>
      <c r="B327" s="711" t="s">
        <v>925</v>
      </c>
      <c r="C327" s="847">
        <v>0.15</v>
      </c>
      <c r="D327" s="847">
        <v>0.15</v>
      </c>
      <c r="E327" s="847">
        <v>0.15</v>
      </c>
      <c r="F327" s="848">
        <v>0.15</v>
      </c>
    </row>
    <row r="328" spans="1:6" ht="14.25" thickBot="1">
      <c r="A328" s="717" t="s">
        <v>916</v>
      </c>
      <c r="B328" s="711" t="s">
        <v>266</v>
      </c>
      <c r="C328" s="847">
        <v>0.15</v>
      </c>
      <c r="D328" s="847">
        <v>0.15</v>
      </c>
      <c r="E328" s="847">
        <v>0.15</v>
      </c>
      <c r="F328" s="848">
        <v>0.14099999999999999</v>
      </c>
    </row>
    <row r="329" spans="1:6" ht="14.25" thickBot="1">
      <c r="A329" s="717" t="s">
        <v>916</v>
      </c>
      <c r="B329" s="711" t="s">
        <v>277</v>
      </c>
      <c r="C329" s="847">
        <v>0.15</v>
      </c>
      <c r="D329" s="847">
        <v>0.15</v>
      </c>
      <c r="E329" s="847">
        <v>0.15</v>
      </c>
      <c r="F329" s="848">
        <v>0.15</v>
      </c>
    </row>
    <row r="330" spans="1:6" ht="14.25" thickBot="1">
      <c r="A330" s="717" t="s">
        <v>916</v>
      </c>
      <c r="B330" s="711" t="s">
        <v>288</v>
      </c>
      <c r="C330" s="847">
        <v>0.15</v>
      </c>
      <c r="D330" s="847">
        <v>0.15</v>
      </c>
      <c r="E330" s="847">
        <v>0.15</v>
      </c>
      <c r="F330" s="852"/>
    </row>
    <row r="331" spans="1:6" ht="14.25" thickBot="1">
      <c r="A331" s="717" t="s">
        <v>916</v>
      </c>
      <c r="B331" s="711" t="s">
        <v>926</v>
      </c>
      <c r="C331" s="847">
        <v>0.15</v>
      </c>
      <c r="D331" s="847">
        <v>0.15</v>
      </c>
      <c r="E331" s="847">
        <v>0.15</v>
      </c>
      <c r="F331" s="848">
        <v>0.15</v>
      </c>
    </row>
    <row r="332" spans="1:6" ht="14.25" thickBot="1">
      <c r="A332" s="717" t="s">
        <v>916</v>
      </c>
      <c r="B332" s="711" t="s">
        <v>309</v>
      </c>
      <c r="C332" s="847">
        <v>0.15</v>
      </c>
      <c r="D332" s="847">
        <v>0.15</v>
      </c>
      <c r="E332" s="847">
        <v>0.15</v>
      </c>
      <c r="F332" s="848">
        <v>0.15</v>
      </c>
    </row>
    <row r="333" spans="1:6" ht="14.25" thickBot="1">
      <c r="A333" s="717" t="s">
        <v>916</v>
      </c>
      <c r="B333" s="711" t="s">
        <v>927</v>
      </c>
      <c r="C333" s="847">
        <v>0.15</v>
      </c>
      <c r="D333" s="847">
        <v>0.15</v>
      </c>
      <c r="E333" s="847">
        <v>0.15</v>
      </c>
      <c r="F333" s="848">
        <v>0.14099999999999999</v>
      </c>
    </row>
    <row r="334" spans="1:6" ht="14.25" thickBot="1">
      <c r="A334" s="717" t="s">
        <v>916</v>
      </c>
      <c r="B334" s="711" t="s">
        <v>329</v>
      </c>
      <c r="C334" s="847">
        <v>0.15</v>
      </c>
      <c r="D334" s="847">
        <v>0.15</v>
      </c>
      <c r="E334" s="847">
        <v>0.15</v>
      </c>
      <c r="F334" s="848">
        <v>0.15</v>
      </c>
    </row>
    <row r="335" spans="1:6" ht="14.25" thickBot="1">
      <c r="A335" s="717" t="s">
        <v>916</v>
      </c>
      <c r="B335" s="711" t="s">
        <v>339</v>
      </c>
      <c r="C335" s="847">
        <v>0.15</v>
      </c>
      <c r="D335" s="847">
        <v>0.15</v>
      </c>
      <c r="E335" s="847">
        <v>0.15</v>
      </c>
      <c r="F335" s="852"/>
    </row>
    <row r="336" spans="1:6" ht="14.25" thickBot="1">
      <c r="A336" s="717" t="s">
        <v>916</v>
      </c>
      <c r="B336" s="711" t="s">
        <v>928</v>
      </c>
      <c r="C336" s="847">
        <v>0.15</v>
      </c>
      <c r="D336" s="847">
        <v>0.15</v>
      </c>
      <c r="E336" s="847">
        <v>0.15</v>
      </c>
      <c r="F336" s="848">
        <v>0.11799999999999999</v>
      </c>
    </row>
    <row r="337" spans="1:6" ht="14.25" thickBot="1">
      <c r="A337" s="734" t="s">
        <v>916</v>
      </c>
      <c r="B337" s="727" t="s">
        <v>357</v>
      </c>
      <c r="C337" s="850"/>
      <c r="D337" s="850"/>
      <c r="E337" s="850"/>
      <c r="F337" s="854">
        <v>0.14299999999999999</v>
      </c>
    </row>
    <row r="338" spans="1:6" ht="14.25" thickBot="1">
      <c r="A338" s="717" t="s">
        <v>929</v>
      </c>
      <c r="B338" s="718" t="s">
        <v>930</v>
      </c>
      <c r="C338" s="845">
        <v>0.15</v>
      </c>
      <c r="D338" s="845">
        <v>0.15</v>
      </c>
      <c r="E338" s="845">
        <v>0.15</v>
      </c>
      <c r="F338" s="862"/>
    </row>
    <row r="339" spans="1:6" ht="14.25" thickBot="1">
      <c r="A339" s="717" t="s">
        <v>929</v>
      </c>
      <c r="B339" s="711" t="s">
        <v>931</v>
      </c>
      <c r="C339" s="847">
        <v>0.15</v>
      </c>
      <c r="D339" s="847">
        <v>0.15</v>
      </c>
      <c r="E339" s="847">
        <v>0.15</v>
      </c>
      <c r="F339" s="852"/>
    </row>
    <row r="340" spans="1:6" ht="14.25" thickBot="1">
      <c r="A340" s="717" t="s">
        <v>929</v>
      </c>
      <c r="B340" s="711" t="s">
        <v>932</v>
      </c>
      <c r="C340" s="847">
        <v>0.15</v>
      </c>
      <c r="D340" s="847">
        <v>0.15</v>
      </c>
      <c r="E340" s="847">
        <v>0.15</v>
      </c>
      <c r="F340" s="852"/>
    </row>
    <row r="341" spans="1:6" ht="14.25" thickBot="1">
      <c r="A341" s="717" t="s">
        <v>929</v>
      </c>
      <c r="B341" s="711" t="s">
        <v>933</v>
      </c>
      <c r="C341" s="847">
        <v>0.15</v>
      </c>
      <c r="D341" s="847">
        <v>0.15</v>
      </c>
      <c r="E341" s="847">
        <v>0.15</v>
      </c>
      <c r="F341" s="848">
        <v>0.15</v>
      </c>
    </row>
    <row r="342" spans="1:6" ht="14.25" thickBot="1">
      <c r="A342" s="717" t="s">
        <v>929</v>
      </c>
      <c r="B342" s="711" t="s">
        <v>934</v>
      </c>
      <c r="C342" s="847">
        <v>0.15</v>
      </c>
      <c r="D342" s="847">
        <v>0.15</v>
      </c>
      <c r="E342" s="847">
        <v>0.15</v>
      </c>
      <c r="F342" s="848">
        <v>0.15</v>
      </c>
    </row>
    <row r="343" spans="1:6" ht="14.25" thickBot="1">
      <c r="A343" s="717" t="s">
        <v>929</v>
      </c>
      <c r="B343" s="711" t="s">
        <v>935</v>
      </c>
      <c r="C343" s="847">
        <v>0.15</v>
      </c>
      <c r="D343" s="847">
        <v>0.15</v>
      </c>
      <c r="E343" s="847">
        <v>0.15</v>
      </c>
      <c r="F343" s="848">
        <v>0.15</v>
      </c>
    </row>
    <row r="344" spans="1:6" ht="14.25" thickBot="1">
      <c r="A344" s="734" t="s">
        <v>929</v>
      </c>
      <c r="B344" s="727" t="s">
        <v>936</v>
      </c>
      <c r="C344" s="849">
        <v>0.15</v>
      </c>
      <c r="D344" s="849">
        <v>0.15</v>
      </c>
      <c r="E344" s="849">
        <v>0.15</v>
      </c>
      <c r="F344" s="854">
        <v>0.15</v>
      </c>
    </row>
  </sheetData>
  <sheetProtection password="C66D" sheet="1" objects="1" scenarios="1"/>
  <mergeCells count="1">
    <mergeCell ref="A1:B1"/>
  </mergeCells>
  <phoneticPr fontId="87"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T98"/>
  <sheetViews>
    <sheetView zoomScale="90" zoomScaleNormal="90" workbookViewId="0">
      <selection activeCell="D4" sqref="D4"/>
    </sheetView>
  </sheetViews>
  <sheetFormatPr defaultColWidth="9" defaultRowHeight="18" customHeight="1"/>
  <cols>
    <col min="1" max="1" width="17.375" style="835" customWidth="1"/>
    <col min="2" max="2" width="40.625" style="978" customWidth="1"/>
    <col min="3" max="3" width="9" style="979"/>
    <col min="4" max="5" width="9" style="980"/>
    <col min="6" max="6" width="9" style="981"/>
    <col min="7" max="7" width="11.875" style="835" customWidth="1"/>
    <col min="8" max="8" width="9" style="981"/>
    <col min="9" max="13" width="9" style="835"/>
    <col min="14" max="20" width="9" style="969"/>
    <col min="21" max="16384" width="9" style="835"/>
  </cols>
  <sheetData>
    <row r="1" spans="1:20" s="970" customFormat="1" ht="18" customHeight="1" thickBot="1">
      <c r="A1" s="672" t="s">
        <v>708</v>
      </c>
      <c r="B1" s="673"/>
      <c r="C1" s="965"/>
      <c r="D1" s="966"/>
      <c r="E1" s="966"/>
      <c r="F1" s="967"/>
      <c r="G1" s="968"/>
      <c r="H1" s="967"/>
      <c r="I1" s="968"/>
      <c r="J1" s="968"/>
      <c r="K1" s="968"/>
      <c r="L1" s="968"/>
      <c r="M1" s="968"/>
      <c r="N1" s="969"/>
      <c r="O1" s="969"/>
      <c r="P1" s="969"/>
      <c r="Q1" s="969"/>
      <c r="R1" s="969"/>
      <c r="S1" s="969"/>
      <c r="T1" s="969"/>
    </row>
    <row r="2" spans="1:20" ht="18" customHeight="1">
      <c r="A2" s="675" t="s">
        <v>132</v>
      </c>
      <c r="B2" s="676">
        <f>1+F4</f>
        <v>1.0128999999999999</v>
      </c>
      <c r="C2" s="677"/>
      <c r="D2" s="678"/>
      <c r="E2" s="678"/>
      <c r="F2" s="679"/>
      <c r="G2" s="971"/>
      <c r="H2" s="967"/>
      <c r="I2" s="968"/>
      <c r="J2" s="968"/>
      <c r="K2" s="968"/>
      <c r="L2" s="968"/>
      <c r="M2" s="968"/>
    </row>
    <row r="3" spans="1:20" ht="13.5">
      <c r="A3" s="681" t="s">
        <v>709</v>
      </c>
      <c r="B3" s="682" t="s">
        <v>710</v>
      </c>
      <c r="C3" s="683" t="s">
        <v>711</v>
      </c>
      <c r="D3" s="684" t="s">
        <v>734</v>
      </c>
      <c r="E3" s="684" t="s">
        <v>735</v>
      </c>
      <c r="F3" s="685" t="s">
        <v>736</v>
      </c>
      <c r="G3" s="686" t="s">
        <v>937</v>
      </c>
      <c r="H3" s="684" t="s">
        <v>730</v>
      </c>
      <c r="I3" s="491" t="s">
        <v>82</v>
      </c>
      <c r="J3" s="491" t="s">
        <v>83</v>
      </c>
      <c r="K3" s="491" t="s">
        <v>84</v>
      </c>
      <c r="L3" s="491" t="s">
        <v>85</v>
      </c>
      <c r="M3" s="491" t="s">
        <v>86</v>
      </c>
    </row>
    <row r="4" spans="1:20" ht="24">
      <c r="A4" s="681" t="s">
        <v>712</v>
      </c>
      <c r="B4" s="687" t="str">
        <f>估价对象房地状况!C4</f>
        <v>估价对象位于XX商圈，周边商业氛围成熟，人流量大，商业繁华度好</v>
      </c>
      <c r="C4" s="668" t="s">
        <v>713</v>
      </c>
      <c r="D4" s="688">
        <f>SUMIF($I$3:$M$3,C4,I4:M4)</f>
        <v>0.02</v>
      </c>
      <c r="E4" s="689">
        <v>0.33</v>
      </c>
      <c r="F4" s="690">
        <f>D4*E4+D5*E5+D6*E6+D7*E7+D8*E8+D9*E9+D10*E10+D11*E11+D12*E12</f>
        <v>1.29E-2</v>
      </c>
      <c r="G4" s="691" t="str">
        <f>IF(基准地价修正!E2="商业",SUMIF(基准地价修正!L1:L12,基准地价修正!G2,基准地价修正!N1:N12),"——")</f>
        <v>——</v>
      </c>
      <c r="H4" s="794">
        <v>0.02</v>
      </c>
      <c r="I4" s="667">
        <f>J4+$H4</f>
        <v>0.04</v>
      </c>
      <c r="J4" s="667">
        <f>$K4+$H4</f>
        <v>0.02</v>
      </c>
      <c r="K4" s="666">
        <v>0</v>
      </c>
      <c r="L4" s="667">
        <f t="shared" ref="L4:M12" si="0">K4-$H4</f>
        <v>-0.02</v>
      </c>
      <c r="M4" s="667">
        <f t="shared" si="0"/>
        <v>-0.04</v>
      </c>
    </row>
    <row r="5" spans="1:20" ht="24">
      <c r="A5" s="681" t="s">
        <v>714</v>
      </c>
      <c r="B5" s="692" t="str">
        <f>估价对象房地状况!C6</f>
        <v>估价对象周边道路状况、公共交通通达情况、停车便捷程度，综合评价交通便捷度较好</v>
      </c>
      <c r="C5" s="668" t="s">
        <v>31</v>
      </c>
      <c r="D5" s="688">
        <f t="shared" ref="D5:D12" si="1">SUMIF($I$3:$M$3,C5,I5:M5)</f>
        <v>0</v>
      </c>
      <c r="E5" s="689">
        <v>0.25</v>
      </c>
      <c r="F5" s="693"/>
      <c r="G5" s="972"/>
      <c r="H5" s="794">
        <v>0.01</v>
      </c>
      <c r="I5" s="667">
        <f t="shared" ref="I5:I12" si="2">J5+$H5</f>
        <v>0.02</v>
      </c>
      <c r="J5" s="667">
        <f t="shared" ref="J5:J12" si="3">$K5+$H5</f>
        <v>0.01</v>
      </c>
      <c r="K5" s="666">
        <v>0</v>
      </c>
      <c r="L5" s="667">
        <f t="shared" si="0"/>
        <v>-0.01</v>
      </c>
      <c r="M5" s="667">
        <f t="shared" si="0"/>
        <v>-0.02</v>
      </c>
    </row>
    <row r="6" spans="1:20" ht="14.25">
      <c r="A6" s="681" t="s">
        <v>715</v>
      </c>
      <c r="B6" s="682">
        <f>估价对象房地状况!C19</f>
        <v>0</v>
      </c>
      <c r="C6" s="668" t="s">
        <v>713</v>
      </c>
      <c r="D6" s="688">
        <f t="shared" si="1"/>
        <v>0.02</v>
      </c>
      <c r="E6" s="689">
        <v>0.05</v>
      </c>
      <c r="F6" s="693"/>
      <c r="G6" s="972"/>
      <c r="H6" s="794">
        <v>0.02</v>
      </c>
      <c r="I6" s="667">
        <f t="shared" si="2"/>
        <v>0.04</v>
      </c>
      <c r="J6" s="667">
        <f t="shared" si="3"/>
        <v>0.02</v>
      </c>
      <c r="K6" s="666">
        <v>0</v>
      </c>
      <c r="L6" s="667">
        <f t="shared" si="0"/>
        <v>-0.02</v>
      </c>
      <c r="M6" s="667">
        <f t="shared" si="0"/>
        <v>-0.04</v>
      </c>
    </row>
    <row r="7" spans="1:20" ht="24">
      <c r="A7" s="681" t="s">
        <v>716</v>
      </c>
      <c r="B7" s="669" t="s">
        <v>737</v>
      </c>
      <c r="C7" s="668" t="s">
        <v>35</v>
      </c>
      <c r="D7" s="688">
        <f t="shared" si="1"/>
        <v>-0.02</v>
      </c>
      <c r="E7" s="689">
        <v>0.05</v>
      </c>
      <c r="F7" s="693"/>
      <c r="G7" s="972"/>
      <c r="H7" s="794">
        <v>0.01</v>
      </c>
      <c r="I7" s="667">
        <f t="shared" si="2"/>
        <v>0.02</v>
      </c>
      <c r="J7" s="667">
        <f t="shared" si="3"/>
        <v>0.01</v>
      </c>
      <c r="K7" s="666">
        <v>0</v>
      </c>
      <c r="L7" s="667">
        <f t="shared" si="0"/>
        <v>-0.01</v>
      </c>
      <c r="M7" s="667">
        <f t="shared" si="0"/>
        <v>-0.02</v>
      </c>
    </row>
    <row r="8" spans="1:20" ht="14.25">
      <c r="A8" s="681" t="s">
        <v>717</v>
      </c>
      <c r="B8" s="682">
        <f>估价对象房地状况!C10</f>
        <v>0</v>
      </c>
      <c r="C8" s="668" t="s">
        <v>713</v>
      </c>
      <c r="D8" s="688">
        <f t="shared" si="1"/>
        <v>0.02</v>
      </c>
      <c r="E8" s="689">
        <v>0.08</v>
      </c>
      <c r="F8" s="693"/>
      <c r="G8" s="972"/>
      <c r="H8" s="794">
        <v>0.02</v>
      </c>
      <c r="I8" s="667">
        <f t="shared" si="2"/>
        <v>0.04</v>
      </c>
      <c r="J8" s="667">
        <f t="shared" si="3"/>
        <v>0.02</v>
      </c>
      <c r="K8" s="666">
        <v>0</v>
      </c>
      <c r="L8" s="667">
        <f t="shared" si="0"/>
        <v>-0.02</v>
      </c>
      <c r="M8" s="667">
        <f t="shared" si="0"/>
        <v>-0.04</v>
      </c>
    </row>
    <row r="9" spans="1:20" ht="14.25">
      <c r="A9" s="681" t="s">
        <v>718</v>
      </c>
      <c r="B9" s="670" t="s">
        <v>738</v>
      </c>
      <c r="C9" s="668" t="s">
        <v>713</v>
      </c>
      <c r="D9" s="688">
        <f t="shared" si="1"/>
        <v>0.01</v>
      </c>
      <c r="E9" s="689">
        <v>0.03</v>
      </c>
      <c r="F9" s="693"/>
      <c r="G9" s="972"/>
      <c r="H9" s="794">
        <v>0.01</v>
      </c>
      <c r="I9" s="667">
        <f t="shared" si="2"/>
        <v>0.02</v>
      </c>
      <c r="J9" s="667">
        <f t="shared" si="3"/>
        <v>0.01</v>
      </c>
      <c r="K9" s="666">
        <v>0</v>
      </c>
      <c r="L9" s="667">
        <f t="shared" si="0"/>
        <v>-0.01</v>
      </c>
      <c r="M9" s="667">
        <f t="shared" si="0"/>
        <v>-0.02</v>
      </c>
    </row>
    <row r="10" spans="1:20" ht="14.25">
      <c r="A10" s="694" t="s">
        <v>719</v>
      </c>
      <c r="B10" s="921" t="str">
        <f>估价对象房地状况!C7</f>
        <v>估价对象所在区域公共配套设施齐备情况</v>
      </c>
      <c r="C10" s="668" t="s">
        <v>29</v>
      </c>
      <c r="D10" s="688">
        <f t="shared" si="1"/>
        <v>0.04</v>
      </c>
      <c r="E10" s="689">
        <v>0.05</v>
      </c>
      <c r="F10" s="693"/>
      <c r="G10" s="972"/>
      <c r="H10" s="794">
        <v>0.02</v>
      </c>
      <c r="I10" s="667">
        <f t="shared" si="2"/>
        <v>0.04</v>
      </c>
      <c r="J10" s="667">
        <f t="shared" si="3"/>
        <v>0.02</v>
      </c>
      <c r="K10" s="666">
        <v>0</v>
      </c>
      <c r="L10" s="667">
        <f t="shared" si="0"/>
        <v>-0.02</v>
      </c>
      <c r="M10" s="667">
        <f t="shared" si="0"/>
        <v>-0.04</v>
      </c>
    </row>
    <row r="11" spans="1:20" ht="14.25">
      <c r="A11" s="694" t="s">
        <v>720</v>
      </c>
      <c r="B11" s="922"/>
      <c r="C11" s="668" t="s">
        <v>31</v>
      </c>
      <c r="D11" s="688">
        <f t="shared" si="1"/>
        <v>0</v>
      </c>
      <c r="E11" s="689">
        <v>0.1</v>
      </c>
      <c r="F11" s="693"/>
      <c r="G11" s="972"/>
      <c r="H11" s="794">
        <v>0.01</v>
      </c>
      <c r="I11" s="667">
        <f t="shared" si="2"/>
        <v>0.02</v>
      </c>
      <c r="J11" s="667">
        <f t="shared" si="3"/>
        <v>0.01</v>
      </c>
      <c r="K11" s="666">
        <v>0</v>
      </c>
      <c r="L11" s="667">
        <f t="shared" si="0"/>
        <v>-0.01</v>
      </c>
      <c r="M11" s="667">
        <f t="shared" si="0"/>
        <v>-0.02</v>
      </c>
    </row>
    <row r="12" spans="1:20" ht="15" thickBot="1">
      <c r="A12" s="696" t="s">
        <v>721</v>
      </c>
      <c r="B12" s="697" t="str">
        <f>估价对象房地状况!C9</f>
        <v>区域自然环境：；人文环境；综合评价环境状况一般</v>
      </c>
      <c r="C12" s="668" t="s">
        <v>29</v>
      </c>
      <c r="D12" s="688">
        <f t="shared" si="1"/>
        <v>0.04</v>
      </c>
      <c r="E12" s="698">
        <v>0.06</v>
      </c>
      <c r="F12" s="699"/>
      <c r="G12" s="972"/>
      <c r="H12" s="794">
        <v>0.02</v>
      </c>
      <c r="I12" s="667">
        <f t="shared" si="2"/>
        <v>0.04</v>
      </c>
      <c r="J12" s="667">
        <f t="shared" si="3"/>
        <v>0.02</v>
      </c>
      <c r="K12" s="666">
        <v>0</v>
      </c>
      <c r="L12" s="667">
        <f t="shared" si="0"/>
        <v>-0.02</v>
      </c>
      <c r="M12" s="667">
        <f t="shared" si="0"/>
        <v>-0.04</v>
      </c>
    </row>
    <row r="13" spans="1:20" ht="18" customHeight="1">
      <c r="A13" s="675" t="s">
        <v>133</v>
      </c>
      <c r="B13" s="676">
        <f>1+F15</f>
        <v>1.0148999999999999</v>
      </c>
      <c r="C13" s="973"/>
      <c r="D13" s="678"/>
      <c r="E13" s="678"/>
      <c r="F13" s="679"/>
      <c r="G13" s="971"/>
      <c r="H13" s="967"/>
      <c r="I13" s="674"/>
      <c r="J13" s="674"/>
      <c r="K13" s="674"/>
      <c r="L13" s="674"/>
      <c r="M13" s="674"/>
    </row>
    <row r="14" spans="1:20" ht="18" customHeight="1">
      <c r="A14" s="681" t="s">
        <v>709</v>
      </c>
      <c r="B14" s="682"/>
      <c r="C14" s="683" t="s">
        <v>711</v>
      </c>
      <c r="D14" s="684" t="s">
        <v>731</v>
      </c>
      <c r="E14" s="684" t="s">
        <v>732</v>
      </c>
      <c r="F14" s="685" t="s">
        <v>733</v>
      </c>
      <c r="G14" s="686" t="s">
        <v>937</v>
      </c>
      <c r="H14" s="684" t="s">
        <v>730</v>
      </c>
      <c r="I14" s="491" t="s">
        <v>82</v>
      </c>
      <c r="J14" s="491" t="s">
        <v>83</v>
      </c>
      <c r="K14" s="491" t="s">
        <v>84</v>
      </c>
      <c r="L14" s="491" t="s">
        <v>85</v>
      </c>
      <c r="M14" s="491" t="s">
        <v>86</v>
      </c>
    </row>
    <row r="15" spans="1:20" ht="24">
      <c r="A15" s="681" t="s">
        <v>722</v>
      </c>
      <c r="B15" s="687" t="str">
        <f>估价对象房地状况!C5</f>
        <v>估价对象位于XX商圈，周边办公楼项目较多，入驻率高，办公集聚程度较好</v>
      </c>
      <c r="C15" s="668" t="s">
        <v>713</v>
      </c>
      <c r="D15" s="688">
        <f t="shared" ref="D15:D23" si="4">SUMIF($I$3:$M$3,C15,I15:M15)</f>
        <v>0.02</v>
      </c>
      <c r="E15" s="689">
        <v>0.24</v>
      </c>
      <c r="F15" s="690">
        <f>D15*E15+D16*E16+D17*E17+D18*E18+D19*E19+D20*E20+D21*E21+D22*E22+D23*E23</f>
        <v>1.49E-2</v>
      </c>
      <c r="G15" s="691">
        <f>IF(基准地价修正!E2="办公",SUMIF(基准地价修正!L1:L12,基准地价修正!G2,基准地价修正!N1:N12),"——")</f>
        <v>9.8000000000000004E-2</v>
      </c>
      <c r="H15" s="794">
        <v>0.02</v>
      </c>
      <c r="I15" s="667">
        <f>J15+$H15</f>
        <v>0.04</v>
      </c>
      <c r="J15" s="667">
        <f>$K15+$H15</f>
        <v>0.02</v>
      </c>
      <c r="K15" s="666">
        <v>0</v>
      </c>
      <c r="L15" s="667">
        <f t="shared" ref="L15:M23" si="5">K15-$H15</f>
        <v>-0.02</v>
      </c>
      <c r="M15" s="667">
        <f t="shared" si="5"/>
        <v>-0.04</v>
      </c>
    </row>
    <row r="16" spans="1:20" ht="24">
      <c r="A16" s="681" t="s">
        <v>714</v>
      </c>
      <c r="B16" s="682" t="str">
        <f>估价对象房地状况!C6</f>
        <v>估价对象周边道路状况、公共交通通达情况、停车便捷程度，综合评价交通便捷度较好</v>
      </c>
      <c r="C16" s="668" t="s">
        <v>713</v>
      </c>
      <c r="D16" s="688">
        <f t="shared" si="4"/>
        <v>0.01</v>
      </c>
      <c r="E16" s="689">
        <v>0.3</v>
      </c>
      <c r="F16" s="693"/>
      <c r="G16" s="972"/>
      <c r="H16" s="794">
        <v>0.01</v>
      </c>
      <c r="I16" s="667">
        <f t="shared" ref="I16:I23" si="6">J16+$H16</f>
        <v>0.02</v>
      </c>
      <c r="J16" s="667">
        <f t="shared" ref="J16:J23" si="7">$K16+$H16</f>
        <v>0.01</v>
      </c>
      <c r="K16" s="666">
        <v>0</v>
      </c>
      <c r="L16" s="667">
        <f t="shared" si="5"/>
        <v>-0.01</v>
      </c>
      <c r="M16" s="667">
        <f t="shared" si="5"/>
        <v>-0.02</v>
      </c>
    </row>
    <row r="17" spans="1:20" ht="14.25">
      <c r="A17" s="681" t="s">
        <v>715</v>
      </c>
      <c r="B17" s="682">
        <f>估价对象房地状况!C19</f>
        <v>0</v>
      </c>
      <c r="C17" s="668" t="s">
        <v>713</v>
      </c>
      <c r="D17" s="688">
        <f t="shared" si="4"/>
        <v>0.02</v>
      </c>
      <c r="E17" s="689">
        <v>0.08</v>
      </c>
      <c r="F17" s="693"/>
      <c r="G17" s="972"/>
      <c r="H17" s="794">
        <v>0.02</v>
      </c>
      <c r="I17" s="667">
        <f t="shared" si="6"/>
        <v>0.04</v>
      </c>
      <c r="J17" s="667">
        <f t="shared" si="7"/>
        <v>0.02</v>
      </c>
      <c r="K17" s="666">
        <v>0</v>
      </c>
      <c r="L17" s="667">
        <f t="shared" si="5"/>
        <v>-0.02</v>
      </c>
      <c r="M17" s="667">
        <f t="shared" si="5"/>
        <v>-0.04</v>
      </c>
    </row>
    <row r="18" spans="1:20" ht="24">
      <c r="A18" s="681" t="s">
        <v>716</v>
      </c>
      <c r="B18" s="669" t="s">
        <v>737</v>
      </c>
      <c r="C18" s="668" t="s">
        <v>30</v>
      </c>
      <c r="D18" s="688">
        <f t="shared" si="4"/>
        <v>0.01</v>
      </c>
      <c r="E18" s="689">
        <v>0.04</v>
      </c>
      <c r="F18" s="693"/>
      <c r="G18" s="972"/>
      <c r="H18" s="794">
        <v>0.01</v>
      </c>
      <c r="I18" s="667">
        <f t="shared" si="6"/>
        <v>0.02</v>
      </c>
      <c r="J18" s="667">
        <f t="shared" si="7"/>
        <v>0.01</v>
      </c>
      <c r="K18" s="666">
        <v>0</v>
      </c>
      <c r="L18" s="667">
        <f t="shared" si="5"/>
        <v>-0.01</v>
      </c>
      <c r="M18" s="667">
        <f t="shared" si="5"/>
        <v>-0.02</v>
      </c>
    </row>
    <row r="19" spans="1:20" ht="14.25">
      <c r="A19" s="681" t="s">
        <v>717</v>
      </c>
      <c r="B19" s="682">
        <f>估价对象房地状况!C10</f>
        <v>0</v>
      </c>
      <c r="C19" s="668" t="s">
        <v>713</v>
      </c>
      <c r="D19" s="688">
        <f t="shared" si="4"/>
        <v>0.02</v>
      </c>
      <c r="E19" s="689">
        <v>0.05</v>
      </c>
      <c r="F19" s="693"/>
      <c r="G19" s="972"/>
      <c r="H19" s="794">
        <v>0.02</v>
      </c>
      <c r="I19" s="667">
        <f t="shared" si="6"/>
        <v>0.04</v>
      </c>
      <c r="J19" s="667">
        <f t="shared" si="7"/>
        <v>0.02</v>
      </c>
      <c r="K19" s="666">
        <v>0</v>
      </c>
      <c r="L19" s="667">
        <f t="shared" si="5"/>
        <v>-0.02</v>
      </c>
      <c r="M19" s="667">
        <f t="shared" si="5"/>
        <v>-0.04</v>
      </c>
    </row>
    <row r="20" spans="1:20" ht="14.25">
      <c r="A20" s="681" t="s">
        <v>718</v>
      </c>
      <c r="B20" s="670" t="s">
        <v>738</v>
      </c>
      <c r="C20" s="668" t="s">
        <v>713</v>
      </c>
      <c r="D20" s="688">
        <f t="shared" si="4"/>
        <v>0.01</v>
      </c>
      <c r="E20" s="689">
        <v>0.05</v>
      </c>
      <c r="F20" s="693"/>
      <c r="G20" s="972"/>
      <c r="H20" s="794">
        <v>0.01</v>
      </c>
      <c r="I20" s="667">
        <f t="shared" si="6"/>
        <v>0.02</v>
      </c>
      <c r="J20" s="667">
        <f t="shared" si="7"/>
        <v>0.01</v>
      </c>
      <c r="K20" s="666">
        <v>0</v>
      </c>
      <c r="L20" s="667">
        <f t="shared" si="5"/>
        <v>-0.01</v>
      </c>
      <c r="M20" s="667">
        <f t="shared" si="5"/>
        <v>-0.02</v>
      </c>
    </row>
    <row r="21" spans="1:20" ht="14.25">
      <c r="A21" s="681" t="s">
        <v>719</v>
      </c>
      <c r="B21" s="921" t="str">
        <f>估价对象房地状况!C7</f>
        <v>估价对象所在区域公共配套设施齐备情况</v>
      </c>
      <c r="C21" s="668" t="s">
        <v>713</v>
      </c>
      <c r="D21" s="688">
        <f t="shared" si="4"/>
        <v>0.02</v>
      </c>
      <c r="E21" s="689">
        <v>0.06</v>
      </c>
      <c r="F21" s="693"/>
      <c r="G21" s="972"/>
      <c r="H21" s="794">
        <v>0.02</v>
      </c>
      <c r="I21" s="667">
        <f t="shared" si="6"/>
        <v>0.04</v>
      </c>
      <c r="J21" s="667">
        <f t="shared" si="7"/>
        <v>0.02</v>
      </c>
      <c r="K21" s="666">
        <v>0</v>
      </c>
      <c r="L21" s="667">
        <f t="shared" si="5"/>
        <v>-0.02</v>
      </c>
      <c r="M21" s="667">
        <f t="shared" si="5"/>
        <v>-0.04</v>
      </c>
    </row>
    <row r="22" spans="1:20" ht="14.25">
      <c r="A22" s="681" t="s">
        <v>720</v>
      </c>
      <c r="B22" s="922"/>
      <c r="C22" s="668" t="s">
        <v>713</v>
      </c>
      <c r="D22" s="688">
        <f t="shared" si="4"/>
        <v>0.01</v>
      </c>
      <c r="E22" s="689">
        <v>0.12</v>
      </c>
      <c r="F22" s="693"/>
      <c r="G22" s="972"/>
      <c r="H22" s="794">
        <v>0.01</v>
      </c>
      <c r="I22" s="667">
        <f t="shared" si="6"/>
        <v>0.02</v>
      </c>
      <c r="J22" s="667">
        <f t="shared" si="7"/>
        <v>0.01</v>
      </c>
      <c r="K22" s="666">
        <v>0</v>
      </c>
      <c r="L22" s="667">
        <f t="shared" si="5"/>
        <v>-0.01</v>
      </c>
      <c r="M22" s="667">
        <f t="shared" si="5"/>
        <v>-0.02</v>
      </c>
    </row>
    <row r="23" spans="1:20" ht="15" thickBot="1">
      <c r="A23" s="696" t="s">
        <v>721</v>
      </c>
      <c r="B23" s="700" t="str">
        <f>估价对象房地状况!C9</f>
        <v>区域自然环境：；人文环境；综合评价环境状况一般</v>
      </c>
      <c r="C23" s="668" t="s">
        <v>713</v>
      </c>
      <c r="D23" s="688">
        <f t="shared" si="4"/>
        <v>0.02</v>
      </c>
      <c r="E23" s="698">
        <v>0.06</v>
      </c>
      <c r="F23" s="699"/>
      <c r="G23" s="972"/>
      <c r="H23" s="794">
        <v>0.02</v>
      </c>
      <c r="I23" s="667">
        <f t="shared" si="6"/>
        <v>0.04</v>
      </c>
      <c r="J23" s="667">
        <f t="shared" si="7"/>
        <v>0.02</v>
      </c>
      <c r="K23" s="666">
        <v>0</v>
      </c>
      <c r="L23" s="667">
        <f t="shared" si="5"/>
        <v>-0.02</v>
      </c>
      <c r="M23" s="667">
        <f t="shared" si="5"/>
        <v>-0.04</v>
      </c>
    </row>
    <row r="24" spans="1:20" ht="18" customHeight="1">
      <c r="A24" s="675" t="s">
        <v>728</v>
      </c>
      <c r="B24" s="676">
        <f>1+F26</f>
        <v>1.0597000000000001</v>
      </c>
      <c r="C24" s="973"/>
      <c r="D24" s="678"/>
      <c r="E24" s="678"/>
      <c r="F24" s="679"/>
      <c r="G24" s="971"/>
      <c r="H24" s="967"/>
      <c r="I24" s="674"/>
      <c r="J24" s="674"/>
      <c r="K24" s="674"/>
      <c r="L24" s="674"/>
      <c r="M24" s="674"/>
    </row>
    <row r="25" spans="1:20" ht="13.5">
      <c r="A25" s="681" t="s">
        <v>709</v>
      </c>
      <c r="B25" s="682"/>
      <c r="C25" s="683" t="s">
        <v>711</v>
      </c>
      <c r="D25" s="684" t="s">
        <v>731</v>
      </c>
      <c r="E25" s="684" t="s">
        <v>732</v>
      </c>
      <c r="F25" s="685" t="s">
        <v>733</v>
      </c>
      <c r="G25" s="686" t="s">
        <v>937</v>
      </c>
      <c r="H25" s="684" t="s">
        <v>730</v>
      </c>
      <c r="I25" s="491" t="s">
        <v>82</v>
      </c>
      <c r="J25" s="491" t="s">
        <v>83</v>
      </c>
      <c r="K25" s="491" t="s">
        <v>84</v>
      </c>
      <c r="L25" s="491" t="s">
        <v>85</v>
      </c>
      <c r="M25" s="491" t="s">
        <v>86</v>
      </c>
    </row>
    <row r="26" spans="1:20" ht="24">
      <c r="A26" s="681" t="s">
        <v>723</v>
      </c>
      <c r="B26" s="687" t="str">
        <f>估价对象房地状况!C3</f>
        <v>估价对象周边居住用地比例、居住小区规模和社区发展完善程度，综合评价居住社区成熟度一般</v>
      </c>
      <c r="C26" s="668" t="s">
        <v>713</v>
      </c>
      <c r="D26" s="688">
        <f t="shared" ref="D26:D34" si="8">SUMIF($I$3:$M$3,C26,I26:M26)</f>
        <v>0.08</v>
      </c>
      <c r="E26" s="689">
        <v>0.14000000000000001</v>
      </c>
      <c r="F26" s="690">
        <f>D26*E26+D27*E27+D28*E28+D29*E29+D30*E30+D32*E32+D31*E31+D33*E33+D34*E34</f>
        <v>5.9700000000000003E-2</v>
      </c>
      <c r="G26" s="691" t="str">
        <f>IF(基准地价修正!E2="住宅",SUMIF(基准地价修正!L1:L12,基准地价修正!G2,基准地价修正!N1:N12),"——")</f>
        <v>——</v>
      </c>
      <c r="H26" s="794">
        <v>0.08</v>
      </c>
      <c r="I26" s="667">
        <f>J26+$H26</f>
        <v>0.16</v>
      </c>
      <c r="J26" s="667">
        <f>$K26+$H26</f>
        <v>0.08</v>
      </c>
      <c r="K26" s="666">
        <v>0</v>
      </c>
      <c r="L26" s="667">
        <f t="shared" ref="L26:M34" si="9">K26-$H26</f>
        <v>-0.08</v>
      </c>
      <c r="M26" s="667">
        <f t="shared" si="9"/>
        <v>-0.16</v>
      </c>
    </row>
    <row r="27" spans="1:20" ht="24">
      <c r="A27" s="681" t="s">
        <v>714</v>
      </c>
      <c r="B27" s="682" t="str">
        <f>估价对象房地状况!C6</f>
        <v>估价对象周边道路状况、公共交通通达情况、停车便捷程度，综合评价交通便捷度较好</v>
      </c>
      <c r="C27" s="668" t="s">
        <v>713</v>
      </c>
      <c r="D27" s="688">
        <f t="shared" si="8"/>
        <v>0.08</v>
      </c>
      <c r="E27" s="689">
        <v>0.3</v>
      </c>
      <c r="F27" s="701"/>
      <c r="G27" s="974"/>
      <c r="H27" s="794">
        <v>0.08</v>
      </c>
      <c r="I27" s="667">
        <f t="shared" ref="I27:I34" si="10">J27+$H27</f>
        <v>0.16</v>
      </c>
      <c r="J27" s="667">
        <f t="shared" ref="J27:J34" si="11">$K27+$H27</f>
        <v>0.08</v>
      </c>
      <c r="K27" s="666">
        <v>0</v>
      </c>
      <c r="L27" s="667">
        <f t="shared" si="9"/>
        <v>-0.08</v>
      </c>
      <c r="M27" s="667">
        <f t="shared" si="9"/>
        <v>-0.16</v>
      </c>
    </row>
    <row r="28" spans="1:20" ht="14.25">
      <c r="A28" s="681" t="s">
        <v>715</v>
      </c>
      <c r="B28" s="682">
        <f>估价对象房地状况!C19</f>
        <v>0</v>
      </c>
      <c r="C28" s="668" t="s">
        <v>713</v>
      </c>
      <c r="D28" s="688">
        <f t="shared" si="8"/>
        <v>0.03</v>
      </c>
      <c r="E28" s="689">
        <v>0.08</v>
      </c>
      <c r="F28" s="701"/>
      <c r="G28" s="974"/>
      <c r="H28" s="794">
        <v>0.03</v>
      </c>
      <c r="I28" s="667">
        <f t="shared" si="10"/>
        <v>0.06</v>
      </c>
      <c r="J28" s="667">
        <f t="shared" si="11"/>
        <v>0.03</v>
      </c>
      <c r="K28" s="666">
        <v>0</v>
      </c>
      <c r="L28" s="667">
        <f t="shared" si="9"/>
        <v>-0.03</v>
      </c>
      <c r="M28" s="667">
        <f t="shared" si="9"/>
        <v>-0.06</v>
      </c>
    </row>
    <row r="29" spans="1:20" ht="14.25">
      <c r="A29" s="681" t="s">
        <v>724</v>
      </c>
      <c r="B29" s="682">
        <f>估价对象房地状况!C10</f>
        <v>0</v>
      </c>
      <c r="C29" s="668" t="s">
        <v>29</v>
      </c>
      <c r="D29" s="688">
        <f t="shared" si="8"/>
        <v>0.05</v>
      </c>
      <c r="E29" s="689">
        <v>0.04</v>
      </c>
      <c r="F29" s="701"/>
      <c r="G29" s="974"/>
      <c r="H29" s="794">
        <v>2.5000000000000001E-2</v>
      </c>
      <c r="I29" s="667">
        <f t="shared" si="10"/>
        <v>0.05</v>
      </c>
      <c r="J29" s="667">
        <f t="shared" si="11"/>
        <v>2.5000000000000001E-2</v>
      </c>
      <c r="K29" s="666">
        <v>0</v>
      </c>
      <c r="L29" s="667">
        <f t="shared" si="9"/>
        <v>-2.5000000000000001E-2</v>
      </c>
      <c r="M29" s="667">
        <f t="shared" si="9"/>
        <v>-0.05</v>
      </c>
    </row>
    <row r="30" spans="1:20" s="970" customFormat="1" ht="14.25">
      <c r="A30" s="681" t="s">
        <v>719</v>
      </c>
      <c r="B30" s="921" t="str">
        <f>估价对象房地状况!C7</f>
        <v>估价对象所在区域公共配套设施齐备情况</v>
      </c>
      <c r="C30" s="668" t="s">
        <v>713</v>
      </c>
      <c r="D30" s="688">
        <f t="shared" si="8"/>
        <v>0.03</v>
      </c>
      <c r="E30" s="689">
        <v>0.08</v>
      </c>
      <c r="F30" s="701"/>
      <c r="G30" s="974"/>
      <c r="H30" s="794">
        <v>0.03</v>
      </c>
      <c r="I30" s="667">
        <f t="shared" si="10"/>
        <v>0.06</v>
      </c>
      <c r="J30" s="667">
        <f t="shared" si="11"/>
        <v>0.03</v>
      </c>
      <c r="K30" s="666">
        <v>0</v>
      </c>
      <c r="L30" s="667">
        <f t="shared" si="9"/>
        <v>-0.03</v>
      </c>
      <c r="M30" s="667">
        <f t="shared" si="9"/>
        <v>-0.06</v>
      </c>
      <c r="N30" s="969"/>
      <c r="O30" s="969"/>
      <c r="P30" s="969"/>
      <c r="Q30" s="969"/>
      <c r="R30" s="969"/>
      <c r="S30" s="969"/>
      <c r="T30" s="969"/>
    </row>
    <row r="31" spans="1:20" ht="14.25">
      <c r="A31" s="681" t="s">
        <v>720</v>
      </c>
      <c r="B31" s="922"/>
      <c r="C31" s="668" t="s">
        <v>29</v>
      </c>
      <c r="D31" s="688">
        <f t="shared" si="8"/>
        <v>0.06</v>
      </c>
      <c r="E31" s="689">
        <v>0.12</v>
      </c>
      <c r="F31" s="701"/>
      <c r="G31" s="974"/>
      <c r="H31" s="794">
        <v>0.03</v>
      </c>
      <c r="I31" s="667">
        <f t="shared" si="10"/>
        <v>0.06</v>
      </c>
      <c r="J31" s="667">
        <f t="shared" si="11"/>
        <v>0.03</v>
      </c>
      <c r="K31" s="666">
        <v>0</v>
      </c>
      <c r="L31" s="667">
        <f t="shared" si="9"/>
        <v>-0.03</v>
      </c>
      <c r="M31" s="667">
        <f t="shared" si="9"/>
        <v>-0.06</v>
      </c>
    </row>
    <row r="32" spans="1:20" ht="14.25">
      <c r="A32" s="681" t="s">
        <v>718</v>
      </c>
      <c r="B32" s="670" t="s">
        <v>738</v>
      </c>
      <c r="C32" s="668" t="s">
        <v>30</v>
      </c>
      <c r="D32" s="688">
        <f t="shared" si="8"/>
        <v>0.03</v>
      </c>
      <c r="E32" s="689">
        <v>0.05</v>
      </c>
      <c r="F32" s="701"/>
      <c r="G32" s="974"/>
      <c r="H32" s="794">
        <v>0.03</v>
      </c>
      <c r="I32" s="667">
        <f t="shared" si="10"/>
        <v>0.06</v>
      </c>
      <c r="J32" s="667">
        <f t="shared" si="11"/>
        <v>0.03</v>
      </c>
      <c r="K32" s="666">
        <v>0</v>
      </c>
      <c r="L32" s="667">
        <f t="shared" si="9"/>
        <v>-0.03</v>
      </c>
      <c r="M32" s="667">
        <f t="shared" si="9"/>
        <v>-0.06</v>
      </c>
    </row>
    <row r="33" spans="1:13" ht="14.25">
      <c r="A33" s="681" t="s">
        <v>721</v>
      </c>
      <c r="B33" s="687" t="str">
        <f>估价对象房地状况!C9</f>
        <v>区域自然环境：；人文环境；综合评价环境状况一般</v>
      </c>
      <c r="C33" s="668" t="s">
        <v>713</v>
      </c>
      <c r="D33" s="688">
        <f t="shared" si="8"/>
        <v>0.06</v>
      </c>
      <c r="E33" s="689">
        <v>0.15</v>
      </c>
      <c r="F33" s="701"/>
      <c r="G33" s="974"/>
      <c r="H33" s="794">
        <v>0.06</v>
      </c>
      <c r="I33" s="667">
        <f t="shared" si="10"/>
        <v>0.12</v>
      </c>
      <c r="J33" s="667">
        <f t="shared" si="11"/>
        <v>0.06</v>
      </c>
      <c r="K33" s="666">
        <v>0</v>
      </c>
      <c r="L33" s="667">
        <f t="shared" si="9"/>
        <v>-0.06</v>
      </c>
      <c r="M33" s="667">
        <f t="shared" si="9"/>
        <v>-0.12</v>
      </c>
    </row>
    <row r="34" spans="1:13" ht="15" thickBot="1">
      <c r="A34" s="696" t="s">
        <v>725</v>
      </c>
      <c r="B34" s="671" t="s">
        <v>739</v>
      </c>
      <c r="C34" s="668" t="s">
        <v>31</v>
      </c>
      <c r="D34" s="688">
        <f t="shared" si="8"/>
        <v>0</v>
      </c>
      <c r="E34" s="698">
        <v>0.04</v>
      </c>
      <c r="F34" s="702"/>
      <c r="G34" s="974"/>
      <c r="H34" s="794">
        <v>0.03</v>
      </c>
      <c r="I34" s="667">
        <f t="shared" si="10"/>
        <v>0.06</v>
      </c>
      <c r="J34" s="667">
        <f t="shared" si="11"/>
        <v>0.03</v>
      </c>
      <c r="K34" s="666">
        <v>0</v>
      </c>
      <c r="L34" s="667">
        <f t="shared" si="9"/>
        <v>-0.03</v>
      </c>
      <c r="M34" s="667">
        <f t="shared" si="9"/>
        <v>-0.06</v>
      </c>
    </row>
    <row r="35" spans="1:13" ht="15">
      <c r="A35" s="675" t="s">
        <v>135</v>
      </c>
      <c r="B35" s="676">
        <f>1+F37</f>
        <v>1.0127999999999999</v>
      </c>
      <c r="C35" s="973"/>
      <c r="D35" s="678"/>
      <c r="E35" s="678"/>
      <c r="F35" s="679"/>
      <c r="G35" s="971"/>
      <c r="H35" s="967"/>
      <c r="I35" s="674"/>
      <c r="J35" s="674"/>
      <c r="K35" s="674"/>
      <c r="L35" s="674"/>
      <c r="M35" s="674"/>
    </row>
    <row r="36" spans="1:13" ht="13.5">
      <c r="A36" s="681" t="s">
        <v>709</v>
      </c>
      <c r="B36" s="682"/>
      <c r="C36" s="683" t="s">
        <v>711</v>
      </c>
      <c r="D36" s="684" t="s">
        <v>731</v>
      </c>
      <c r="E36" s="684" t="s">
        <v>732</v>
      </c>
      <c r="F36" s="685" t="s">
        <v>733</v>
      </c>
      <c r="G36" s="686" t="s">
        <v>938</v>
      </c>
      <c r="H36" s="684" t="s">
        <v>730</v>
      </c>
      <c r="I36" s="491" t="s">
        <v>82</v>
      </c>
      <c r="J36" s="491" t="s">
        <v>83</v>
      </c>
      <c r="K36" s="491" t="s">
        <v>84</v>
      </c>
      <c r="L36" s="491" t="s">
        <v>85</v>
      </c>
      <c r="M36" s="491" t="s">
        <v>86</v>
      </c>
    </row>
    <row r="37" spans="1:13" ht="24">
      <c r="A37" s="681" t="s">
        <v>726</v>
      </c>
      <c r="B37" s="682" t="str">
        <f>估价对象房地状况!G3</f>
        <v>估价对象位于XX开发区，园区建设成熟度XX，产业集聚程度XX</v>
      </c>
      <c r="C37" s="668" t="s">
        <v>713</v>
      </c>
      <c r="D37" s="688">
        <f t="shared" ref="D37:D44" si="12">SUMIF($I$3:$M$3,C37,I37:M37)</f>
        <v>0.02</v>
      </c>
      <c r="E37" s="689">
        <v>0.26</v>
      </c>
      <c r="F37" s="690">
        <f>D37*E37+D38*E38+D39*E39+D40*E40+D41*E41+D43*E43+D42*E42+D44*E44</f>
        <v>1.2800000000000001E-2</v>
      </c>
      <c r="G37" s="691" t="str">
        <f>IF(基准地价修正!E2="工业",SUMIF(基准地价修正!L1:L12,基准地价修正!G2,基准地价修正!N1:N12),"——")</f>
        <v>——</v>
      </c>
      <c r="H37" s="794">
        <v>0.02</v>
      </c>
      <c r="I37" s="667">
        <f>J37+$H37</f>
        <v>0.04</v>
      </c>
      <c r="J37" s="667">
        <f>$K37+$H37</f>
        <v>0.02</v>
      </c>
      <c r="K37" s="666">
        <v>0</v>
      </c>
      <c r="L37" s="667">
        <f t="shared" ref="L37:M44" si="13">K37-$H37</f>
        <v>-0.02</v>
      </c>
      <c r="M37" s="667">
        <f t="shared" si="13"/>
        <v>-0.04</v>
      </c>
    </row>
    <row r="38" spans="1:13" ht="24">
      <c r="A38" s="681" t="s">
        <v>714</v>
      </c>
      <c r="B38" s="682" t="str">
        <f>估价对象房地状况!G4</f>
        <v>估价对象周边道路状况、公共交通通达情况、停车便捷程度，综合评价交通便捷度较好</v>
      </c>
      <c r="C38" s="668" t="s">
        <v>713</v>
      </c>
      <c r="D38" s="688">
        <f t="shared" si="12"/>
        <v>0.01</v>
      </c>
      <c r="E38" s="689">
        <v>0.33</v>
      </c>
      <c r="F38" s="701"/>
      <c r="G38" s="974"/>
      <c r="H38" s="794">
        <v>0.01</v>
      </c>
      <c r="I38" s="667">
        <f t="shared" ref="I38:I44" si="14">J38+$H38</f>
        <v>0.02</v>
      </c>
      <c r="J38" s="667">
        <f t="shared" ref="J38:J44" si="15">$K38+$H38</f>
        <v>0.01</v>
      </c>
      <c r="K38" s="666">
        <v>0</v>
      </c>
      <c r="L38" s="667">
        <f t="shared" si="13"/>
        <v>-0.01</v>
      </c>
      <c r="M38" s="667">
        <f t="shared" si="13"/>
        <v>-0.02</v>
      </c>
    </row>
    <row r="39" spans="1:13" ht="14.25">
      <c r="A39" s="681" t="s">
        <v>715</v>
      </c>
      <c r="B39" s="682">
        <f>估价对象房地状况!G17</f>
        <v>0</v>
      </c>
      <c r="C39" s="668" t="s">
        <v>713</v>
      </c>
      <c r="D39" s="688">
        <f t="shared" si="12"/>
        <v>0.02</v>
      </c>
      <c r="E39" s="689">
        <v>0.05</v>
      </c>
      <c r="F39" s="701"/>
      <c r="G39" s="974"/>
      <c r="H39" s="794">
        <v>0.02</v>
      </c>
      <c r="I39" s="667">
        <f t="shared" si="14"/>
        <v>0.04</v>
      </c>
      <c r="J39" s="667">
        <f t="shared" si="15"/>
        <v>0.02</v>
      </c>
      <c r="K39" s="666">
        <v>0</v>
      </c>
      <c r="L39" s="667">
        <f t="shared" si="13"/>
        <v>-0.02</v>
      </c>
      <c r="M39" s="667">
        <f t="shared" si="13"/>
        <v>-0.04</v>
      </c>
    </row>
    <row r="40" spans="1:13" ht="14.25">
      <c r="A40" s="681" t="s">
        <v>724</v>
      </c>
      <c r="B40" s="682">
        <f>估价对象房地状况!G22</f>
        <v>0</v>
      </c>
      <c r="C40" s="668" t="s">
        <v>713</v>
      </c>
      <c r="D40" s="688">
        <f t="shared" si="12"/>
        <v>0.01</v>
      </c>
      <c r="E40" s="689">
        <v>0.04</v>
      </c>
      <c r="F40" s="701"/>
      <c r="G40" s="974"/>
      <c r="H40" s="794">
        <v>0.01</v>
      </c>
      <c r="I40" s="667">
        <f t="shared" si="14"/>
        <v>0.02</v>
      </c>
      <c r="J40" s="667">
        <f t="shared" si="15"/>
        <v>0.01</v>
      </c>
      <c r="K40" s="666">
        <v>0</v>
      </c>
      <c r="L40" s="667">
        <f t="shared" si="13"/>
        <v>-0.01</v>
      </c>
      <c r="M40" s="667">
        <f t="shared" si="13"/>
        <v>-0.02</v>
      </c>
    </row>
    <row r="41" spans="1:13" ht="14.25">
      <c r="A41" s="681" t="s">
        <v>719</v>
      </c>
      <c r="B41" s="921" t="str">
        <f>估价对象房地状况!G19</f>
        <v>估价对象所在区域公共配套设施齐备情况</v>
      </c>
      <c r="C41" s="668" t="s">
        <v>713</v>
      </c>
      <c r="D41" s="688">
        <f t="shared" si="12"/>
        <v>0.02</v>
      </c>
      <c r="E41" s="689">
        <v>0.06</v>
      </c>
      <c r="F41" s="701"/>
      <c r="G41" s="974"/>
      <c r="H41" s="794">
        <v>0.02</v>
      </c>
      <c r="I41" s="667">
        <f t="shared" si="14"/>
        <v>0.04</v>
      </c>
      <c r="J41" s="667">
        <f t="shared" si="15"/>
        <v>0.02</v>
      </c>
      <c r="K41" s="666">
        <v>0</v>
      </c>
      <c r="L41" s="667">
        <f t="shared" si="13"/>
        <v>-0.02</v>
      </c>
      <c r="M41" s="667">
        <f t="shared" si="13"/>
        <v>-0.04</v>
      </c>
    </row>
    <row r="42" spans="1:13" ht="14.25">
      <c r="A42" s="681" t="s">
        <v>720</v>
      </c>
      <c r="B42" s="922"/>
      <c r="C42" s="668" t="s">
        <v>713</v>
      </c>
      <c r="D42" s="688">
        <f t="shared" si="12"/>
        <v>0.01</v>
      </c>
      <c r="E42" s="689">
        <v>0.15</v>
      </c>
      <c r="F42" s="701"/>
      <c r="G42" s="974"/>
      <c r="H42" s="794">
        <v>0.01</v>
      </c>
      <c r="I42" s="667">
        <f t="shared" si="14"/>
        <v>0.02</v>
      </c>
      <c r="J42" s="667">
        <f t="shared" si="15"/>
        <v>0.01</v>
      </c>
      <c r="K42" s="666">
        <v>0</v>
      </c>
      <c r="L42" s="667">
        <f t="shared" si="13"/>
        <v>-0.01</v>
      </c>
      <c r="M42" s="667">
        <f t="shared" si="13"/>
        <v>-0.02</v>
      </c>
    </row>
    <row r="43" spans="1:13" ht="14.25">
      <c r="A43" s="681" t="s">
        <v>718</v>
      </c>
      <c r="B43" s="670" t="s">
        <v>738</v>
      </c>
      <c r="C43" s="668" t="s">
        <v>32</v>
      </c>
      <c r="D43" s="688">
        <f t="shared" si="12"/>
        <v>-0.02</v>
      </c>
      <c r="E43" s="689">
        <v>0.05</v>
      </c>
      <c r="F43" s="701"/>
      <c r="G43" s="974"/>
      <c r="H43" s="794">
        <v>0.02</v>
      </c>
      <c r="I43" s="667">
        <f t="shared" si="14"/>
        <v>0.04</v>
      </c>
      <c r="J43" s="667">
        <f t="shared" si="15"/>
        <v>0.02</v>
      </c>
      <c r="K43" s="666">
        <v>0</v>
      </c>
      <c r="L43" s="667">
        <f t="shared" si="13"/>
        <v>-0.02</v>
      </c>
      <c r="M43" s="667">
        <f t="shared" si="13"/>
        <v>-0.04</v>
      </c>
    </row>
    <row r="44" spans="1:13" ht="24.75" thickBot="1">
      <c r="A44" s="696" t="s">
        <v>727</v>
      </c>
      <c r="B44" s="703" t="str">
        <f>估价对象房地状况!G18</f>
        <v>该园区内是否有污染型企业，绿化情况，卫生条件，整体环境状况判断</v>
      </c>
      <c r="C44" s="668" t="s">
        <v>29</v>
      </c>
      <c r="D44" s="688">
        <f t="shared" si="12"/>
        <v>0.02</v>
      </c>
      <c r="E44" s="698">
        <v>0.06</v>
      </c>
      <c r="F44" s="702"/>
      <c r="G44" s="974"/>
      <c r="H44" s="794">
        <v>0.01</v>
      </c>
      <c r="I44" s="667">
        <f t="shared" si="14"/>
        <v>0.02</v>
      </c>
      <c r="J44" s="667">
        <f t="shared" si="15"/>
        <v>0.01</v>
      </c>
      <c r="K44" s="666">
        <v>0</v>
      </c>
      <c r="L44" s="667">
        <f t="shared" si="13"/>
        <v>-0.01</v>
      </c>
      <c r="M44" s="667">
        <f t="shared" si="13"/>
        <v>-0.02</v>
      </c>
    </row>
    <row r="45" spans="1:13" s="969" customFormat="1" ht="18" customHeight="1">
      <c r="B45" s="975"/>
      <c r="C45" s="923"/>
      <c r="D45" s="976"/>
      <c r="E45" s="976"/>
      <c r="F45" s="977"/>
      <c r="H45" s="977"/>
    </row>
    <row r="46" spans="1:13" s="969" customFormat="1" ht="18" customHeight="1">
      <c r="B46" s="975"/>
      <c r="C46" s="923"/>
      <c r="D46" s="976"/>
      <c r="E46" s="976"/>
      <c r="F46" s="977"/>
      <c r="H46" s="977"/>
    </row>
    <row r="47" spans="1:13" s="969" customFormat="1" ht="18" customHeight="1">
      <c r="B47" s="975"/>
      <c r="C47" s="923"/>
      <c r="D47" s="976"/>
      <c r="E47" s="976"/>
      <c r="F47" s="977"/>
      <c r="H47" s="977"/>
    </row>
    <row r="48" spans="1:13" s="969" customFormat="1" ht="18" customHeight="1">
      <c r="B48" s="975"/>
      <c r="C48" s="923"/>
      <c r="D48" s="976"/>
      <c r="E48" s="976"/>
      <c r="F48" s="977"/>
      <c r="H48" s="977"/>
    </row>
    <row r="49" spans="2:8" s="969" customFormat="1" ht="18" customHeight="1">
      <c r="B49" s="975"/>
      <c r="C49" s="923"/>
      <c r="D49" s="976"/>
      <c r="E49" s="976"/>
      <c r="F49" s="977"/>
      <c r="H49" s="977"/>
    </row>
    <row r="50" spans="2:8" s="969" customFormat="1" ht="18" customHeight="1">
      <c r="B50" s="975"/>
      <c r="C50" s="923"/>
      <c r="D50" s="976"/>
      <c r="E50" s="976"/>
      <c r="F50" s="977"/>
      <c r="H50" s="977"/>
    </row>
    <row r="51" spans="2:8" s="969" customFormat="1" ht="18" customHeight="1">
      <c r="B51" s="975"/>
      <c r="C51" s="923"/>
      <c r="D51" s="976"/>
      <c r="E51" s="976"/>
      <c r="F51" s="977"/>
      <c r="H51" s="977"/>
    </row>
    <row r="52" spans="2:8" s="969" customFormat="1" ht="18" customHeight="1">
      <c r="B52" s="975"/>
      <c r="C52" s="923"/>
      <c r="D52" s="976"/>
      <c r="E52" s="976"/>
      <c r="F52" s="977"/>
      <c r="H52" s="977"/>
    </row>
    <row r="53" spans="2:8" s="969" customFormat="1" ht="18" customHeight="1">
      <c r="B53" s="975"/>
      <c r="C53" s="923"/>
      <c r="D53" s="976"/>
      <c r="E53" s="976"/>
      <c r="F53" s="977"/>
      <c r="H53" s="977"/>
    </row>
    <row r="54" spans="2:8" s="969" customFormat="1" ht="18" customHeight="1">
      <c r="B54" s="975"/>
      <c r="C54" s="923"/>
      <c r="D54" s="976"/>
      <c r="E54" s="976"/>
      <c r="F54" s="977"/>
      <c r="H54" s="977"/>
    </row>
    <row r="55" spans="2:8" s="969" customFormat="1" ht="18" customHeight="1">
      <c r="B55" s="975"/>
      <c r="C55" s="923"/>
      <c r="D55" s="976"/>
      <c r="E55" s="976"/>
      <c r="F55" s="977"/>
      <c r="H55" s="977"/>
    </row>
    <row r="56" spans="2:8" s="969" customFormat="1" ht="18" customHeight="1">
      <c r="B56" s="975"/>
      <c r="C56" s="923"/>
      <c r="D56" s="976"/>
      <c r="E56" s="976"/>
      <c r="F56" s="977"/>
      <c r="H56" s="977"/>
    </row>
    <row r="57" spans="2:8" s="969" customFormat="1" ht="18" customHeight="1">
      <c r="B57" s="975"/>
      <c r="C57" s="923"/>
      <c r="D57" s="976"/>
      <c r="E57" s="976"/>
      <c r="F57" s="977"/>
      <c r="H57" s="977"/>
    </row>
    <row r="58" spans="2:8" s="969" customFormat="1" ht="18" customHeight="1">
      <c r="B58" s="975"/>
      <c r="C58" s="923"/>
      <c r="D58" s="976"/>
      <c r="E58" s="976"/>
      <c r="F58" s="977"/>
      <c r="H58" s="977"/>
    </row>
    <row r="59" spans="2:8" s="969" customFormat="1" ht="18" customHeight="1">
      <c r="B59" s="975"/>
      <c r="C59" s="923"/>
      <c r="D59" s="976"/>
      <c r="E59" s="976"/>
      <c r="F59" s="977"/>
      <c r="H59" s="977"/>
    </row>
    <row r="60" spans="2:8" s="969" customFormat="1" ht="18" customHeight="1">
      <c r="B60" s="975"/>
      <c r="C60" s="923"/>
      <c r="D60" s="976"/>
      <c r="E60" s="976"/>
      <c r="F60" s="977"/>
      <c r="H60" s="977"/>
    </row>
    <row r="61" spans="2:8" s="969" customFormat="1" ht="18" customHeight="1">
      <c r="B61" s="975"/>
      <c r="C61" s="923"/>
      <c r="D61" s="976"/>
      <c r="E61" s="976"/>
      <c r="F61" s="977"/>
      <c r="H61" s="977"/>
    </row>
    <row r="62" spans="2:8" s="969" customFormat="1" ht="18" customHeight="1">
      <c r="B62" s="975"/>
      <c r="C62" s="923"/>
      <c r="D62" s="976"/>
      <c r="E62" s="976"/>
      <c r="F62" s="977"/>
      <c r="H62" s="977"/>
    </row>
    <row r="63" spans="2:8" s="969" customFormat="1" ht="18" customHeight="1">
      <c r="B63" s="975"/>
      <c r="C63" s="923"/>
      <c r="D63" s="976"/>
      <c r="E63" s="976"/>
      <c r="F63" s="977"/>
      <c r="H63" s="977"/>
    </row>
    <row r="64" spans="2:8" s="969" customFormat="1" ht="18" customHeight="1">
      <c r="B64" s="975"/>
      <c r="C64" s="923"/>
      <c r="D64" s="976"/>
      <c r="E64" s="976"/>
      <c r="F64" s="977"/>
      <c r="H64" s="977"/>
    </row>
    <row r="65" spans="2:8" s="969" customFormat="1" ht="18" customHeight="1">
      <c r="B65" s="975"/>
      <c r="C65" s="923"/>
      <c r="D65" s="976"/>
      <c r="E65" s="976"/>
      <c r="F65" s="977"/>
      <c r="H65" s="977"/>
    </row>
    <row r="66" spans="2:8" s="969" customFormat="1" ht="18" customHeight="1">
      <c r="B66" s="975"/>
      <c r="C66" s="923"/>
      <c r="D66" s="976"/>
      <c r="E66" s="976"/>
      <c r="F66" s="977"/>
      <c r="H66" s="977"/>
    </row>
    <row r="67" spans="2:8" s="969" customFormat="1" ht="18" customHeight="1">
      <c r="B67" s="975"/>
      <c r="C67" s="923"/>
      <c r="D67" s="976"/>
      <c r="E67" s="976"/>
      <c r="F67" s="977"/>
      <c r="H67" s="977"/>
    </row>
    <row r="68" spans="2:8" s="969" customFormat="1" ht="18" customHeight="1">
      <c r="B68" s="975"/>
      <c r="C68" s="923"/>
      <c r="D68" s="976"/>
      <c r="E68" s="976"/>
      <c r="F68" s="977"/>
      <c r="H68" s="977"/>
    </row>
    <row r="69" spans="2:8" s="969" customFormat="1" ht="18" customHeight="1">
      <c r="B69" s="975"/>
      <c r="C69" s="923"/>
      <c r="D69" s="976"/>
      <c r="E69" s="976"/>
      <c r="F69" s="977"/>
      <c r="H69" s="977"/>
    </row>
    <row r="70" spans="2:8" s="969" customFormat="1" ht="18" customHeight="1">
      <c r="B70" s="975"/>
      <c r="C70" s="923"/>
      <c r="D70" s="976"/>
      <c r="E70" s="976"/>
      <c r="F70" s="977"/>
      <c r="H70" s="977"/>
    </row>
    <row r="71" spans="2:8" s="969" customFormat="1" ht="18" customHeight="1">
      <c r="B71" s="975"/>
      <c r="C71" s="923"/>
      <c r="D71" s="976"/>
      <c r="E71" s="976"/>
      <c r="F71" s="977"/>
      <c r="H71" s="977"/>
    </row>
    <row r="72" spans="2:8" s="969" customFormat="1" ht="18" customHeight="1">
      <c r="B72" s="975"/>
      <c r="C72" s="923"/>
      <c r="D72" s="976"/>
      <c r="E72" s="976"/>
      <c r="F72" s="977"/>
      <c r="H72" s="977"/>
    </row>
    <row r="73" spans="2:8" s="969" customFormat="1" ht="18" customHeight="1">
      <c r="B73" s="975"/>
      <c r="C73" s="923"/>
      <c r="D73" s="976"/>
      <c r="E73" s="976"/>
      <c r="F73" s="977"/>
      <c r="H73" s="977"/>
    </row>
    <row r="74" spans="2:8" s="969" customFormat="1" ht="18" customHeight="1">
      <c r="B74" s="975"/>
      <c r="C74" s="923"/>
      <c r="D74" s="976"/>
      <c r="E74" s="976"/>
      <c r="F74" s="977"/>
      <c r="H74" s="977"/>
    </row>
    <row r="75" spans="2:8" s="969" customFormat="1" ht="18" customHeight="1">
      <c r="B75" s="975"/>
      <c r="C75" s="923"/>
      <c r="D75" s="976"/>
      <c r="E75" s="976"/>
      <c r="F75" s="977"/>
      <c r="H75" s="977"/>
    </row>
    <row r="76" spans="2:8" s="969" customFormat="1" ht="18" customHeight="1">
      <c r="B76" s="975"/>
      <c r="C76" s="923"/>
      <c r="D76" s="976"/>
      <c r="E76" s="976"/>
      <c r="F76" s="977"/>
      <c r="H76" s="977"/>
    </row>
    <row r="77" spans="2:8" s="969" customFormat="1" ht="18" customHeight="1">
      <c r="B77" s="975"/>
      <c r="C77" s="923"/>
      <c r="D77" s="976"/>
      <c r="E77" s="976"/>
      <c r="F77" s="977"/>
      <c r="H77" s="977"/>
    </row>
    <row r="78" spans="2:8" s="969" customFormat="1" ht="18" customHeight="1">
      <c r="B78" s="975"/>
      <c r="C78" s="923"/>
      <c r="D78" s="976"/>
      <c r="E78" s="976"/>
      <c r="F78" s="977"/>
      <c r="H78" s="977"/>
    </row>
    <row r="79" spans="2:8" s="969" customFormat="1" ht="18" customHeight="1">
      <c r="B79" s="975"/>
      <c r="C79" s="923"/>
      <c r="D79" s="976"/>
      <c r="E79" s="976"/>
      <c r="F79" s="977"/>
      <c r="H79" s="977"/>
    </row>
    <row r="80" spans="2:8" s="969" customFormat="1" ht="18" customHeight="1">
      <c r="B80" s="975"/>
      <c r="C80" s="923"/>
      <c r="D80" s="976"/>
      <c r="E80" s="976"/>
      <c r="F80" s="977"/>
      <c r="H80" s="977"/>
    </row>
    <row r="81" spans="2:8" s="969" customFormat="1" ht="18" customHeight="1">
      <c r="B81" s="975"/>
      <c r="C81" s="923"/>
      <c r="D81" s="976"/>
      <c r="E81" s="976"/>
      <c r="F81" s="977"/>
      <c r="H81" s="977"/>
    </row>
    <row r="82" spans="2:8" s="969" customFormat="1" ht="18" customHeight="1">
      <c r="B82" s="975"/>
      <c r="C82" s="923"/>
      <c r="D82" s="976"/>
      <c r="E82" s="976"/>
      <c r="F82" s="977"/>
      <c r="H82" s="977"/>
    </row>
    <row r="83" spans="2:8" s="969" customFormat="1" ht="18" customHeight="1">
      <c r="B83" s="975"/>
      <c r="C83" s="923"/>
      <c r="D83" s="976"/>
      <c r="E83" s="976"/>
      <c r="F83" s="977"/>
      <c r="H83" s="977"/>
    </row>
    <row r="84" spans="2:8" s="969" customFormat="1" ht="18" customHeight="1">
      <c r="B84" s="975"/>
      <c r="C84" s="923"/>
      <c r="D84" s="976"/>
      <c r="E84" s="976"/>
      <c r="F84" s="977"/>
      <c r="H84" s="977"/>
    </row>
    <row r="85" spans="2:8" s="969" customFormat="1" ht="18" customHeight="1">
      <c r="B85" s="975"/>
      <c r="C85" s="923"/>
      <c r="D85" s="976"/>
      <c r="E85" s="976"/>
      <c r="F85" s="977"/>
      <c r="H85" s="977"/>
    </row>
    <row r="86" spans="2:8" s="969" customFormat="1" ht="18" customHeight="1">
      <c r="B86" s="975"/>
      <c r="C86" s="923"/>
      <c r="D86" s="976"/>
      <c r="E86" s="976"/>
      <c r="F86" s="977"/>
      <c r="H86" s="977"/>
    </row>
    <row r="87" spans="2:8" s="969" customFormat="1" ht="18" customHeight="1">
      <c r="B87" s="975"/>
      <c r="C87" s="923"/>
      <c r="D87" s="976"/>
      <c r="E87" s="976"/>
      <c r="F87" s="977"/>
      <c r="H87" s="977"/>
    </row>
    <row r="88" spans="2:8" s="969" customFormat="1" ht="18" customHeight="1">
      <c r="B88" s="975"/>
      <c r="C88" s="923"/>
      <c r="D88" s="976"/>
      <c r="E88" s="976"/>
      <c r="F88" s="977"/>
      <c r="H88" s="977"/>
    </row>
    <row r="89" spans="2:8" s="969" customFormat="1" ht="18" customHeight="1">
      <c r="B89" s="975"/>
      <c r="C89" s="923"/>
      <c r="D89" s="976"/>
      <c r="E89" s="976"/>
      <c r="F89" s="977"/>
      <c r="H89" s="977"/>
    </row>
    <row r="90" spans="2:8" s="969" customFormat="1" ht="18" customHeight="1">
      <c r="B90" s="975"/>
      <c r="C90" s="923"/>
      <c r="D90" s="976"/>
      <c r="E90" s="976"/>
      <c r="F90" s="977"/>
      <c r="H90" s="977"/>
    </row>
    <row r="91" spans="2:8" s="969" customFormat="1" ht="18" customHeight="1">
      <c r="B91" s="975"/>
      <c r="C91" s="923"/>
      <c r="D91" s="976"/>
      <c r="E91" s="976"/>
      <c r="F91" s="977"/>
      <c r="H91" s="977"/>
    </row>
    <row r="92" spans="2:8" s="969" customFormat="1" ht="18" customHeight="1">
      <c r="B92" s="975"/>
      <c r="C92" s="923"/>
      <c r="D92" s="976"/>
      <c r="E92" s="976"/>
      <c r="F92" s="977"/>
      <c r="H92" s="977"/>
    </row>
    <row r="93" spans="2:8" s="969" customFormat="1" ht="18" customHeight="1">
      <c r="B93" s="975"/>
      <c r="C93" s="923"/>
      <c r="D93" s="976"/>
      <c r="E93" s="976"/>
      <c r="F93" s="977"/>
      <c r="H93" s="977"/>
    </row>
    <row r="94" spans="2:8" s="969" customFormat="1" ht="18" customHeight="1">
      <c r="B94" s="975"/>
      <c r="C94" s="923"/>
      <c r="D94" s="976"/>
      <c r="E94" s="976"/>
      <c r="F94" s="977"/>
      <c r="H94" s="977"/>
    </row>
    <row r="95" spans="2:8" s="969" customFormat="1" ht="18" customHeight="1">
      <c r="B95" s="975"/>
      <c r="C95" s="923"/>
      <c r="D95" s="976"/>
      <c r="E95" s="976"/>
      <c r="F95" s="977"/>
      <c r="H95" s="977"/>
    </row>
    <row r="96" spans="2:8" s="969" customFormat="1" ht="18" customHeight="1">
      <c r="B96" s="975"/>
      <c r="C96" s="923"/>
      <c r="D96" s="976"/>
      <c r="E96" s="976"/>
      <c r="F96" s="977"/>
      <c r="H96" s="977"/>
    </row>
    <row r="97" spans="2:8" s="969" customFormat="1" ht="18" customHeight="1">
      <c r="B97" s="975"/>
      <c r="C97" s="923"/>
      <c r="D97" s="976"/>
      <c r="E97" s="976"/>
      <c r="F97" s="977"/>
      <c r="H97" s="977"/>
    </row>
    <row r="98" spans="2:8" s="969" customFormat="1" ht="18" customHeight="1">
      <c r="B98" s="975"/>
      <c r="C98" s="923"/>
      <c r="D98" s="976"/>
      <c r="E98" s="976"/>
      <c r="F98" s="977"/>
      <c r="H98" s="977"/>
    </row>
  </sheetData>
  <sheetProtection password="C66D" sheet="1" objects="1" scenarios="1" formatCells="0" formatColumns="0" formatRows="0"/>
  <phoneticPr fontId="74" type="noConversion"/>
  <conditionalFormatting sqref="G4">
    <cfRule type="cellIs" dxfId="3" priority="4" stopIfTrue="1" operator="notEqual">
      <formula>"——"</formula>
    </cfRule>
  </conditionalFormatting>
  <conditionalFormatting sqref="G15">
    <cfRule type="cellIs" dxfId="2" priority="3" stopIfTrue="1" operator="notEqual">
      <formula>"——"</formula>
    </cfRule>
  </conditionalFormatting>
  <conditionalFormatting sqref="G26">
    <cfRule type="cellIs" dxfId="1" priority="2" stopIfTrue="1" operator="notEqual">
      <formula>"——"</formula>
    </cfRule>
  </conditionalFormatting>
  <conditionalFormatting sqref="G37">
    <cfRule type="cellIs" dxfId="0" priority="1" stopIfTrue="1" operator="notEqual">
      <formula>"——"</formula>
    </cfRule>
  </conditionalFormatting>
  <dataValidations count="1">
    <dataValidation type="list" allowBlank="1" showInputMessage="1" showErrorMessage="1" sqref="C4:C12 C15:C23 C26:C34 C37:C44">
      <formula1>五等判定</formula1>
    </dataValidation>
  </dataValidations>
  <pageMargins left="0.7" right="0.7" top="0.75" bottom="0.75" header="0.3" footer="0.3"/>
  <pageSetup paperSize="9" scale="4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4"/>
  <sheetViews>
    <sheetView topLeftCell="A11" workbookViewId="0">
      <selection activeCell="P31" sqref="P31"/>
    </sheetView>
  </sheetViews>
  <sheetFormatPr defaultColWidth="9" defaultRowHeight="13.5"/>
  <cols>
    <col min="1" max="1" width="12.625" style="741" customWidth="1"/>
    <col min="2" max="5" width="10.25" style="674" customWidth="1"/>
    <col min="6" max="6" width="9" style="674"/>
    <col min="7" max="7" width="9" style="705"/>
    <col min="8" max="8" width="9" style="674"/>
    <col min="9" max="9" width="9" style="705"/>
    <col min="10" max="16384" width="9" style="674"/>
  </cols>
  <sheetData>
    <row r="1" spans="1:20">
      <c r="A1" s="3542" t="s">
        <v>105</v>
      </c>
      <c r="B1" s="3542"/>
      <c r="C1" s="3542"/>
      <c r="D1" s="3542"/>
      <c r="E1" s="3542"/>
      <c r="F1" s="3542"/>
      <c r="H1" s="706"/>
      <c r="I1" s="707" t="s">
        <v>106</v>
      </c>
      <c r="J1" s="708" t="s">
        <v>107</v>
      </c>
      <c r="K1" s="708" t="s">
        <v>108</v>
      </c>
      <c r="L1" s="708" t="s">
        <v>109</v>
      </c>
      <c r="M1" s="708" t="s">
        <v>110</v>
      </c>
      <c r="N1" s="708" t="s">
        <v>111</v>
      </c>
      <c r="O1" s="708" t="s">
        <v>112</v>
      </c>
      <c r="P1" s="708" t="s">
        <v>113</v>
      </c>
      <c r="Q1" s="708" t="s">
        <v>114</v>
      </c>
      <c r="R1" s="708" t="s">
        <v>115</v>
      </c>
      <c r="S1" s="708" t="s">
        <v>116</v>
      </c>
      <c r="T1" s="709" t="s">
        <v>117</v>
      </c>
    </row>
    <row r="2" spans="1:20" ht="14.25" thickBot="1">
      <c r="A2" s="3543" t="s">
        <v>118</v>
      </c>
      <c r="B2" s="3543"/>
      <c r="C2" s="3543"/>
      <c r="D2" s="3543"/>
      <c r="E2" s="3543"/>
      <c r="F2" s="3543"/>
      <c r="I2" s="710" t="s">
        <v>119</v>
      </c>
      <c r="J2" s="711" t="s">
        <v>120</v>
      </c>
      <c r="K2" s="711" t="s">
        <v>121</v>
      </c>
      <c r="L2" s="711" t="s">
        <v>122</v>
      </c>
      <c r="M2" s="711" t="s">
        <v>123</v>
      </c>
      <c r="N2" s="711" t="s">
        <v>124</v>
      </c>
      <c r="O2" s="711" t="s">
        <v>125</v>
      </c>
      <c r="P2" s="711" t="s">
        <v>126</v>
      </c>
      <c r="Q2" s="711" t="s">
        <v>127</v>
      </c>
      <c r="R2" s="711" t="s">
        <v>128</v>
      </c>
      <c r="S2" s="711" t="s">
        <v>129</v>
      </c>
      <c r="T2" s="711" t="s">
        <v>130</v>
      </c>
    </row>
    <row r="3" spans="1:20" s="706" customFormat="1" ht="19.5" customHeight="1">
      <c r="A3" s="3544" t="s">
        <v>131</v>
      </c>
      <c r="B3" s="712"/>
      <c r="C3" s="713" t="s">
        <v>132</v>
      </c>
      <c r="D3" s="713" t="s">
        <v>133</v>
      </c>
      <c r="E3" s="713" t="s">
        <v>728</v>
      </c>
      <c r="F3" s="713" t="s">
        <v>135</v>
      </c>
      <c r="G3" s="714"/>
      <c r="I3" s="710" t="s">
        <v>136</v>
      </c>
      <c r="J3" s="711" t="s">
        <v>137</v>
      </c>
      <c r="K3" s="711" t="s">
        <v>138</v>
      </c>
      <c r="L3" s="711" t="s">
        <v>139</v>
      </c>
      <c r="M3" s="711" t="s">
        <v>140</v>
      </c>
      <c r="N3" s="711" t="s">
        <v>141</v>
      </c>
      <c r="O3" s="711" t="s">
        <v>142</v>
      </c>
      <c r="P3" s="711" t="s">
        <v>143</v>
      </c>
      <c r="Q3" s="711" t="s">
        <v>144</v>
      </c>
      <c r="R3" s="711" t="s">
        <v>145</v>
      </c>
      <c r="S3" s="711" t="s">
        <v>146</v>
      </c>
      <c r="T3" s="711" t="s">
        <v>147</v>
      </c>
    </row>
    <row r="4" spans="1:20" s="706" customFormat="1" ht="19.5" customHeight="1" thickBot="1">
      <c r="A4" s="3545"/>
      <c r="B4" s="715" t="s">
        <v>148</v>
      </c>
      <c r="C4" s="715" t="s">
        <v>149</v>
      </c>
      <c r="D4" s="715" t="s">
        <v>149</v>
      </c>
      <c r="E4" s="715" t="s">
        <v>149</v>
      </c>
      <c r="F4" s="716" t="s">
        <v>149</v>
      </c>
      <c r="G4" s="714"/>
      <c r="I4" s="710" t="s">
        <v>150</v>
      </c>
      <c r="J4" s="711" t="s">
        <v>88</v>
      </c>
      <c r="K4" s="711" t="s">
        <v>151</v>
      </c>
      <c r="L4" s="711" t="s">
        <v>152</v>
      </c>
      <c r="M4" s="711" t="s">
        <v>153</v>
      </c>
      <c r="N4" s="711" t="s">
        <v>154</v>
      </c>
      <c r="O4" s="711" t="s">
        <v>155</v>
      </c>
      <c r="P4" s="711" t="s">
        <v>156</v>
      </c>
      <c r="Q4" s="711" t="s">
        <v>157</v>
      </c>
      <c r="R4" s="711" t="s">
        <v>158</v>
      </c>
      <c r="S4" s="711" t="s">
        <v>159</v>
      </c>
      <c r="T4" s="711" t="s">
        <v>160</v>
      </c>
    </row>
    <row r="5" spans="1:20" ht="14.25" customHeight="1" thickBot="1">
      <c r="A5" s="717" t="s">
        <v>161</v>
      </c>
      <c r="B5" s="718" t="s">
        <v>119</v>
      </c>
      <c r="C5" s="718">
        <v>29530</v>
      </c>
      <c r="D5" s="718">
        <v>28130</v>
      </c>
      <c r="E5" s="718">
        <v>27930</v>
      </c>
      <c r="F5" s="719">
        <v>11300</v>
      </c>
      <c r="G5" s="720" t="s">
        <v>106</v>
      </c>
      <c r="H5" s="721">
        <f>SUMPRODUCT((B5:B9=基准地价修正!I2)*(C3:F3=基准地价修正!E2)*(C5:F9))</f>
        <v>0</v>
      </c>
      <c r="I5" s="710" t="s">
        <v>162</v>
      </c>
      <c r="J5" s="711" t="s">
        <v>163</v>
      </c>
      <c r="K5" s="711" t="s">
        <v>164</v>
      </c>
      <c r="L5" s="711" t="s">
        <v>165</v>
      </c>
      <c r="M5" s="711" t="s">
        <v>166</v>
      </c>
      <c r="N5" s="711" t="s">
        <v>167</v>
      </c>
      <c r="O5" s="711" t="s">
        <v>168</v>
      </c>
      <c r="P5" s="711" t="s">
        <v>169</v>
      </c>
      <c r="Q5" s="711" t="s">
        <v>170</v>
      </c>
      <c r="R5" s="711" t="s">
        <v>171</v>
      </c>
      <c r="S5" s="711" t="s">
        <v>172</v>
      </c>
      <c r="T5" s="711" t="s">
        <v>173</v>
      </c>
    </row>
    <row r="6" spans="1:20" ht="14.25" customHeight="1" thickBot="1">
      <c r="A6" s="717" t="s">
        <v>161</v>
      </c>
      <c r="B6" s="711" t="s">
        <v>136</v>
      </c>
      <c r="C6" s="711">
        <v>30290</v>
      </c>
      <c r="D6" s="711">
        <v>29210</v>
      </c>
      <c r="E6" s="711">
        <v>28860</v>
      </c>
      <c r="F6" s="722">
        <v>12600</v>
      </c>
      <c r="G6" s="723" t="s">
        <v>107</v>
      </c>
      <c r="H6" s="724">
        <f>SUMPRODUCT((B10:B28=基准地价修正!I2)*(C3:F3=基准地价修正!E2)*(C10:F28))</f>
        <v>0</v>
      </c>
      <c r="I6" s="710" t="s">
        <v>174</v>
      </c>
      <c r="J6" s="711" t="s">
        <v>175</v>
      </c>
      <c r="K6" s="711" t="s">
        <v>176</v>
      </c>
      <c r="L6" s="711" t="s">
        <v>177</v>
      </c>
      <c r="M6" s="711" t="s">
        <v>178</v>
      </c>
      <c r="N6" s="711" t="s">
        <v>179</v>
      </c>
      <c r="O6" s="711" t="s">
        <v>180</v>
      </c>
      <c r="P6" s="711" t="s">
        <v>181</v>
      </c>
      <c r="Q6" s="711" t="s">
        <v>182</v>
      </c>
      <c r="R6" s="711" t="s">
        <v>183</v>
      </c>
      <c r="S6" s="711" t="s">
        <v>184</v>
      </c>
      <c r="T6" s="711" t="s">
        <v>185</v>
      </c>
    </row>
    <row r="7" spans="1:20" ht="14.25" customHeight="1" thickBot="1">
      <c r="A7" s="717" t="s">
        <v>161</v>
      </c>
      <c r="B7" s="725" t="s">
        <v>150</v>
      </c>
      <c r="C7" s="711">
        <v>29350</v>
      </c>
      <c r="D7" s="711">
        <v>28410</v>
      </c>
      <c r="E7" s="711">
        <v>27990</v>
      </c>
      <c r="F7" s="722">
        <v>12300</v>
      </c>
      <c r="G7" s="723" t="s">
        <v>186</v>
      </c>
      <c r="H7" s="724">
        <f>SUMPRODUCT((B29:B48=基准地价修正!I2)*(C3:F3=基准地价修正!E2)*(C29:F48))</f>
        <v>21040</v>
      </c>
      <c r="J7" s="711" t="s">
        <v>187</v>
      </c>
      <c r="K7" s="711" t="s">
        <v>188</v>
      </c>
      <c r="L7" s="711" t="s">
        <v>189</v>
      </c>
      <c r="M7" s="711" t="s">
        <v>190</v>
      </c>
      <c r="N7" s="711" t="s">
        <v>191</v>
      </c>
      <c r="O7" s="711" t="s">
        <v>192</v>
      </c>
      <c r="P7" s="711" t="s">
        <v>193</v>
      </c>
      <c r="Q7" s="711" t="s">
        <v>194</v>
      </c>
      <c r="R7" s="711" t="s">
        <v>195</v>
      </c>
      <c r="S7" s="711" t="s">
        <v>196</v>
      </c>
      <c r="T7" s="725" t="s">
        <v>197</v>
      </c>
    </row>
    <row r="8" spans="1:20" ht="14.25" customHeight="1" thickBot="1">
      <c r="A8" s="717" t="s">
        <v>161</v>
      </c>
      <c r="B8" s="711" t="s">
        <v>162</v>
      </c>
      <c r="C8" s="711">
        <v>30890</v>
      </c>
      <c r="D8" s="711">
        <v>29780</v>
      </c>
      <c r="E8" s="711">
        <v>29270</v>
      </c>
      <c r="F8" s="722">
        <v>11600</v>
      </c>
      <c r="G8" s="723" t="s">
        <v>198</v>
      </c>
      <c r="H8" s="724">
        <f>SUMPRODUCT((B49:B75=基准地价修正!I2)*(C3:F3=基准地价修正!E2)*(C49:F75))</f>
        <v>0</v>
      </c>
      <c r="J8" s="711" t="s">
        <v>199</v>
      </c>
      <c r="K8" s="711" t="s">
        <v>200</v>
      </c>
      <c r="L8" s="711" t="s">
        <v>201</v>
      </c>
      <c r="M8" s="711" t="s">
        <v>202</v>
      </c>
      <c r="N8" s="711" t="s">
        <v>203</v>
      </c>
      <c r="O8" s="711" t="s">
        <v>204</v>
      </c>
      <c r="P8" s="711" t="s">
        <v>205</v>
      </c>
      <c r="Q8" s="711" t="s">
        <v>206</v>
      </c>
      <c r="R8" s="711" t="s">
        <v>207</v>
      </c>
      <c r="S8" s="711" t="s">
        <v>208</v>
      </c>
      <c r="T8" s="711" t="s">
        <v>209</v>
      </c>
    </row>
    <row r="9" spans="1:20" ht="14.25" customHeight="1" thickBot="1">
      <c r="A9" s="717" t="s">
        <v>161</v>
      </c>
      <c r="B9" s="726" t="s">
        <v>174</v>
      </c>
      <c r="C9" s="727">
        <v>28140</v>
      </c>
      <c r="D9" s="727"/>
      <c r="E9" s="727"/>
      <c r="F9" s="728"/>
      <c r="G9" s="723" t="s">
        <v>210</v>
      </c>
      <c r="H9" s="724">
        <f>SUMPRODUCT((B76:B109=基准地价修正!I2)*(C3:F3=基准地价修正!E2)*(C76:F109))</f>
        <v>0</v>
      </c>
      <c r="J9" s="711" t="s">
        <v>211</v>
      </c>
      <c r="K9" s="711" t="s">
        <v>212</v>
      </c>
      <c r="L9" s="711" t="s">
        <v>213</v>
      </c>
      <c r="M9" s="711" t="s">
        <v>214</v>
      </c>
      <c r="N9" s="711" t="s">
        <v>215</v>
      </c>
      <c r="O9" s="711" t="s">
        <v>216</v>
      </c>
      <c r="P9" s="711" t="s">
        <v>217</v>
      </c>
      <c r="Q9" s="711" t="s">
        <v>218</v>
      </c>
      <c r="R9" s="711" t="s">
        <v>219</v>
      </c>
      <c r="S9" s="711" t="s">
        <v>220</v>
      </c>
    </row>
    <row r="10" spans="1:20" ht="14.25" customHeight="1" thickBot="1">
      <c r="A10" s="717" t="s">
        <v>221</v>
      </c>
      <c r="B10" s="718" t="s">
        <v>222</v>
      </c>
      <c r="C10" s="718">
        <v>27450</v>
      </c>
      <c r="D10" s="718">
        <v>26180</v>
      </c>
      <c r="E10" s="718">
        <v>25980</v>
      </c>
      <c r="F10" s="719">
        <v>8910</v>
      </c>
      <c r="G10" s="723" t="s">
        <v>223</v>
      </c>
      <c r="H10" s="724">
        <f>SUMPRODUCT((B110:B157=基准地价修正!I2)*(C3:F3=基准地价修正!E2)*(C110:F157))</f>
        <v>0</v>
      </c>
      <c r="J10" s="711" t="s">
        <v>224</v>
      </c>
      <c r="K10" s="711" t="s">
        <v>225</v>
      </c>
      <c r="L10" s="711" t="s">
        <v>226</v>
      </c>
      <c r="M10" s="711" t="s">
        <v>227</v>
      </c>
      <c r="N10" s="711" t="s">
        <v>228</v>
      </c>
      <c r="O10" s="711" t="s">
        <v>229</v>
      </c>
      <c r="P10" s="711" t="s">
        <v>230</v>
      </c>
      <c r="Q10" s="711" t="s">
        <v>231</v>
      </c>
      <c r="R10" s="711" t="s">
        <v>232</v>
      </c>
      <c r="S10" s="711" t="s">
        <v>233</v>
      </c>
    </row>
    <row r="11" spans="1:20" ht="14.25" customHeight="1" thickBot="1">
      <c r="A11" s="717" t="s">
        <v>221</v>
      </c>
      <c r="B11" s="725" t="s">
        <v>137</v>
      </c>
      <c r="C11" s="711">
        <v>22950</v>
      </c>
      <c r="D11" s="711">
        <v>22630</v>
      </c>
      <c r="E11" s="711">
        <v>22030</v>
      </c>
      <c r="F11" s="729">
        <v>8330</v>
      </c>
      <c r="G11" s="723" t="s">
        <v>234</v>
      </c>
      <c r="H11" s="724">
        <f>SUMPRODUCT((B158:B205=基准地价修正!I2)*(C3:F3=基准地价修正!E2)*(C158:F205))</f>
        <v>0</v>
      </c>
      <c r="J11" s="711" t="s">
        <v>235</v>
      </c>
      <c r="K11" s="711" t="s">
        <v>236</v>
      </c>
      <c r="L11" s="711" t="s">
        <v>237</v>
      </c>
      <c r="M11" s="711" t="s">
        <v>238</v>
      </c>
      <c r="N11" s="711" t="s">
        <v>239</v>
      </c>
      <c r="O11" s="711" t="s">
        <v>240</v>
      </c>
      <c r="P11" s="711" t="s">
        <v>241</v>
      </c>
      <c r="Q11" s="711" t="s">
        <v>242</v>
      </c>
      <c r="R11" s="711" t="s">
        <v>243</v>
      </c>
      <c r="S11" s="711" t="s">
        <v>244</v>
      </c>
    </row>
    <row r="12" spans="1:20" ht="14.25" customHeight="1" thickBot="1">
      <c r="A12" s="717" t="s">
        <v>221</v>
      </c>
      <c r="B12" s="725" t="s">
        <v>88</v>
      </c>
      <c r="C12" s="711">
        <v>24940</v>
      </c>
      <c r="D12" s="711">
        <v>23180</v>
      </c>
      <c r="E12" s="711">
        <v>22910</v>
      </c>
      <c r="F12" s="729">
        <v>7180</v>
      </c>
      <c r="G12" s="723" t="s">
        <v>245</v>
      </c>
      <c r="H12" s="724">
        <f>SUMPRODUCT((B206:B244=基准地价修正!I2)*(C3:F3=基准地价修正!E2)*(C206:F244))</f>
        <v>0</v>
      </c>
      <c r="J12" s="711" t="s">
        <v>246</v>
      </c>
      <c r="K12" s="711" t="s">
        <v>247</v>
      </c>
      <c r="L12" s="711" t="s">
        <v>248</v>
      </c>
      <c r="M12" s="711" t="s">
        <v>249</v>
      </c>
      <c r="N12" s="711" t="s">
        <v>250</v>
      </c>
      <c r="O12" s="711" t="s">
        <v>251</v>
      </c>
      <c r="P12" s="711" t="s">
        <v>252</v>
      </c>
      <c r="Q12" s="711" t="s">
        <v>253</v>
      </c>
      <c r="R12" s="711" t="s">
        <v>254</v>
      </c>
      <c r="S12" s="711" t="s">
        <v>255</v>
      </c>
    </row>
    <row r="13" spans="1:20" ht="14.25" customHeight="1" thickBot="1">
      <c r="A13" s="717" t="s">
        <v>221</v>
      </c>
      <c r="B13" s="725" t="s">
        <v>163</v>
      </c>
      <c r="C13" s="711">
        <v>24140</v>
      </c>
      <c r="D13" s="711">
        <v>22270</v>
      </c>
      <c r="E13" s="711">
        <v>21950</v>
      </c>
      <c r="F13" s="729">
        <v>7600</v>
      </c>
      <c r="G13" s="723" t="s">
        <v>256</v>
      </c>
      <c r="H13" s="724">
        <f>SUMPRODUCT((B245:B289=基准地价修正!I2)*(C3:F3=基准地价修正!E2)*(C245:F289))</f>
        <v>0</v>
      </c>
      <c r="J13" s="711" t="s">
        <v>257</v>
      </c>
      <c r="K13" s="711" t="s">
        <v>258</v>
      </c>
      <c r="L13" s="711" t="s">
        <v>259</v>
      </c>
      <c r="M13" s="711" t="s">
        <v>260</v>
      </c>
      <c r="N13" s="711" t="s">
        <v>261</v>
      </c>
      <c r="O13" s="711" t="s">
        <v>262</v>
      </c>
      <c r="P13" s="711" t="s">
        <v>263</v>
      </c>
      <c r="Q13" s="711" t="s">
        <v>264</v>
      </c>
      <c r="R13" s="711" t="s">
        <v>265</v>
      </c>
      <c r="S13" s="711" t="s">
        <v>266</v>
      </c>
    </row>
    <row r="14" spans="1:20" ht="14.25" customHeight="1" thickBot="1">
      <c r="A14" s="717" t="s">
        <v>221</v>
      </c>
      <c r="B14" s="725" t="s">
        <v>175</v>
      </c>
      <c r="C14" s="711">
        <v>25600</v>
      </c>
      <c r="D14" s="711">
        <v>22260</v>
      </c>
      <c r="E14" s="711">
        <v>22110</v>
      </c>
      <c r="F14" s="729">
        <v>7630</v>
      </c>
      <c r="G14" s="723" t="s">
        <v>267</v>
      </c>
      <c r="H14" s="724">
        <f>SUMPRODUCT((B290:B316=基准地价修正!I2)*(C3:F3=基准地价修正!E2)*(C290:F316))</f>
        <v>0</v>
      </c>
      <c r="J14" s="711" t="s">
        <v>268</v>
      </c>
      <c r="K14" s="711" t="s">
        <v>269</v>
      </c>
      <c r="L14" s="711" t="s">
        <v>270</v>
      </c>
      <c r="M14" s="711" t="s">
        <v>271</v>
      </c>
      <c r="N14" s="711" t="s">
        <v>272</v>
      </c>
      <c r="O14" s="711" t="s">
        <v>273</v>
      </c>
      <c r="P14" s="711" t="s">
        <v>274</v>
      </c>
      <c r="Q14" s="711" t="s">
        <v>275</v>
      </c>
      <c r="R14" s="711" t="s">
        <v>276</v>
      </c>
      <c r="S14" s="711" t="s">
        <v>277</v>
      </c>
    </row>
    <row r="15" spans="1:20" ht="14.25" customHeight="1" thickBot="1">
      <c r="A15" s="717" t="s">
        <v>221</v>
      </c>
      <c r="B15" s="725" t="s">
        <v>187</v>
      </c>
      <c r="C15" s="711">
        <v>24760</v>
      </c>
      <c r="D15" s="711">
        <v>24440</v>
      </c>
      <c r="E15" s="711">
        <v>24130</v>
      </c>
      <c r="F15" s="729">
        <v>9480</v>
      </c>
      <c r="G15" s="723" t="s">
        <v>278</v>
      </c>
      <c r="H15" s="724">
        <f>SUMPRODUCT((B317:B337=基准地价修正!I2)*(C3:F3=基准地价修正!E2)*(C317:F337))</f>
        <v>0</v>
      </c>
      <c r="J15" s="711" t="s">
        <v>279</v>
      </c>
      <c r="K15" s="711" t="s">
        <v>280</v>
      </c>
      <c r="L15" s="711" t="s">
        <v>281</v>
      </c>
      <c r="M15" s="711" t="s">
        <v>282</v>
      </c>
      <c r="N15" s="711" t="s">
        <v>283</v>
      </c>
      <c r="O15" s="711" t="s">
        <v>284</v>
      </c>
      <c r="P15" s="711" t="s">
        <v>285</v>
      </c>
      <c r="Q15" s="711" t="s">
        <v>286</v>
      </c>
      <c r="R15" s="711" t="s">
        <v>287</v>
      </c>
      <c r="S15" s="711" t="s">
        <v>288</v>
      </c>
    </row>
    <row r="16" spans="1:20" ht="14.25" customHeight="1" thickBot="1">
      <c r="A16" s="717" t="s">
        <v>221</v>
      </c>
      <c r="B16" s="725" t="s">
        <v>199</v>
      </c>
      <c r="C16" s="711">
        <v>22220</v>
      </c>
      <c r="D16" s="711">
        <v>22310</v>
      </c>
      <c r="E16" s="711">
        <v>22000</v>
      </c>
      <c r="F16" s="729">
        <v>8900</v>
      </c>
      <c r="G16" s="730" t="s">
        <v>289</v>
      </c>
      <c r="H16" s="731">
        <f>SUMPRODUCT((B338:B344=基准地价修正!I2)*(C3:F3=基准地价修正!E2)*(C338:F344))</f>
        <v>0</v>
      </c>
      <c r="J16" s="711" t="s">
        <v>290</v>
      </c>
      <c r="K16" s="711" t="s">
        <v>291</v>
      </c>
      <c r="L16" s="711" t="s">
        <v>292</v>
      </c>
      <c r="M16" s="711" t="s">
        <v>293</v>
      </c>
      <c r="N16" s="711" t="s">
        <v>294</v>
      </c>
      <c r="O16" s="711" t="s">
        <v>295</v>
      </c>
      <c r="P16" s="711" t="s">
        <v>296</v>
      </c>
      <c r="Q16" s="711" t="s">
        <v>297</v>
      </c>
      <c r="R16" s="711" t="s">
        <v>298</v>
      </c>
      <c r="S16" s="711" t="s">
        <v>299</v>
      </c>
    </row>
    <row r="17" spans="1:19" ht="14.25" customHeight="1" thickBot="1">
      <c r="A17" s="717" t="s">
        <v>221</v>
      </c>
      <c r="B17" s="725" t="s">
        <v>211</v>
      </c>
      <c r="C17" s="711">
        <v>24700</v>
      </c>
      <c r="D17" s="711">
        <v>25150</v>
      </c>
      <c r="E17" s="711">
        <v>24700</v>
      </c>
      <c r="F17" s="732"/>
      <c r="H17" s="733"/>
      <c r="J17" s="711" t="s">
        <v>300</v>
      </c>
      <c r="K17" s="711" t="s">
        <v>301</v>
      </c>
      <c r="L17" s="711" t="s">
        <v>302</v>
      </c>
      <c r="M17" s="711" t="s">
        <v>303</v>
      </c>
      <c r="N17" s="711" t="s">
        <v>304</v>
      </c>
      <c r="O17" s="711" t="s">
        <v>305</v>
      </c>
      <c r="P17" s="711" t="s">
        <v>306</v>
      </c>
      <c r="Q17" s="711" t="s">
        <v>307</v>
      </c>
      <c r="R17" s="711" t="s">
        <v>308</v>
      </c>
      <c r="S17" s="711" t="s">
        <v>309</v>
      </c>
    </row>
    <row r="18" spans="1:19" ht="14.25" customHeight="1" thickBot="1">
      <c r="A18" s="717" t="s">
        <v>221</v>
      </c>
      <c r="B18" s="725" t="s">
        <v>224</v>
      </c>
      <c r="C18" s="711">
        <v>22350</v>
      </c>
      <c r="D18" s="711">
        <v>24340</v>
      </c>
      <c r="E18" s="711">
        <v>24100</v>
      </c>
      <c r="F18" s="732"/>
      <c r="H18" s="733"/>
      <c r="J18" s="711" t="s">
        <v>310</v>
      </c>
      <c r="K18" s="711" t="s">
        <v>311</v>
      </c>
      <c r="L18" s="711" t="s">
        <v>312</v>
      </c>
      <c r="M18" s="711" t="s">
        <v>313</v>
      </c>
      <c r="N18" s="711" t="s">
        <v>314</v>
      </c>
      <c r="O18" s="711" t="s">
        <v>315</v>
      </c>
      <c r="P18" s="711" t="s">
        <v>316</v>
      </c>
      <c r="Q18" s="711" t="s">
        <v>317</v>
      </c>
      <c r="R18" s="711" t="s">
        <v>318</v>
      </c>
      <c r="S18" s="711" t="s">
        <v>319</v>
      </c>
    </row>
    <row r="19" spans="1:19" ht="14.25" customHeight="1" thickBot="1">
      <c r="A19" s="717" t="s">
        <v>221</v>
      </c>
      <c r="B19" s="725" t="s">
        <v>235</v>
      </c>
      <c r="C19" s="711">
        <v>23430</v>
      </c>
      <c r="D19" s="711">
        <v>21580</v>
      </c>
      <c r="E19" s="711">
        <v>21350</v>
      </c>
      <c r="F19" s="732"/>
      <c r="H19" s="733"/>
      <c r="J19" s="711" t="s">
        <v>320</v>
      </c>
      <c r="K19" s="711" t="s">
        <v>321</v>
      </c>
      <c r="L19" s="711" t="s">
        <v>322</v>
      </c>
      <c r="M19" s="711" t="s">
        <v>323</v>
      </c>
      <c r="N19" s="711" t="s">
        <v>324</v>
      </c>
      <c r="O19" s="711" t="s">
        <v>325</v>
      </c>
      <c r="P19" s="711" t="s">
        <v>326</v>
      </c>
      <c r="Q19" s="711" t="s">
        <v>327</v>
      </c>
      <c r="R19" s="711" t="s">
        <v>328</v>
      </c>
      <c r="S19" s="711" t="s">
        <v>329</v>
      </c>
    </row>
    <row r="20" spans="1:19" ht="14.25" customHeight="1" thickBot="1">
      <c r="A20" s="717" t="s">
        <v>221</v>
      </c>
      <c r="B20" s="725" t="s">
        <v>246</v>
      </c>
      <c r="C20" s="711">
        <v>27660</v>
      </c>
      <c r="D20" s="711">
        <v>24240</v>
      </c>
      <c r="E20" s="711">
        <v>24020</v>
      </c>
      <c r="F20" s="732"/>
      <c r="J20" s="711" t="s">
        <v>330</v>
      </c>
      <c r="K20" s="711" t="s">
        <v>331</v>
      </c>
      <c r="L20" s="711" t="s">
        <v>332</v>
      </c>
      <c r="M20" s="711" t="s">
        <v>333</v>
      </c>
      <c r="N20" s="711" t="s">
        <v>334</v>
      </c>
      <c r="O20" s="711" t="s">
        <v>335</v>
      </c>
      <c r="P20" s="711" t="s">
        <v>336</v>
      </c>
      <c r="Q20" s="711" t="s">
        <v>337</v>
      </c>
      <c r="R20" s="711" t="s">
        <v>338</v>
      </c>
      <c r="S20" s="711" t="s">
        <v>339</v>
      </c>
    </row>
    <row r="21" spans="1:19" ht="14.25" customHeight="1" thickBot="1">
      <c r="A21" s="717" t="s">
        <v>221</v>
      </c>
      <c r="B21" s="725" t="s">
        <v>257</v>
      </c>
      <c r="C21" s="711">
        <v>24720</v>
      </c>
      <c r="D21" s="711">
        <v>21670</v>
      </c>
      <c r="E21" s="711">
        <v>21510</v>
      </c>
      <c r="F21" s="732"/>
      <c r="K21" s="711" t="s">
        <v>340</v>
      </c>
      <c r="L21" s="711" t="s">
        <v>341</v>
      </c>
      <c r="M21" s="711" t="s">
        <v>342</v>
      </c>
      <c r="N21" s="711" t="s">
        <v>343</v>
      </c>
      <c r="O21" s="711" t="s">
        <v>344</v>
      </c>
      <c r="P21" s="711" t="s">
        <v>345</v>
      </c>
      <c r="Q21" s="711" t="s">
        <v>346</v>
      </c>
      <c r="R21" s="711" t="s">
        <v>347</v>
      </c>
      <c r="S21" s="711" t="s">
        <v>348</v>
      </c>
    </row>
    <row r="22" spans="1:19" ht="14.25" customHeight="1" thickBot="1">
      <c r="A22" s="717" t="s">
        <v>221</v>
      </c>
      <c r="B22" s="725" t="s">
        <v>349</v>
      </c>
      <c r="C22" s="711">
        <v>26530</v>
      </c>
      <c r="D22" s="711">
        <v>22980</v>
      </c>
      <c r="E22" s="711">
        <v>22650</v>
      </c>
      <c r="F22" s="732"/>
      <c r="L22" s="711" t="s">
        <v>350</v>
      </c>
      <c r="M22" s="711" t="s">
        <v>351</v>
      </c>
      <c r="N22" s="711" t="s">
        <v>352</v>
      </c>
      <c r="O22" s="711" t="s">
        <v>353</v>
      </c>
      <c r="P22" s="711" t="s">
        <v>354</v>
      </c>
      <c r="Q22" s="711" t="s">
        <v>355</v>
      </c>
      <c r="R22" s="711" t="s">
        <v>356</v>
      </c>
      <c r="S22" s="725" t="s">
        <v>357</v>
      </c>
    </row>
    <row r="23" spans="1:19" ht="14.25" customHeight="1" thickBot="1">
      <c r="A23" s="717" t="s">
        <v>221</v>
      </c>
      <c r="B23" s="725" t="s">
        <v>279</v>
      </c>
      <c r="C23" s="711">
        <v>24700</v>
      </c>
      <c r="D23" s="711">
        <v>27290</v>
      </c>
      <c r="E23" s="711">
        <v>26710</v>
      </c>
      <c r="F23" s="732"/>
      <c r="L23" s="711" t="s">
        <v>358</v>
      </c>
      <c r="M23" s="711" t="s">
        <v>359</v>
      </c>
      <c r="N23" s="711" t="s">
        <v>360</v>
      </c>
      <c r="O23" s="711" t="s">
        <v>361</v>
      </c>
      <c r="P23" s="711" t="s">
        <v>362</v>
      </c>
      <c r="Q23" s="711" t="s">
        <v>363</v>
      </c>
      <c r="R23" s="711" t="s">
        <v>364</v>
      </c>
    </row>
    <row r="24" spans="1:19" ht="14.25" customHeight="1" thickBot="1">
      <c r="A24" s="717" t="s">
        <v>221</v>
      </c>
      <c r="B24" s="725" t="s">
        <v>290</v>
      </c>
      <c r="C24" s="711">
        <v>23070</v>
      </c>
      <c r="D24" s="711">
        <v>24130</v>
      </c>
      <c r="E24" s="711">
        <v>23860</v>
      </c>
      <c r="F24" s="732"/>
      <c r="L24" s="711" t="s">
        <v>365</v>
      </c>
      <c r="M24" s="711" t="s">
        <v>366</v>
      </c>
      <c r="N24" s="711" t="s">
        <v>367</v>
      </c>
      <c r="O24" s="711" t="s">
        <v>368</v>
      </c>
      <c r="P24" s="711" t="s">
        <v>369</v>
      </c>
      <c r="Q24" s="711" t="s">
        <v>370</v>
      </c>
      <c r="R24" s="711" t="s">
        <v>371</v>
      </c>
    </row>
    <row r="25" spans="1:19" ht="14.25" customHeight="1" thickBot="1">
      <c r="A25" s="717" t="s">
        <v>221</v>
      </c>
      <c r="B25" s="725" t="s">
        <v>300</v>
      </c>
      <c r="C25" s="711">
        <v>27550</v>
      </c>
      <c r="D25" s="711">
        <v>25850</v>
      </c>
      <c r="E25" s="711">
        <v>25340</v>
      </c>
      <c r="F25" s="732"/>
      <c r="L25" s="711" t="s">
        <v>372</v>
      </c>
      <c r="M25" s="711" t="s">
        <v>373</v>
      </c>
      <c r="N25" s="711" t="s">
        <v>374</v>
      </c>
      <c r="O25" s="711" t="s">
        <v>375</v>
      </c>
      <c r="P25" s="711" t="s">
        <v>376</v>
      </c>
      <c r="Q25" s="711" t="s">
        <v>377</v>
      </c>
      <c r="R25" s="711" t="s">
        <v>378</v>
      </c>
    </row>
    <row r="26" spans="1:19" ht="14.25" customHeight="1" thickBot="1">
      <c r="A26" s="717" t="s">
        <v>221</v>
      </c>
      <c r="B26" s="725" t="s">
        <v>310</v>
      </c>
      <c r="C26" s="711"/>
      <c r="D26" s="711">
        <v>23900</v>
      </c>
      <c r="E26" s="711">
        <v>23590</v>
      </c>
      <c r="F26" s="732"/>
      <c r="L26" s="711" t="s">
        <v>379</v>
      </c>
      <c r="M26" s="711" t="s">
        <v>380</v>
      </c>
      <c r="N26" s="711" t="s">
        <v>381</v>
      </c>
      <c r="O26" s="711" t="s">
        <v>382</v>
      </c>
      <c r="P26" s="711" t="s">
        <v>383</v>
      </c>
      <c r="Q26" s="711" t="s">
        <v>384</v>
      </c>
      <c r="R26" s="711" t="s">
        <v>385</v>
      </c>
    </row>
    <row r="27" spans="1:19" ht="14.25" customHeight="1" thickBot="1">
      <c r="A27" s="717" t="s">
        <v>221</v>
      </c>
      <c r="B27" s="725" t="s">
        <v>320</v>
      </c>
      <c r="C27" s="711"/>
      <c r="D27" s="711">
        <v>22850</v>
      </c>
      <c r="E27" s="711">
        <v>21920</v>
      </c>
      <c r="F27" s="732"/>
      <c r="L27" s="711" t="s">
        <v>386</v>
      </c>
      <c r="M27" s="711" t="s">
        <v>387</v>
      </c>
      <c r="N27" s="711" t="s">
        <v>388</v>
      </c>
      <c r="O27" s="711" t="s">
        <v>389</v>
      </c>
      <c r="P27" s="711" t="s">
        <v>390</v>
      </c>
      <c r="Q27" s="711" t="s">
        <v>391</v>
      </c>
      <c r="R27" s="711" t="s">
        <v>392</v>
      </c>
    </row>
    <row r="28" spans="1:19" ht="14.25" customHeight="1" thickBot="1">
      <c r="A28" s="734" t="s">
        <v>221</v>
      </c>
      <c r="B28" s="726" t="s">
        <v>330</v>
      </c>
      <c r="C28" s="727"/>
      <c r="D28" s="727">
        <v>26610</v>
      </c>
      <c r="E28" s="727">
        <v>26370</v>
      </c>
      <c r="F28" s="728"/>
      <c r="L28" s="711" t="s">
        <v>393</v>
      </c>
      <c r="M28" s="711" t="s">
        <v>394</v>
      </c>
      <c r="N28" s="711" t="s">
        <v>395</v>
      </c>
      <c r="O28" s="711" t="s">
        <v>396</v>
      </c>
      <c r="P28" s="711" t="s">
        <v>397</v>
      </c>
      <c r="Q28" s="711" t="s">
        <v>398</v>
      </c>
    </row>
    <row r="29" spans="1:19" ht="14.25" customHeight="1" thickBot="1">
      <c r="A29" s="717" t="s">
        <v>399</v>
      </c>
      <c r="B29" s="718" t="s">
        <v>400</v>
      </c>
      <c r="C29" s="718">
        <v>22090</v>
      </c>
      <c r="D29" s="718">
        <v>21860</v>
      </c>
      <c r="E29" s="718">
        <v>19380</v>
      </c>
      <c r="F29" s="719">
        <v>6610</v>
      </c>
      <c r="M29" s="711" t="s">
        <v>401</v>
      </c>
      <c r="N29" s="711" t="s">
        <v>402</v>
      </c>
      <c r="O29" s="711" t="s">
        <v>403</v>
      </c>
      <c r="P29" s="711" t="s">
        <v>404</v>
      </c>
      <c r="Q29" s="711" t="s">
        <v>405</v>
      </c>
    </row>
    <row r="30" spans="1:19" ht="14.25" customHeight="1" thickBot="1">
      <c r="A30" s="717" t="s">
        <v>399</v>
      </c>
      <c r="B30" s="725" t="s">
        <v>138</v>
      </c>
      <c r="C30" s="711">
        <v>21380</v>
      </c>
      <c r="D30" s="711">
        <v>19930</v>
      </c>
      <c r="E30" s="711">
        <v>19860</v>
      </c>
      <c r="F30" s="729">
        <v>6010</v>
      </c>
      <c r="H30" s="733"/>
      <c r="M30" s="711" t="s">
        <v>406</v>
      </c>
      <c r="N30" s="711" t="s">
        <v>407</v>
      </c>
      <c r="O30" s="711" t="s">
        <v>408</v>
      </c>
      <c r="P30" s="711" t="s">
        <v>962</v>
      </c>
      <c r="Q30" s="711" t="s">
        <v>409</v>
      </c>
    </row>
    <row r="31" spans="1:19" ht="14.25" customHeight="1" thickBot="1">
      <c r="A31" s="717" t="s">
        <v>399</v>
      </c>
      <c r="B31" s="725" t="s">
        <v>151</v>
      </c>
      <c r="C31" s="711">
        <v>21670</v>
      </c>
      <c r="D31" s="711">
        <v>20660</v>
      </c>
      <c r="E31" s="711">
        <v>20290</v>
      </c>
      <c r="F31" s="729">
        <v>5840</v>
      </c>
      <c r="H31" s="733"/>
      <c r="M31" s="711" t="s">
        <v>410</v>
      </c>
      <c r="N31" s="711" t="s">
        <v>411</v>
      </c>
      <c r="O31" s="711" t="s">
        <v>412</v>
      </c>
      <c r="P31" s="711" t="s">
        <v>413</v>
      </c>
      <c r="Q31" s="711" t="s">
        <v>414</v>
      </c>
    </row>
    <row r="32" spans="1:19" ht="14.25" customHeight="1" thickBot="1">
      <c r="A32" s="717" t="s">
        <v>399</v>
      </c>
      <c r="B32" s="725" t="s">
        <v>164</v>
      </c>
      <c r="C32" s="711">
        <v>22280</v>
      </c>
      <c r="D32" s="711">
        <v>21800</v>
      </c>
      <c r="E32" s="711">
        <v>17650</v>
      </c>
      <c r="F32" s="729">
        <v>4690</v>
      </c>
      <c r="H32" s="733"/>
      <c r="M32" s="711" t="s">
        <v>415</v>
      </c>
      <c r="N32" s="711" t="s">
        <v>416</v>
      </c>
      <c r="O32" s="711" t="s">
        <v>417</v>
      </c>
      <c r="P32" s="711" t="s">
        <v>418</v>
      </c>
      <c r="Q32" s="711" t="s">
        <v>419</v>
      </c>
    </row>
    <row r="33" spans="1:17" ht="14.25" customHeight="1" thickBot="1">
      <c r="A33" s="717" t="s">
        <v>399</v>
      </c>
      <c r="B33" s="725" t="s">
        <v>176</v>
      </c>
      <c r="C33" s="711">
        <v>22130</v>
      </c>
      <c r="D33" s="711">
        <v>20460</v>
      </c>
      <c r="E33" s="711">
        <v>18500</v>
      </c>
      <c r="F33" s="729">
        <v>5340</v>
      </c>
      <c r="H33" s="733"/>
      <c r="M33" s="711" t="s">
        <v>420</v>
      </c>
      <c r="N33" s="711" t="s">
        <v>421</v>
      </c>
      <c r="O33" s="711" t="s">
        <v>422</v>
      </c>
      <c r="P33" s="711" t="s">
        <v>423</v>
      </c>
      <c r="Q33" s="711" t="s">
        <v>424</v>
      </c>
    </row>
    <row r="34" spans="1:17" ht="14.25" customHeight="1" thickBot="1">
      <c r="A34" s="717" t="s">
        <v>399</v>
      </c>
      <c r="B34" s="725" t="s">
        <v>188</v>
      </c>
      <c r="C34" s="711">
        <v>22070</v>
      </c>
      <c r="D34" s="711">
        <v>20110</v>
      </c>
      <c r="E34" s="711">
        <v>18830</v>
      </c>
      <c r="F34" s="729">
        <v>5190</v>
      </c>
      <c r="H34" s="733"/>
      <c r="M34" s="711" t="s">
        <v>425</v>
      </c>
      <c r="N34" s="711" t="s">
        <v>426</v>
      </c>
      <c r="O34" s="711" t="s">
        <v>427</v>
      </c>
      <c r="P34" s="711" t="s">
        <v>428</v>
      </c>
      <c r="Q34" s="711" t="s">
        <v>429</v>
      </c>
    </row>
    <row r="35" spans="1:17" ht="14.25" customHeight="1" thickBot="1">
      <c r="A35" s="717" t="s">
        <v>399</v>
      </c>
      <c r="B35" s="725" t="s">
        <v>200</v>
      </c>
      <c r="C35" s="711">
        <v>22240</v>
      </c>
      <c r="D35" s="711">
        <v>19550</v>
      </c>
      <c r="E35" s="711">
        <v>19220</v>
      </c>
      <c r="F35" s="729">
        <v>5800</v>
      </c>
      <c r="H35" s="733"/>
      <c r="M35" s="711" t="s">
        <v>430</v>
      </c>
      <c r="N35" s="711" t="s">
        <v>431</v>
      </c>
      <c r="O35" s="711" t="s">
        <v>432</v>
      </c>
      <c r="P35" s="711" t="s">
        <v>433</v>
      </c>
      <c r="Q35" s="711" t="s">
        <v>434</v>
      </c>
    </row>
    <row r="36" spans="1:17" ht="14.25" customHeight="1" thickBot="1">
      <c r="A36" s="717" t="s">
        <v>399</v>
      </c>
      <c r="B36" s="725" t="s">
        <v>212</v>
      </c>
      <c r="C36" s="711">
        <v>19750</v>
      </c>
      <c r="D36" s="711">
        <v>19790</v>
      </c>
      <c r="E36" s="711">
        <v>18510</v>
      </c>
      <c r="F36" s="729">
        <v>6520</v>
      </c>
      <c r="H36" s="733"/>
      <c r="N36" s="711" t="s">
        <v>435</v>
      </c>
      <c r="O36" s="711" t="s">
        <v>436</v>
      </c>
      <c r="P36" s="711" t="s">
        <v>437</v>
      </c>
      <c r="Q36" s="711" t="s">
        <v>438</v>
      </c>
    </row>
    <row r="37" spans="1:17" ht="14.25" customHeight="1" thickBot="1">
      <c r="A37" s="717" t="s">
        <v>399</v>
      </c>
      <c r="B37" s="725" t="s">
        <v>225</v>
      </c>
      <c r="C37" s="711">
        <v>22380</v>
      </c>
      <c r="D37" s="711">
        <v>18530</v>
      </c>
      <c r="E37" s="711">
        <v>17930</v>
      </c>
      <c r="F37" s="729">
        <v>6270</v>
      </c>
      <c r="H37" s="735"/>
      <c r="N37" s="711" t="s">
        <v>439</v>
      </c>
      <c r="O37" s="711" t="s">
        <v>440</v>
      </c>
      <c r="P37" s="711" t="s">
        <v>441</v>
      </c>
      <c r="Q37" s="711" t="s">
        <v>442</v>
      </c>
    </row>
    <row r="38" spans="1:17" ht="14.25" customHeight="1" thickBot="1">
      <c r="A38" s="717" t="s">
        <v>399</v>
      </c>
      <c r="B38" s="725" t="s">
        <v>236</v>
      </c>
      <c r="C38" s="711">
        <v>20200</v>
      </c>
      <c r="D38" s="711">
        <v>20070</v>
      </c>
      <c r="E38" s="711">
        <v>19950</v>
      </c>
      <c r="F38" s="729"/>
      <c r="H38" s="736"/>
      <c r="N38" s="711" t="s">
        <v>443</v>
      </c>
      <c r="O38" s="711" t="s">
        <v>444</v>
      </c>
      <c r="P38" s="711" t="s">
        <v>445</v>
      </c>
      <c r="Q38" s="711" t="s">
        <v>446</v>
      </c>
    </row>
    <row r="39" spans="1:17" ht="14.25" customHeight="1" thickBot="1">
      <c r="A39" s="717" t="s">
        <v>399</v>
      </c>
      <c r="B39" s="725" t="s">
        <v>247</v>
      </c>
      <c r="C39" s="711">
        <v>19300</v>
      </c>
      <c r="D39" s="711">
        <v>20360</v>
      </c>
      <c r="E39" s="711">
        <v>20230</v>
      </c>
      <c r="F39" s="729"/>
      <c r="H39" s="736"/>
      <c r="N39" s="711" t="s">
        <v>447</v>
      </c>
      <c r="O39" s="711" t="s">
        <v>448</v>
      </c>
      <c r="P39" s="711" t="s">
        <v>449</v>
      </c>
      <c r="Q39" s="711" t="s">
        <v>450</v>
      </c>
    </row>
    <row r="40" spans="1:17" ht="14.25" customHeight="1" thickBot="1">
      <c r="A40" s="717" t="s">
        <v>399</v>
      </c>
      <c r="B40" s="725" t="s">
        <v>258</v>
      </c>
      <c r="C40" s="711">
        <v>20210</v>
      </c>
      <c r="D40" s="711">
        <v>19060</v>
      </c>
      <c r="E40" s="711">
        <v>18890</v>
      </c>
      <c r="F40" s="729"/>
      <c r="H40" s="736"/>
      <c r="N40" s="711" t="s">
        <v>451</v>
      </c>
      <c r="O40" s="711" t="s">
        <v>452</v>
      </c>
      <c r="P40" s="711" t="s">
        <v>453</v>
      </c>
      <c r="Q40" s="711" t="s">
        <v>454</v>
      </c>
    </row>
    <row r="41" spans="1:17" ht="14.25" customHeight="1" thickBot="1">
      <c r="A41" s="717" t="s">
        <v>399</v>
      </c>
      <c r="B41" s="725" t="s">
        <v>269</v>
      </c>
      <c r="C41" s="711">
        <v>20560</v>
      </c>
      <c r="D41" s="711">
        <v>21040</v>
      </c>
      <c r="E41" s="711">
        <v>20740</v>
      </c>
      <c r="F41" s="729"/>
      <c r="H41" s="736"/>
      <c r="N41" s="725" t="s">
        <v>455</v>
      </c>
      <c r="O41" s="725" t="s">
        <v>456</v>
      </c>
      <c r="Q41" s="725" t="s">
        <v>457</v>
      </c>
    </row>
    <row r="42" spans="1:17" ht="14.25" customHeight="1" thickBot="1">
      <c r="A42" s="717" t="s">
        <v>399</v>
      </c>
      <c r="B42" s="725" t="s">
        <v>280</v>
      </c>
      <c r="C42" s="711">
        <v>19280</v>
      </c>
      <c r="D42" s="711">
        <v>22940</v>
      </c>
      <c r="E42" s="711">
        <v>22500</v>
      </c>
      <c r="F42" s="729"/>
      <c r="H42" s="736"/>
      <c r="N42" s="711" t="s">
        <v>458</v>
      </c>
      <c r="O42" s="711" t="s">
        <v>459</v>
      </c>
      <c r="Q42" s="711" t="s">
        <v>460</v>
      </c>
    </row>
    <row r="43" spans="1:17" ht="14.25" customHeight="1" thickBot="1">
      <c r="A43" s="717" t="s">
        <v>399</v>
      </c>
      <c r="B43" s="725" t="s">
        <v>291</v>
      </c>
      <c r="C43" s="711">
        <v>21520</v>
      </c>
      <c r="D43" s="711">
        <v>19230</v>
      </c>
      <c r="E43" s="711">
        <v>18540</v>
      </c>
      <c r="F43" s="729"/>
      <c r="H43" s="736"/>
      <c r="N43" s="711" t="s">
        <v>461</v>
      </c>
      <c r="O43" s="711" t="s">
        <v>462</v>
      </c>
      <c r="Q43" s="711" t="s">
        <v>463</v>
      </c>
    </row>
    <row r="44" spans="1:17" ht="14.25" customHeight="1" thickBot="1">
      <c r="A44" s="717" t="s">
        <v>399</v>
      </c>
      <c r="B44" s="725" t="s">
        <v>301</v>
      </c>
      <c r="C44" s="711">
        <v>23260</v>
      </c>
      <c r="D44" s="711">
        <v>21180</v>
      </c>
      <c r="E44" s="711">
        <v>20730</v>
      </c>
      <c r="F44" s="729"/>
      <c r="H44" s="736"/>
      <c r="N44" s="711" t="s">
        <v>464</v>
      </c>
      <c r="O44" s="711" t="s">
        <v>465</v>
      </c>
      <c r="Q44" s="711" t="s">
        <v>466</v>
      </c>
    </row>
    <row r="45" spans="1:17" ht="14.25" customHeight="1" thickBot="1">
      <c r="A45" s="717" t="s">
        <v>399</v>
      </c>
      <c r="B45" s="725" t="s">
        <v>311</v>
      </c>
      <c r="C45" s="711">
        <v>19610</v>
      </c>
      <c r="D45" s="711">
        <v>18090</v>
      </c>
      <c r="E45" s="711">
        <v>17970</v>
      </c>
      <c r="F45" s="729"/>
      <c r="H45" s="733"/>
      <c r="N45" s="711" t="s">
        <v>467</v>
      </c>
      <c r="O45" s="711" t="s">
        <v>468</v>
      </c>
      <c r="Q45" s="711" t="s">
        <v>469</v>
      </c>
    </row>
    <row r="46" spans="1:17" ht="14.25" customHeight="1" thickBot="1">
      <c r="A46" s="717" t="s">
        <v>399</v>
      </c>
      <c r="B46" s="725" t="s">
        <v>321</v>
      </c>
      <c r="C46" s="711">
        <v>21660</v>
      </c>
      <c r="D46" s="711">
        <v>19190</v>
      </c>
      <c r="E46" s="711">
        <v>19790</v>
      </c>
      <c r="F46" s="729"/>
      <c r="H46" s="736"/>
      <c r="N46" s="711" t="s">
        <v>470</v>
      </c>
      <c r="O46" s="711" t="s">
        <v>471</v>
      </c>
      <c r="Q46" s="711" t="s">
        <v>472</v>
      </c>
    </row>
    <row r="47" spans="1:17" ht="14.25" customHeight="1" thickBot="1">
      <c r="A47" s="717" t="s">
        <v>399</v>
      </c>
      <c r="B47" s="725" t="s">
        <v>331</v>
      </c>
      <c r="C47" s="711">
        <v>18220</v>
      </c>
      <c r="D47" s="711"/>
      <c r="E47" s="711">
        <v>17220</v>
      </c>
      <c r="F47" s="729"/>
      <c r="H47" s="736"/>
      <c r="N47" s="711" t="s">
        <v>473</v>
      </c>
      <c r="O47" s="711" t="s">
        <v>474</v>
      </c>
    </row>
    <row r="48" spans="1:17" ht="14.25" customHeight="1" thickBot="1">
      <c r="A48" s="717" t="s">
        <v>399</v>
      </c>
      <c r="B48" s="726" t="s">
        <v>340</v>
      </c>
      <c r="C48" s="727">
        <v>19430</v>
      </c>
      <c r="D48" s="727"/>
      <c r="E48" s="727">
        <v>17830</v>
      </c>
      <c r="F48" s="737"/>
      <c r="H48" s="733"/>
      <c r="N48" s="711" t="s">
        <v>475</v>
      </c>
      <c r="O48" s="711" t="s">
        <v>476</v>
      </c>
    </row>
    <row r="49" spans="1:15" ht="14.25" customHeight="1" thickBot="1">
      <c r="A49" s="717" t="s">
        <v>87</v>
      </c>
      <c r="B49" s="718" t="s">
        <v>477</v>
      </c>
      <c r="C49" s="718">
        <v>17090</v>
      </c>
      <c r="D49" s="718">
        <v>16950</v>
      </c>
      <c r="E49" s="718">
        <v>16310</v>
      </c>
      <c r="F49" s="719">
        <v>4540</v>
      </c>
      <c r="H49" s="736"/>
      <c r="N49" s="711" t="s">
        <v>478</v>
      </c>
      <c r="O49" s="711" t="s">
        <v>479</v>
      </c>
    </row>
    <row r="50" spans="1:15" ht="14.25" customHeight="1" thickBot="1">
      <c r="A50" s="717" t="s">
        <v>87</v>
      </c>
      <c r="B50" s="711" t="s">
        <v>139</v>
      </c>
      <c r="C50" s="711">
        <v>19040</v>
      </c>
      <c r="D50" s="711">
        <v>16960</v>
      </c>
      <c r="E50" s="711">
        <v>14800</v>
      </c>
      <c r="F50" s="729">
        <v>3940</v>
      </c>
      <c r="H50" s="736"/>
    </row>
    <row r="51" spans="1:15" ht="14.25" customHeight="1" thickBot="1">
      <c r="A51" s="717" t="s">
        <v>87</v>
      </c>
      <c r="B51" s="711" t="s">
        <v>152</v>
      </c>
      <c r="C51" s="711">
        <v>17040</v>
      </c>
      <c r="D51" s="711">
        <v>16930</v>
      </c>
      <c r="E51" s="711">
        <v>15030</v>
      </c>
      <c r="F51" s="729">
        <v>4120</v>
      </c>
      <c r="H51" s="736"/>
    </row>
    <row r="52" spans="1:15" ht="14.25" customHeight="1" thickBot="1">
      <c r="A52" s="717" t="s">
        <v>87</v>
      </c>
      <c r="B52" s="711" t="s">
        <v>165</v>
      </c>
      <c r="C52" s="711">
        <v>17110</v>
      </c>
      <c r="D52" s="711">
        <v>17750</v>
      </c>
      <c r="E52" s="711">
        <v>17310</v>
      </c>
      <c r="F52" s="729">
        <v>3220</v>
      </c>
      <c r="H52" s="736"/>
    </row>
    <row r="53" spans="1:15" ht="14.25" customHeight="1" thickBot="1">
      <c r="A53" s="717" t="s">
        <v>87</v>
      </c>
      <c r="B53" s="711" t="s">
        <v>177</v>
      </c>
      <c r="C53" s="711">
        <v>17810</v>
      </c>
      <c r="D53" s="711">
        <v>17260</v>
      </c>
      <c r="E53" s="711">
        <v>17090</v>
      </c>
      <c r="F53" s="729">
        <v>3520</v>
      </c>
      <c r="H53" s="736"/>
    </row>
    <row r="54" spans="1:15" ht="14.25" customHeight="1" thickBot="1">
      <c r="A54" s="717" t="s">
        <v>87</v>
      </c>
      <c r="B54" s="711" t="s">
        <v>189</v>
      </c>
      <c r="C54" s="711">
        <v>17410</v>
      </c>
      <c r="D54" s="711">
        <v>16780</v>
      </c>
      <c r="E54" s="711">
        <v>16370</v>
      </c>
      <c r="F54" s="729">
        <v>3410</v>
      </c>
      <c r="H54" s="736"/>
    </row>
    <row r="55" spans="1:15" ht="14.25" customHeight="1" thickBot="1">
      <c r="A55" s="717" t="s">
        <v>87</v>
      </c>
      <c r="B55" s="711" t="s">
        <v>201</v>
      </c>
      <c r="C55" s="711">
        <v>16930</v>
      </c>
      <c r="D55" s="711">
        <v>14720</v>
      </c>
      <c r="E55" s="711">
        <v>15000</v>
      </c>
      <c r="F55" s="729">
        <v>3710</v>
      </c>
      <c r="H55" s="736"/>
    </row>
    <row r="56" spans="1:15" ht="14.25" customHeight="1" thickBot="1">
      <c r="A56" s="717" t="s">
        <v>87</v>
      </c>
      <c r="B56" s="711" t="s">
        <v>213</v>
      </c>
      <c r="C56" s="711">
        <v>14930</v>
      </c>
      <c r="D56" s="711">
        <v>15850</v>
      </c>
      <c r="E56" s="711">
        <v>14320</v>
      </c>
      <c r="F56" s="729">
        <v>3960</v>
      </c>
      <c r="H56" s="736"/>
    </row>
    <row r="57" spans="1:15" ht="14.25" customHeight="1" thickBot="1">
      <c r="A57" s="717" t="s">
        <v>87</v>
      </c>
      <c r="B57" s="711" t="s">
        <v>226</v>
      </c>
      <c r="C57" s="711">
        <v>16160</v>
      </c>
      <c r="D57" s="711">
        <v>16190</v>
      </c>
      <c r="E57" s="711">
        <v>15650</v>
      </c>
      <c r="F57" s="729">
        <v>4200</v>
      </c>
      <c r="H57" s="736"/>
    </row>
    <row r="58" spans="1:15" ht="14.25" customHeight="1" thickBot="1">
      <c r="A58" s="717" t="s">
        <v>87</v>
      </c>
      <c r="B58" s="711" t="s">
        <v>237</v>
      </c>
      <c r="C58" s="711">
        <v>16360</v>
      </c>
      <c r="D58" s="711">
        <v>14050</v>
      </c>
      <c r="E58" s="711">
        <v>16070</v>
      </c>
      <c r="F58" s="729">
        <v>3990</v>
      </c>
      <c r="H58" s="736"/>
    </row>
    <row r="59" spans="1:15" ht="14.25" customHeight="1" thickBot="1">
      <c r="A59" s="717" t="s">
        <v>87</v>
      </c>
      <c r="B59" s="711" t="s">
        <v>248</v>
      </c>
      <c r="C59" s="711">
        <v>14160</v>
      </c>
      <c r="D59" s="711">
        <v>16620</v>
      </c>
      <c r="E59" s="711">
        <v>13940</v>
      </c>
      <c r="F59" s="729">
        <v>4260</v>
      </c>
      <c r="H59" s="736"/>
    </row>
    <row r="60" spans="1:15" ht="14.25" customHeight="1" thickBot="1">
      <c r="A60" s="717" t="s">
        <v>87</v>
      </c>
      <c r="B60" s="711" t="s">
        <v>259</v>
      </c>
      <c r="C60" s="711">
        <v>16750</v>
      </c>
      <c r="D60" s="711">
        <v>13910</v>
      </c>
      <c r="E60" s="711">
        <v>16550</v>
      </c>
      <c r="F60" s="729">
        <v>4550</v>
      </c>
      <c r="H60" s="736"/>
    </row>
    <row r="61" spans="1:15" ht="14.25" customHeight="1" thickBot="1">
      <c r="A61" s="717" t="s">
        <v>87</v>
      </c>
      <c r="B61" s="711" t="s">
        <v>270</v>
      </c>
      <c r="C61" s="711">
        <v>14000</v>
      </c>
      <c r="D61" s="711">
        <v>14550</v>
      </c>
      <c r="E61" s="711">
        <v>13860</v>
      </c>
      <c r="F61" s="738"/>
      <c r="H61" s="736"/>
    </row>
    <row r="62" spans="1:15" ht="14.25" customHeight="1" thickBot="1">
      <c r="A62" s="717" t="s">
        <v>87</v>
      </c>
      <c r="B62" s="711" t="s">
        <v>281</v>
      </c>
      <c r="C62" s="711">
        <v>14660</v>
      </c>
      <c r="D62" s="711">
        <v>17450</v>
      </c>
      <c r="E62" s="711">
        <v>14470</v>
      </c>
      <c r="F62" s="738"/>
      <c r="H62" s="736"/>
    </row>
    <row r="63" spans="1:15" ht="14.25" customHeight="1" thickBot="1">
      <c r="A63" s="717" t="s">
        <v>87</v>
      </c>
      <c r="B63" s="711" t="s">
        <v>292</v>
      </c>
      <c r="C63" s="711">
        <v>17610</v>
      </c>
      <c r="D63" s="711">
        <v>16500</v>
      </c>
      <c r="E63" s="711">
        <v>17330</v>
      </c>
      <c r="F63" s="738"/>
      <c r="H63" s="736"/>
    </row>
    <row r="64" spans="1:15" ht="14.25" customHeight="1" thickBot="1">
      <c r="A64" s="717" t="s">
        <v>87</v>
      </c>
      <c r="B64" s="711" t="s">
        <v>302</v>
      </c>
      <c r="C64" s="711">
        <v>16590</v>
      </c>
      <c r="D64" s="711">
        <v>15130</v>
      </c>
      <c r="E64" s="711">
        <v>16420</v>
      </c>
      <c r="F64" s="738"/>
      <c r="H64" s="736"/>
    </row>
    <row r="65" spans="1:8" s="705" customFormat="1" ht="14.25" customHeight="1" thickBot="1">
      <c r="A65" s="717" t="s">
        <v>87</v>
      </c>
      <c r="B65" s="711" t="s">
        <v>312</v>
      </c>
      <c r="C65" s="711">
        <v>15220</v>
      </c>
      <c r="D65" s="711">
        <v>14660</v>
      </c>
      <c r="E65" s="711">
        <v>15060</v>
      </c>
      <c r="F65" s="729"/>
      <c r="H65" s="736"/>
    </row>
    <row r="66" spans="1:8" s="705" customFormat="1" ht="14.25" customHeight="1" thickBot="1">
      <c r="A66" s="717" t="s">
        <v>87</v>
      </c>
      <c r="B66" s="711" t="s">
        <v>322</v>
      </c>
      <c r="C66" s="711">
        <v>14720</v>
      </c>
      <c r="D66" s="711">
        <v>15970</v>
      </c>
      <c r="E66" s="711">
        <v>14610</v>
      </c>
      <c r="F66" s="729"/>
      <c r="H66" s="736"/>
    </row>
    <row r="67" spans="1:8" s="705" customFormat="1" ht="14.25" customHeight="1" thickBot="1">
      <c r="A67" s="717" t="s">
        <v>87</v>
      </c>
      <c r="B67" s="711" t="s">
        <v>332</v>
      </c>
      <c r="C67" s="711">
        <v>16080</v>
      </c>
      <c r="D67" s="711">
        <v>14840</v>
      </c>
      <c r="E67" s="711">
        <v>15630</v>
      </c>
      <c r="F67" s="729"/>
      <c r="H67" s="736"/>
    </row>
    <row r="68" spans="1:8" s="705" customFormat="1" ht="14.25" customHeight="1" thickBot="1">
      <c r="A68" s="717" t="s">
        <v>87</v>
      </c>
      <c r="B68" s="711" t="s">
        <v>341</v>
      </c>
      <c r="C68" s="711">
        <v>14940</v>
      </c>
      <c r="D68" s="711">
        <v>18000</v>
      </c>
      <c r="E68" s="711">
        <v>14040</v>
      </c>
      <c r="F68" s="729"/>
      <c r="H68" s="736"/>
    </row>
    <row r="69" spans="1:8" s="705" customFormat="1" ht="14.25" customHeight="1" thickBot="1">
      <c r="A69" s="717" t="s">
        <v>87</v>
      </c>
      <c r="B69" s="711" t="s">
        <v>350</v>
      </c>
      <c r="C69" s="711">
        <v>18810</v>
      </c>
      <c r="D69" s="711">
        <v>15100</v>
      </c>
      <c r="E69" s="711">
        <v>14710</v>
      </c>
      <c r="F69" s="729"/>
      <c r="H69" s="736"/>
    </row>
    <row r="70" spans="1:8" s="705" customFormat="1" ht="14.25" customHeight="1" thickBot="1">
      <c r="A70" s="717" t="s">
        <v>87</v>
      </c>
      <c r="B70" s="711" t="s">
        <v>358</v>
      </c>
      <c r="C70" s="711">
        <v>18270</v>
      </c>
      <c r="D70" s="711"/>
      <c r="E70" s="711"/>
      <c r="F70" s="729"/>
      <c r="H70" s="736"/>
    </row>
    <row r="71" spans="1:8" s="705" customFormat="1" ht="14.25" customHeight="1" thickBot="1">
      <c r="A71" s="717" t="s">
        <v>87</v>
      </c>
      <c r="B71" s="711" t="s">
        <v>365</v>
      </c>
      <c r="C71" s="711">
        <v>15230</v>
      </c>
      <c r="D71" s="711"/>
      <c r="E71" s="711"/>
      <c r="F71" s="729"/>
      <c r="H71" s="736"/>
    </row>
    <row r="72" spans="1:8" s="705" customFormat="1" ht="14.25" customHeight="1" thickBot="1">
      <c r="A72" s="717" t="s">
        <v>87</v>
      </c>
      <c r="B72" s="711" t="s">
        <v>372</v>
      </c>
      <c r="C72" s="711"/>
      <c r="D72" s="711"/>
      <c r="E72" s="711"/>
      <c r="F72" s="729">
        <v>4120</v>
      </c>
      <c r="H72" s="736"/>
    </row>
    <row r="73" spans="1:8" s="705" customFormat="1" ht="14.25" customHeight="1" thickBot="1">
      <c r="A73" s="717" t="s">
        <v>87</v>
      </c>
      <c r="B73" s="711" t="s">
        <v>379</v>
      </c>
      <c r="C73" s="711"/>
      <c r="D73" s="711"/>
      <c r="E73" s="711"/>
      <c r="F73" s="729">
        <v>3930</v>
      </c>
      <c r="H73" s="736"/>
    </row>
    <row r="74" spans="1:8" s="705" customFormat="1" ht="14.25" customHeight="1" thickBot="1">
      <c r="A74" s="717" t="s">
        <v>87</v>
      </c>
      <c r="B74" s="711" t="s">
        <v>386</v>
      </c>
      <c r="C74" s="711"/>
      <c r="D74" s="711"/>
      <c r="E74" s="711"/>
      <c r="F74" s="729">
        <v>4060</v>
      </c>
      <c r="H74" s="736"/>
    </row>
    <row r="75" spans="1:8" s="705" customFormat="1" ht="14.25" customHeight="1" thickBot="1">
      <c r="A75" s="717" t="s">
        <v>87</v>
      </c>
      <c r="B75" s="727" t="s">
        <v>393</v>
      </c>
      <c r="C75" s="727"/>
      <c r="D75" s="727"/>
      <c r="E75" s="727"/>
      <c r="F75" s="737">
        <v>3750</v>
      </c>
      <c r="H75" s="736"/>
    </row>
    <row r="76" spans="1:8" s="705" customFormat="1" ht="14.25" customHeight="1" thickBot="1">
      <c r="A76" s="717" t="s">
        <v>480</v>
      </c>
      <c r="B76" s="718" t="s">
        <v>481</v>
      </c>
      <c r="C76" s="718">
        <v>14690</v>
      </c>
      <c r="D76" s="718">
        <v>14640</v>
      </c>
      <c r="E76" s="718">
        <v>14590</v>
      </c>
      <c r="F76" s="719">
        <v>3060</v>
      </c>
      <c r="H76" s="736"/>
    </row>
    <row r="77" spans="1:8" s="705" customFormat="1" ht="14.25" customHeight="1" thickBot="1">
      <c r="A77" s="717" t="s">
        <v>480</v>
      </c>
      <c r="B77" s="711" t="s">
        <v>140</v>
      </c>
      <c r="C77" s="711">
        <v>12550</v>
      </c>
      <c r="D77" s="711">
        <v>12480</v>
      </c>
      <c r="E77" s="711">
        <v>12450</v>
      </c>
      <c r="F77" s="729">
        <v>2590</v>
      </c>
      <c r="H77" s="736"/>
    </row>
    <row r="78" spans="1:8" s="705" customFormat="1" ht="14.25" customHeight="1" thickBot="1">
      <c r="A78" s="717" t="s">
        <v>480</v>
      </c>
      <c r="B78" s="711" t="s">
        <v>153</v>
      </c>
      <c r="C78" s="711">
        <v>14360</v>
      </c>
      <c r="D78" s="711">
        <v>14320</v>
      </c>
      <c r="E78" s="711">
        <v>12510</v>
      </c>
      <c r="F78" s="729">
        <v>2700</v>
      </c>
      <c r="H78" s="736"/>
    </row>
    <row r="79" spans="1:8" s="705" customFormat="1" ht="14.25" customHeight="1" thickBot="1">
      <c r="A79" s="717" t="s">
        <v>480</v>
      </c>
      <c r="B79" s="711" t="s">
        <v>166</v>
      </c>
      <c r="C79" s="711">
        <v>12590</v>
      </c>
      <c r="D79" s="711">
        <v>12540</v>
      </c>
      <c r="E79" s="711">
        <v>12350</v>
      </c>
      <c r="F79" s="729">
        <v>2740</v>
      </c>
      <c r="H79" s="736"/>
    </row>
    <row r="80" spans="1:8" s="705" customFormat="1" ht="14.25" customHeight="1" thickBot="1">
      <c r="A80" s="717" t="s">
        <v>480</v>
      </c>
      <c r="B80" s="711" t="s">
        <v>178</v>
      </c>
      <c r="C80" s="711">
        <v>12450</v>
      </c>
      <c r="D80" s="711">
        <v>12370</v>
      </c>
      <c r="E80" s="711">
        <v>10790</v>
      </c>
      <c r="F80" s="729">
        <v>2290</v>
      </c>
      <c r="H80" s="736"/>
    </row>
    <row r="81" spans="1:8" s="705" customFormat="1" ht="14.25" customHeight="1" thickBot="1">
      <c r="A81" s="717" t="s">
        <v>480</v>
      </c>
      <c r="B81" s="711" t="s">
        <v>190</v>
      </c>
      <c r="C81" s="711">
        <v>14210</v>
      </c>
      <c r="D81" s="711">
        <v>14150</v>
      </c>
      <c r="E81" s="711">
        <v>12730</v>
      </c>
      <c r="F81" s="729">
        <v>2240</v>
      </c>
      <c r="H81" s="736"/>
    </row>
    <row r="82" spans="1:8" s="705" customFormat="1" ht="14.25" customHeight="1" thickBot="1">
      <c r="A82" s="717" t="s">
        <v>480</v>
      </c>
      <c r="B82" s="711" t="s">
        <v>202</v>
      </c>
      <c r="C82" s="711">
        <v>10860</v>
      </c>
      <c r="D82" s="711">
        <v>10820</v>
      </c>
      <c r="E82" s="711">
        <v>14720</v>
      </c>
      <c r="F82" s="729">
        <v>2490</v>
      </c>
      <c r="H82" s="736"/>
    </row>
    <row r="83" spans="1:8" s="705" customFormat="1" ht="14.25" customHeight="1" thickBot="1">
      <c r="A83" s="717" t="s">
        <v>480</v>
      </c>
      <c r="B83" s="711" t="s">
        <v>214</v>
      </c>
      <c r="C83" s="711">
        <v>12810</v>
      </c>
      <c r="D83" s="711">
        <v>12760</v>
      </c>
      <c r="E83" s="711">
        <v>14830</v>
      </c>
      <c r="F83" s="729">
        <v>2450</v>
      </c>
      <c r="H83" s="736"/>
    </row>
    <row r="84" spans="1:8" s="705" customFormat="1" ht="14.25" customHeight="1" thickBot="1">
      <c r="A84" s="717" t="s">
        <v>480</v>
      </c>
      <c r="B84" s="711" t="s">
        <v>227</v>
      </c>
      <c r="C84" s="711">
        <v>14950</v>
      </c>
      <c r="D84" s="711">
        <v>14810</v>
      </c>
      <c r="E84" s="711">
        <v>12590</v>
      </c>
      <c r="F84" s="729">
        <v>2540</v>
      </c>
      <c r="H84" s="736"/>
    </row>
    <row r="85" spans="1:8" s="705" customFormat="1" ht="14.25" customHeight="1" thickBot="1">
      <c r="A85" s="717" t="s">
        <v>480</v>
      </c>
      <c r="B85" s="711" t="s">
        <v>238</v>
      </c>
      <c r="C85" s="711">
        <v>14960</v>
      </c>
      <c r="D85" s="711">
        <v>14890</v>
      </c>
      <c r="E85" s="711">
        <v>12840</v>
      </c>
      <c r="F85" s="729">
        <v>2840</v>
      </c>
      <c r="H85" s="736"/>
    </row>
    <row r="86" spans="1:8" s="705" customFormat="1" ht="14.25" customHeight="1" thickBot="1">
      <c r="A86" s="717" t="s">
        <v>480</v>
      </c>
      <c r="B86" s="711" t="s">
        <v>249</v>
      </c>
      <c r="C86" s="711">
        <v>12730</v>
      </c>
      <c r="D86" s="711">
        <v>12660</v>
      </c>
      <c r="E86" s="711">
        <v>13310</v>
      </c>
      <c r="F86" s="729">
        <v>3140</v>
      </c>
      <c r="H86" s="736"/>
    </row>
    <row r="87" spans="1:8" s="705" customFormat="1" ht="14.25" customHeight="1" thickBot="1">
      <c r="A87" s="717" t="s">
        <v>480</v>
      </c>
      <c r="B87" s="711" t="s">
        <v>260</v>
      </c>
      <c r="C87" s="711">
        <v>12940</v>
      </c>
      <c r="D87" s="711">
        <v>12890</v>
      </c>
      <c r="E87" s="711">
        <v>11580</v>
      </c>
      <c r="F87" s="738"/>
      <c r="H87" s="736"/>
    </row>
    <row r="88" spans="1:8" s="705" customFormat="1" ht="14.25" customHeight="1" thickBot="1">
      <c r="A88" s="717" t="s">
        <v>480</v>
      </c>
      <c r="B88" s="711" t="s">
        <v>271</v>
      </c>
      <c r="C88" s="711">
        <v>13430</v>
      </c>
      <c r="D88" s="711">
        <v>13360</v>
      </c>
      <c r="E88" s="711">
        <v>12790</v>
      </c>
      <c r="F88" s="738"/>
      <c r="H88" s="736"/>
    </row>
    <row r="89" spans="1:8" s="705" customFormat="1" ht="14.25" customHeight="1" thickBot="1">
      <c r="A89" s="717" t="s">
        <v>480</v>
      </c>
      <c r="B89" s="711" t="s">
        <v>282</v>
      </c>
      <c r="C89" s="711">
        <v>11680</v>
      </c>
      <c r="D89" s="711">
        <v>11630</v>
      </c>
      <c r="E89" s="711">
        <v>11320</v>
      </c>
      <c r="F89" s="738"/>
      <c r="H89" s="736"/>
    </row>
    <row r="90" spans="1:8" s="705" customFormat="1" ht="14.25" customHeight="1" thickBot="1">
      <c r="A90" s="717" t="s">
        <v>480</v>
      </c>
      <c r="B90" s="711" t="s">
        <v>293</v>
      </c>
      <c r="C90" s="711">
        <v>12890</v>
      </c>
      <c r="D90" s="711">
        <v>12820</v>
      </c>
      <c r="E90" s="711">
        <v>12710</v>
      </c>
      <c r="F90" s="738"/>
      <c r="H90" s="736"/>
    </row>
    <row r="91" spans="1:8" s="705" customFormat="1" ht="14.25" customHeight="1" thickBot="1">
      <c r="A91" s="717" t="s">
        <v>480</v>
      </c>
      <c r="B91" s="711" t="s">
        <v>303</v>
      </c>
      <c r="C91" s="711">
        <v>11410</v>
      </c>
      <c r="D91" s="711">
        <v>11360</v>
      </c>
      <c r="E91" s="711">
        <v>12670</v>
      </c>
      <c r="F91" s="738"/>
      <c r="H91" s="736"/>
    </row>
    <row r="92" spans="1:8" s="705" customFormat="1" ht="14.25" customHeight="1" thickBot="1">
      <c r="A92" s="717" t="s">
        <v>480</v>
      </c>
      <c r="B92" s="711" t="s">
        <v>313</v>
      </c>
      <c r="C92" s="711">
        <v>12770</v>
      </c>
      <c r="D92" s="711">
        <v>12740</v>
      </c>
      <c r="E92" s="711">
        <v>11970</v>
      </c>
      <c r="F92" s="738"/>
      <c r="H92" s="736"/>
    </row>
    <row r="93" spans="1:8" s="705" customFormat="1" ht="14.25" customHeight="1" thickBot="1">
      <c r="A93" s="717" t="s">
        <v>480</v>
      </c>
      <c r="B93" s="711" t="s">
        <v>323</v>
      </c>
      <c r="C93" s="711">
        <v>12740</v>
      </c>
      <c r="D93" s="711">
        <v>12700</v>
      </c>
      <c r="E93" s="711">
        <v>12540</v>
      </c>
      <c r="F93" s="738"/>
      <c r="H93" s="736"/>
    </row>
    <row r="94" spans="1:8" s="705" customFormat="1" ht="14.25" customHeight="1" thickBot="1">
      <c r="A94" s="717" t="s">
        <v>480</v>
      </c>
      <c r="B94" s="711" t="s">
        <v>333</v>
      </c>
      <c r="C94" s="711">
        <v>12020</v>
      </c>
      <c r="D94" s="711">
        <v>11990</v>
      </c>
      <c r="E94" s="711">
        <v>13110</v>
      </c>
      <c r="F94" s="738"/>
      <c r="H94" s="736"/>
    </row>
    <row r="95" spans="1:8" s="705" customFormat="1" ht="14.25" customHeight="1" thickBot="1">
      <c r="A95" s="717" t="s">
        <v>480</v>
      </c>
      <c r="B95" s="711" t="s">
        <v>342</v>
      </c>
      <c r="C95" s="711">
        <v>12620</v>
      </c>
      <c r="D95" s="711">
        <v>12580</v>
      </c>
      <c r="E95" s="711">
        <v>13160</v>
      </c>
      <c r="F95" s="729"/>
      <c r="H95" s="736"/>
    </row>
    <row r="96" spans="1:8" s="705" customFormat="1" ht="14.25" customHeight="1" thickBot="1">
      <c r="A96" s="717" t="s">
        <v>480</v>
      </c>
      <c r="B96" s="711" t="s">
        <v>351</v>
      </c>
      <c r="C96" s="711">
        <v>13200</v>
      </c>
      <c r="D96" s="711">
        <v>13150</v>
      </c>
      <c r="E96" s="711">
        <v>12900</v>
      </c>
      <c r="F96" s="729"/>
      <c r="H96" s="736"/>
    </row>
    <row r="97" spans="1:8" s="705" customFormat="1" ht="14.25" customHeight="1" thickBot="1">
      <c r="A97" s="717" t="s">
        <v>480</v>
      </c>
      <c r="B97" s="711" t="s">
        <v>359</v>
      </c>
      <c r="C97" s="711">
        <v>13270</v>
      </c>
      <c r="D97" s="711">
        <v>13210</v>
      </c>
      <c r="E97" s="711">
        <v>11080</v>
      </c>
      <c r="F97" s="729"/>
      <c r="H97" s="736"/>
    </row>
    <row r="98" spans="1:8" s="705" customFormat="1" ht="14.25" customHeight="1" thickBot="1">
      <c r="A98" s="717" t="s">
        <v>480</v>
      </c>
      <c r="B98" s="711" t="s">
        <v>366</v>
      </c>
      <c r="C98" s="711">
        <v>13010</v>
      </c>
      <c r="D98" s="711">
        <v>12930</v>
      </c>
      <c r="E98" s="711">
        <v>12840</v>
      </c>
      <c r="F98" s="729"/>
      <c r="H98" s="736"/>
    </row>
    <row r="99" spans="1:8" s="705" customFormat="1" ht="14.25" customHeight="1" thickBot="1">
      <c r="A99" s="717" t="s">
        <v>480</v>
      </c>
      <c r="B99" s="711" t="s">
        <v>373</v>
      </c>
      <c r="C99" s="711">
        <v>11190</v>
      </c>
      <c r="D99" s="711">
        <v>11130</v>
      </c>
      <c r="E99" s="711"/>
      <c r="F99" s="729"/>
      <c r="H99" s="736"/>
    </row>
    <row r="100" spans="1:8" s="705" customFormat="1" ht="14.25" customHeight="1" thickBot="1">
      <c r="A100" s="717" t="s">
        <v>480</v>
      </c>
      <c r="B100" s="711" t="s">
        <v>380</v>
      </c>
      <c r="C100" s="711">
        <v>14280</v>
      </c>
      <c r="D100" s="711">
        <v>14180</v>
      </c>
      <c r="E100" s="711"/>
      <c r="F100" s="729"/>
      <c r="H100" s="736"/>
    </row>
    <row r="101" spans="1:8" s="705" customFormat="1" ht="14.25" customHeight="1" thickBot="1">
      <c r="A101" s="717" t="s">
        <v>480</v>
      </c>
      <c r="B101" s="711" t="s">
        <v>387</v>
      </c>
      <c r="C101" s="711">
        <v>12960</v>
      </c>
      <c r="D101" s="711">
        <v>12890</v>
      </c>
      <c r="E101" s="711"/>
      <c r="F101" s="729"/>
      <c r="H101" s="736"/>
    </row>
    <row r="102" spans="1:8" s="705" customFormat="1" ht="14.25" customHeight="1" thickBot="1">
      <c r="A102" s="717" t="s">
        <v>480</v>
      </c>
      <c r="B102" s="711" t="s">
        <v>394</v>
      </c>
      <c r="C102" s="711"/>
      <c r="D102" s="711"/>
      <c r="E102" s="711"/>
      <c r="F102" s="729">
        <v>3100</v>
      </c>
      <c r="H102" s="736"/>
    </row>
    <row r="103" spans="1:8" s="705" customFormat="1" ht="14.25" customHeight="1" thickBot="1">
      <c r="A103" s="717" t="s">
        <v>480</v>
      </c>
      <c r="B103" s="711" t="s">
        <v>401</v>
      </c>
      <c r="C103" s="711"/>
      <c r="D103" s="711"/>
      <c r="E103" s="711"/>
      <c r="F103" s="729">
        <v>2320</v>
      </c>
      <c r="H103" s="736"/>
    </row>
    <row r="104" spans="1:8" s="705" customFormat="1" ht="14.25" customHeight="1" thickBot="1">
      <c r="A104" s="717" t="s">
        <v>480</v>
      </c>
      <c r="B104" s="711" t="s">
        <v>406</v>
      </c>
      <c r="C104" s="711"/>
      <c r="D104" s="711"/>
      <c r="E104" s="711"/>
      <c r="F104" s="729">
        <v>2320</v>
      </c>
      <c r="H104" s="736"/>
    </row>
    <row r="105" spans="1:8" s="705" customFormat="1" ht="14.25" customHeight="1" thickBot="1">
      <c r="A105" s="717" t="s">
        <v>480</v>
      </c>
      <c r="B105" s="711" t="s">
        <v>410</v>
      </c>
      <c r="C105" s="711"/>
      <c r="D105" s="711"/>
      <c r="E105" s="711"/>
      <c r="F105" s="729">
        <v>2320</v>
      </c>
      <c r="H105" s="736"/>
    </row>
    <row r="106" spans="1:8" s="705" customFormat="1" ht="14.25" customHeight="1" thickBot="1">
      <c r="A106" s="717" t="s">
        <v>480</v>
      </c>
      <c r="B106" s="711" t="s">
        <v>415</v>
      </c>
      <c r="C106" s="711"/>
      <c r="D106" s="711"/>
      <c r="E106" s="711"/>
      <c r="F106" s="729">
        <v>2320</v>
      </c>
      <c r="H106" s="736"/>
    </row>
    <row r="107" spans="1:8" s="705" customFormat="1" ht="14.25" customHeight="1" thickBot="1">
      <c r="A107" s="717" t="s">
        <v>480</v>
      </c>
      <c r="B107" s="711" t="s">
        <v>420</v>
      </c>
      <c r="C107" s="711"/>
      <c r="D107" s="711"/>
      <c r="E107" s="711"/>
      <c r="F107" s="729">
        <v>2280</v>
      </c>
      <c r="H107" s="736"/>
    </row>
    <row r="108" spans="1:8" s="705" customFormat="1" ht="14.25" customHeight="1" thickBot="1">
      <c r="A108" s="717" t="s">
        <v>480</v>
      </c>
      <c r="B108" s="711" t="s">
        <v>425</v>
      </c>
      <c r="C108" s="711"/>
      <c r="D108" s="711"/>
      <c r="E108" s="711"/>
      <c r="F108" s="729">
        <v>2280</v>
      </c>
      <c r="H108" s="736"/>
    </row>
    <row r="109" spans="1:8" s="705" customFormat="1" ht="14.25" customHeight="1" thickBot="1">
      <c r="A109" s="717" t="s">
        <v>480</v>
      </c>
      <c r="B109" s="727" t="s">
        <v>430</v>
      </c>
      <c r="C109" s="727"/>
      <c r="D109" s="727"/>
      <c r="E109" s="727"/>
      <c r="F109" s="737">
        <v>2280</v>
      </c>
      <c r="H109" s="736"/>
    </row>
    <row r="110" spans="1:8" s="705" customFormat="1" ht="14.25" customHeight="1" thickBot="1">
      <c r="A110" s="717" t="s">
        <v>70</v>
      </c>
      <c r="B110" s="718" t="s">
        <v>482</v>
      </c>
      <c r="C110" s="718">
        <v>10520</v>
      </c>
      <c r="D110" s="718">
        <v>10490</v>
      </c>
      <c r="E110" s="718">
        <v>10760</v>
      </c>
      <c r="F110" s="719">
        <v>2160</v>
      </c>
      <c r="H110" s="736"/>
    </row>
    <row r="111" spans="1:8" s="705" customFormat="1" ht="14.25" customHeight="1" thickBot="1">
      <c r="A111" s="717" t="s">
        <v>70</v>
      </c>
      <c r="B111" s="711" t="s">
        <v>141</v>
      </c>
      <c r="C111" s="711">
        <v>10090</v>
      </c>
      <c r="D111" s="711">
        <v>10060</v>
      </c>
      <c r="E111" s="711">
        <v>10300</v>
      </c>
      <c r="F111" s="729">
        <v>2010</v>
      </c>
      <c r="H111" s="736"/>
    </row>
    <row r="112" spans="1:8" s="705" customFormat="1" ht="14.25" customHeight="1" thickBot="1">
      <c r="A112" s="717" t="s">
        <v>70</v>
      </c>
      <c r="B112" s="711" t="s">
        <v>154</v>
      </c>
      <c r="C112" s="711">
        <v>9910</v>
      </c>
      <c r="D112" s="711">
        <v>9850</v>
      </c>
      <c r="E112" s="711">
        <v>9960</v>
      </c>
      <c r="F112" s="729">
        <v>2090</v>
      </c>
      <c r="H112" s="736"/>
    </row>
    <row r="113" spans="1:8" s="705" customFormat="1" ht="14.25" customHeight="1" thickBot="1">
      <c r="A113" s="717" t="s">
        <v>70</v>
      </c>
      <c r="B113" s="711" t="s">
        <v>167</v>
      </c>
      <c r="C113" s="711">
        <v>11430</v>
      </c>
      <c r="D113" s="711">
        <v>11400</v>
      </c>
      <c r="E113" s="711">
        <v>11710</v>
      </c>
      <c r="F113" s="729">
        <v>2050</v>
      </c>
      <c r="H113" s="736"/>
    </row>
    <row r="114" spans="1:8" s="705" customFormat="1" ht="14.25" customHeight="1" thickBot="1">
      <c r="A114" s="717" t="s">
        <v>70</v>
      </c>
      <c r="B114" s="711" t="s">
        <v>179</v>
      </c>
      <c r="C114" s="711">
        <v>11390</v>
      </c>
      <c r="D114" s="711">
        <v>11350</v>
      </c>
      <c r="E114" s="711">
        <v>11640</v>
      </c>
      <c r="F114" s="729">
        <v>1620</v>
      </c>
      <c r="H114" s="736"/>
    </row>
    <row r="115" spans="1:8" s="705" customFormat="1" ht="14.25" customHeight="1" thickBot="1">
      <c r="A115" s="717" t="s">
        <v>70</v>
      </c>
      <c r="B115" s="711" t="s">
        <v>191</v>
      </c>
      <c r="C115" s="711">
        <v>9930</v>
      </c>
      <c r="D115" s="711">
        <v>9900</v>
      </c>
      <c r="E115" s="711">
        <v>10160</v>
      </c>
      <c r="F115" s="729">
        <v>1580</v>
      </c>
      <c r="H115" s="736"/>
    </row>
    <row r="116" spans="1:8" s="705" customFormat="1" ht="14.25" customHeight="1" thickBot="1">
      <c r="A116" s="717" t="s">
        <v>70</v>
      </c>
      <c r="B116" s="711" t="s">
        <v>203</v>
      </c>
      <c r="C116" s="711">
        <v>9150</v>
      </c>
      <c r="D116" s="711">
        <v>9120</v>
      </c>
      <c r="E116" s="711">
        <v>9380</v>
      </c>
      <c r="F116" s="729">
        <v>1750</v>
      </c>
      <c r="H116" s="736"/>
    </row>
    <row r="117" spans="1:8" s="705" customFormat="1" ht="14.25" customHeight="1" thickBot="1">
      <c r="A117" s="717" t="s">
        <v>70</v>
      </c>
      <c r="B117" s="711" t="s">
        <v>215</v>
      </c>
      <c r="C117" s="711">
        <v>10680</v>
      </c>
      <c r="D117" s="711">
        <v>10650</v>
      </c>
      <c r="E117" s="711">
        <v>10970</v>
      </c>
      <c r="F117" s="729">
        <v>1730</v>
      </c>
      <c r="H117" s="736"/>
    </row>
    <row r="118" spans="1:8" s="705" customFormat="1" ht="14.25" customHeight="1" thickBot="1">
      <c r="A118" s="717" t="s">
        <v>70</v>
      </c>
      <c r="B118" s="711" t="s">
        <v>228</v>
      </c>
      <c r="C118" s="711">
        <v>10080</v>
      </c>
      <c r="D118" s="711">
        <v>10050</v>
      </c>
      <c r="E118" s="711">
        <v>10350</v>
      </c>
      <c r="F118" s="729">
        <v>1920</v>
      </c>
      <c r="H118" s="736"/>
    </row>
    <row r="119" spans="1:8" s="705" customFormat="1" ht="14.25" customHeight="1" thickBot="1">
      <c r="A119" s="717" t="s">
        <v>70</v>
      </c>
      <c r="B119" s="711" t="s">
        <v>239</v>
      </c>
      <c r="C119" s="711">
        <v>9450</v>
      </c>
      <c r="D119" s="711">
        <v>9410</v>
      </c>
      <c r="E119" s="711">
        <v>9680</v>
      </c>
      <c r="F119" s="729">
        <v>1880</v>
      </c>
      <c r="H119" s="736"/>
    </row>
    <row r="120" spans="1:8" s="705" customFormat="1" ht="14.25" customHeight="1" thickBot="1">
      <c r="A120" s="717" t="s">
        <v>70</v>
      </c>
      <c r="B120" s="711" t="s">
        <v>250</v>
      </c>
      <c r="C120" s="711">
        <v>8730</v>
      </c>
      <c r="D120" s="711">
        <v>8700</v>
      </c>
      <c r="E120" s="711">
        <v>8950</v>
      </c>
      <c r="F120" s="729">
        <v>1830</v>
      </c>
      <c r="H120" s="736"/>
    </row>
    <row r="121" spans="1:8" s="705" customFormat="1" ht="14.25" customHeight="1" thickBot="1">
      <c r="A121" s="717" t="s">
        <v>70</v>
      </c>
      <c r="B121" s="711" t="s">
        <v>261</v>
      </c>
      <c r="C121" s="711">
        <v>10070</v>
      </c>
      <c r="D121" s="711">
        <v>10040</v>
      </c>
      <c r="E121" s="711">
        <v>10270</v>
      </c>
      <c r="F121" s="729">
        <v>1960</v>
      </c>
      <c r="H121" s="736"/>
    </row>
    <row r="122" spans="1:8" s="705" customFormat="1" ht="14.25" customHeight="1" thickBot="1">
      <c r="A122" s="717" t="s">
        <v>70</v>
      </c>
      <c r="B122" s="711" t="s">
        <v>272</v>
      </c>
      <c r="C122" s="711">
        <v>10500</v>
      </c>
      <c r="D122" s="711">
        <v>10470</v>
      </c>
      <c r="E122" s="711">
        <v>10780</v>
      </c>
      <c r="F122" s="729">
        <v>2180</v>
      </c>
      <c r="H122" s="736"/>
    </row>
    <row r="123" spans="1:8" s="705" customFormat="1" ht="14.25" customHeight="1" thickBot="1">
      <c r="A123" s="717" t="s">
        <v>70</v>
      </c>
      <c r="B123" s="711" t="s">
        <v>283</v>
      </c>
      <c r="C123" s="711">
        <v>10390</v>
      </c>
      <c r="D123" s="711">
        <v>10360</v>
      </c>
      <c r="E123" s="711">
        <v>10660</v>
      </c>
      <c r="F123" s="729">
        <v>2040</v>
      </c>
      <c r="H123" s="736"/>
    </row>
    <row r="124" spans="1:8" s="705" customFormat="1" ht="14.25" customHeight="1" thickBot="1">
      <c r="A124" s="717" t="s">
        <v>70</v>
      </c>
      <c r="B124" s="711" t="s">
        <v>294</v>
      </c>
      <c r="C124" s="711">
        <v>10390</v>
      </c>
      <c r="D124" s="711">
        <v>10360</v>
      </c>
      <c r="E124" s="711">
        <v>10680</v>
      </c>
      <c r="F124" s="738"/>
      <c r="H124" s="736"/>
    </row>
    <row r="125" spans="1:8" s="705" customFormat="1" ht="14.25" customHeight="1" thickBot="1">
      <c r="A125" s="717" t="s">
        <v>70</v>
      </c>
      <c r="B125" s="711" t="s">
        <v>304</v>
      </c>
      <c r="C125" s="711">
        <v>10440</v>
      </c>
      <c r="D125" s="711">
        <v>10410</v>
      </c>
      <c r="E125" s="711">
        <v>10710</v>
      </c>
      <c r="F125" s="738"/>
      <c r="H125" s="736"/>
    </row>
    <row r="126" spans="1:8" s="705" customFormat="1" ht="14.25" customHeight="1" thickBot="1">
      <c r="A126" s="717" t="s">
        <v>70</v>
      </c>
      <c r="B126" s="711" t="s">
        <v>314</v>
      </c>
      <c r="C126" s="711">
        <v>10780</v>
      </c>
      <c r="D126" s="711">
        <v>10750</v>
      </c>
      <c r="E126" s="711">
        <v>11080</v>
      </c>
      <c r="F126" s="738"/>
      <c r="H126" s="736"/>
    </row>
    <row r="127" spans="1:8" s="705" customFormat="1" ht="14.25" customHeight="1" thickBot="1">
      <c r="A127" s="717" t="s">
        <v>70</v>
      </c>
      <c r="B127" s="711" t="s">
        <v>324</v>
      </c>
      <c r="C127" s="711">
        <v>10100</v>
      </c>
      <c r="D127" s="711">
        <v>10070</v>
      </c>
      <c r="E127" s="711">
        <v>10350</v>
      </c>
      <c r="F127" s="738"/>
      <c r="H127" s="736"/>
    </row>
    <row r="128" spans="1:8" s="705" customFormat="1" ht="14.25" customHeight="1" thickBot="1">
      <c r="A128" s="717" t="s">
        <v>70</v>
      </c>
      <c r="B128" s="711" t="s">
        <v>334</v>
      </c>
      <c r="C128" s="711">
        <v>9200</v>
      </c>
      <c r="D128" s="711">
        <v>9160</v>
      </c>
      <c r="E128" s="711">
        <v>9660</v>
      </c>
      <c r="F128" s="738"/>
      <c r="H128" s="736"/>
    </row>
    <row r="129" spans="1:8" s="705" customFormat="1" ht="14.25" customHeight="1" thickBot="1">
      <c r="A129" s="717" t="s">
        <v>70</v>
      </c>
      <c r="B129" s="711" t="s">
        <v>343</v>
      </c>
      <c r="C129" s="711">
        <v>10340</v>
      </c>
      <c r="D129" s="711">
        <v>10310</v>
      </c>
      <c r="E129" s="711">
        <v>10580</v>
      </c>
      <c r="F129" s="738"/>
      <c r="H129" s="736"/>
    </row>
    <row r="130" spans="1:8" s="705" customFormat="1" ht="14.25" customHeight="1" thickBot="1">
      <c r="A130" s="717" t="s">
        <v>70</v>
      </c>
      <c r="B130" s="711" t="s">
        <v>352</v>
      </c>
      <c r="C130" s="711">
        <v>9680</v>
      </c>
      <c r="D130" s="711">
        <v>9660</v>
      </c>
      <c r="E130" s="711">
        <v>9950</v>
      </c>
      <c r="F130" s="738"/>
      <c r="H130" s="736"/>
    </row>
    <row r="131" spans="1:8" s="705" customFormat="1" ht="14.25" customHeight="1" thickBot="1">
      <c r="A131" s="717" t="s">
        <v>70</v>
      </c>
      <c r="B131" s="711" t="s">
        <v>360</v>
      </c>
      <c r="C131" s="711">
        <v>9540</v>
      </c>
      <c r="D131" s="711">
        <v>9510</v>
      </c>
      <c r="E131" s="711">
        <v>9790</v>
      </c>
      <c r="F131" s="738"/>
      <c r="H131" s="736"/>
    </row>
    <row r="132" spans="1:8" s="705" customFormat="1" ht="14.25" customHeight="1" thickBot="1">
      <c r="A132" s="717" t="s">
        <v>70</v>
      </c>
      <c r="B132" s="711" t="s">
        <v>367</v>
      </c>
      <c r="C132" s="711">
        <v>9320</v>
      </c>
      <c r="D132" s="711">
        <v>9290</v>
      </c>
      <c r="E132" s="711">
        <v>9570</v>
      </c>
      <c r="F132" s="738"/>
      <c r="H132" s="736"/>
    </row>
    <row r="133" spans="1:8" s="705" customFormat="1" ht="14.25" customHeight="1" thickBot="1">
      <c r="A133" s="717" t="s">
        <v>70</v>
      </c>
      <c r="B133" s="711" t="s">
        <v>374</v>
      </c>
      <c r="C133" s="711">
        <v>10310</v>
      </c>
      <c r="D133" s="711">
        <v>10280</v>
      </c>
      <c r="E133" s="711">
        <v>10530</v>
      </c>
      <c r="F133" s="738"/>
      <c r="H133" s="736"/>
    </row>
    <row r="134" spans="1:8" s="705" customFormat="1" ht="14.25" customHeight="1" thickBot="1">
      <c r="A134" s="717" t="s">
        <v>70</v>
      </c>
      <c r="B134" s="711" t="s">
        <v>381</v>
      </c>
      <c r="C134" s="711">
        <v>10370</v>
      </c>
      <c r="D134" s="711">
        <v>10310</v>
      </c>
      <c r="E134" s="711">
        <v>10240</v>
      </c>
      <c r="F134" s="729">
        <v>2060</v>
      </c>
      <c r="H134" s="736"/>
    </row>
    <row r="135" spans="1:8" s="705" customFormat="1" ht="14.25" customHeight="1" thickBot="1">
      <c r="A135" s="717" t="s">
        <v>70</v>
      </c>
      <c r="B135" s="711" t="s">
        <v>388</v>
      </c>
      <c r="C135" s="711">
        <v>9300</v>
      </c>
      <c r="D135" s="711">
        <v>9270</v>
      </c>
      <c r="E135" s="711">
        <v>9350</v>
      </c>
      <c r="F135" s="738"/>
      <c r="H135" s="736"/>
    </row>
    <row r="136" spans="1:8" s="705" customFormat="1" ht="14.25" customHeight="1" thickBot="1">
      <c r="A136" s="717" t="s">
        <v>70</v>
      </c>
      <c r="B136" s="711" t="s">
        <v>395</v>
      </c>
      <c r="C136" s="711">
        <v>10160</v>
      </c>
      <c r="D136" s="711">
        <v>10110</v>
      </c>
      <c r="E136" s="711">
        <v>10080</v>
      </c>
      <c r="F136" s="738"/>
      <c r="H136" s="736"/>
    </row>
    <row r="137" spans="1:8" s="705" customFormat="1" ht="14.25" customHeight="1" thickBot="1">
      <c r="A137" s="717" t="s">
        <v>70</v>
      </c>
      <c r="B137" s="711" t="s">
        <v>402</v>
      </c>
      <c r="C137" s="711">
        <v>9200</v>
      </c>
      <c r="D137" s="711">
        <v>9170</v>
      </c>
      <c r="E137" s="711">
        <v>9450</v>
      </c>
      <c r="F137" s="738"/>
      <c r="H137" s="736"/>
    </row>
    <row r="138" spans="1:8" s="705" customFormat="1" ht="14.25" customHeight="1" thickBot="1">
      <c r="A138" s="717" t="s">
        <v>70</v>
      </c>
      <c r="B138" s="711" t="s">
        <v>407</v>
      </c>
      <c r="C138" s="711">
        <v>9690</v>
      </c>
      <c r="D138" s="711">
        <v>9660</v>
      </c>
      <c r="E138" s="711">
        <v>9840</v>
      </c>
      <c r="F138" s="738"/>
      <c r="H138" s="736"/>
    </row>
    <row r="139" spans="1:8" s="705" customFormat="1" ht="14.25" customHeight="1" thickBot="1">
      <c r="A139" s="717" t="s">
        <v>70</v>
      </c>
      <c r="B139" s="711" t="s">
        <v>411</v>
      </c>
      <c r="C139" s="711">
        <v>10290</v>
      </c>
      <c r="D139" s="711">
        <v>10260</v>
      </c>
      <c r="E139" s="711">
        <v>10550</v>
      </c>
      <c r="F139" s="729">
        <v>1700</v>
      </c>
      <c r="H139" s="736"/>
    </row>
    <row r="140" spans="1:8" s="705" customFormat="1" ht="14.25" customHeight="1" thickBot="1">
      <c r="A140" s="717" t="s">
        <v>70</v>
      </c>
      <c r="B140" s="711" t="s">
        <v>416</v>
      </c>
      <c r="C140" s="711">
        <v>9740</v>
      </c>
      <c r="D140" s="711">
        <v>9710</v>
      </c>
      <c r="E140" s="711">
        <v>10000</v>
      </c>
      <c r="F140" s="729">
        <v>2000</v>
      </c>
      <c r="H140" s="736"/>
    </row>
    <row r="141" spans="1:8" s="705" customFormat="1" ht="14.25" customHeight="1" thickBot="1">
      <c r="A141" s="717" t="s">
        <v>70</v>
      </c>
      <c r="B141" s="711" t="s">
        <v>421</v>
      </c>
      <c r="C141" s="711">
        <v>9810</v>
      </c>
      <c r="D141" s="711">
        <v>9770</v>
      </c>
      <c r="E141" s="711">
        <v>10060</v>
      </c>
      <c r="F141" s="738"/>
      <c r="H141" s="736"/>
    </row>
    <row r="142" spans="1:8" s="705" customFormat="1" ht="14.25" customHeight="1" thickBot="1">
      <c r="A142" s="717" t="s">
        <v>70</v>
      </c>
      <c r="B142" s="711" t="s">
        <v>426</v>
      </c>
      <c r="C142" s="711">
        <v>9300</v>
      </c>
      <c r="D142" s="711">
        <v>9270</v>
      </c>
      <c r="E142" s="711">
        <v>9530</v>
      </c>
      <c r="F142" s="738"/>
      <c r="H142" s="736"/>
    </row>
    <row r="143" spans="1:8" s="705" customFormat="1" ht="14.25" customHeight="1" thickBot="1">
      <c r="A143" s="717" t="s">
        <v>70</v>
      </c>
      <c r="B143" s="711" t="s">
        <v>431</v>
      </c>
      <c r="C143" s="711">
        <v>10080</v>
      </c>
      <c r="D143" s="711">
        <v>10050</v>
      </c>
      <c r="E143" s="711">
        <v>10340</v>
      </c>
      <c r="F143" s="738"/>
      <c r="H143" s="736"/>
    </row>
    <row r="144" spans="1:8" s="705" customFormat="1" ht="14.25" customHeight="1" thickBot="1">
      <c r="A144" s="717" t="s">
        <v>70</v>
      </c>
      <c r="B144" s="711" t="s">
        <v>435</v>
      </c>
      <c r="C144" s="711">
        <v>9820</v>
      </c>
      <c r="D144" s="711">
        <v>9750</v>
      </c>
      <c r="E144" s="711">
        <v>9900</v>
      </c>
      <c r="F144" s="738"/>
      <c r="H144" s="736"/>
    </row>
    <row r="145" spans="1:8" s="705" customFormat="1" ht="14.25" customHeight="1" thickBot="1">
      <c r="A145" s="717" t="s">
        <v>70</v>
      </c>
      <c r="B145" s="711" t="s">
        <v>439</v>
      </c>
      <c r="C145" s="711"/>
      <c r="D145" s="711"/>
      <c r="E145" s="711"/>
      <c r="F145" s="729">
        <v>1740</v>
      </c>
      <c r="H145" s="736"/>
    </row>
    <row r="146" spans="1:8" s="705" customFormat="1" ht="14.25" customHeight="1" thickBot="1">
      <c r="A146" s="717" t="s">
        <v>70</v>
      </c>
      <c r="B146" s="711" t="s">
        <v>443</v>
      </c>
      <c r="C146" s="711"/>
      <c r="D146" s="711"/>
      <c r="E146" s="711"/>
      <c r="F146" s="729">
        <v>1740</v>
      </c>
      <c r="H146" s="736"/>
    </row>
    <row r="147" spans="1:8" s="705" customFormat="1" ht="14.25" customHeight="1" thickBot="1">
      <c r="A147" s="717" t="s">
        <v>70</v>
      </c>
      <c r="B147" s="711" t="s">
        <v>447</v>
      </c>
      <c r="C147" s="711"/>
      <c r="D147" s="711"/>
      <c r="E147" s="711"/>
      <c r="F147" s="729">
        <v>1740</v>
      </c>
      <c r="H147" s="736"/>
    </row>
    <row r="148" spans="1:8" s="705" customFormat="1" ht="14.25" customHeight="1" thickBot="1">
      <c r="A148" s="717" t="s">
        <v>70</v>
      </c>
      <c r="B148" s="711" t="s">
        <v>451</v>
      </c>
      <c r="C148" s="711"/>
      <c r="D148" s="711"/>
      <c r="E148" s="711"/>
      <c r="F148" s="729">
        <v>1740</v>
      </c>
      <c r="H148" s="736"/>
    </row>
    <row r="149" spans="1:8" s="705" customFormat="1" ht="14.25" customHeight="1" thickBot="1">
      <c r="A149" s="717" t="s">
        <v>70</v>
      </c>
      <c r="B149" s="711" t="s">
        <v>455</v>
      </c>
      <c r="C149" s="711"/>
      <c r="D149" s="711"/>
      <c r="E149" s="711"/>
      <c r="F149" s="729">
        <v>1740</v>
      </c>
      <c r="H149" s="736"/>
    </row>
    <row r="150" spans="1:8" s="705" customFormat="1" ht="14.25" customHeight="1" thickBot="1">
      <c r="A150" s="717" t="s">
        <v>70</v>
      </c>
      <c r="B150" s="711" t="s">
        <v>458</v>
      </c>
      <c r="C150" s="711"/>
      <c r="D150" s="711"/>
      <c r="E150" s="711"/>
      <c r="F150" s="729">
        <v>1610</v>
      </c>
      <c r="H150" s="736"/>
    </row>
    <row r="151" spans="1:8" s="705" customFormat="1" ht="14.25" customHeight="1" thickBot="1">
      <c r="A151" s="717" t="s">
        <v>70</v>
      </c>
      <c r="B151" s="711" t="s">
        <v>461</v>
      </c>
      <c r="C151" s="711"/>
      <c r="D151" s="711"/>
      <c r="E151" s="711"/>
      <c r="F151" s="729">
        <v>1610</v>
      </c>
      <c r="H151" s="736"/>
    </row>
    <row r="152" spans="1:8" s="705" customFormat="1" ht="14.25" customHeight="1" thickBot="1">
      <c r="A152" s="717" t="s">
        <v>70</v>
      </c>
      <c r="B152" s="711" t="s">
        <v>464</v>
      </c>
      <c r="C152" s="711"/>
      <c r="D152" s="711"/>
      <c r="E152" s="711"/>
      <c r="F152" s="729">
        <v>1610</v>
      </c>
      <c r="H152" s="736"/>
    </row>
    <row r="153" spans="1:8" s="705" customFormat="1" ht="14.25" customHeight="1" thickBot="1">
      <c r="A153" s="717" t="s">
        <v>70</v>
      </c>
      <c r="B153" s="711" t="s">
        <v>467</v>
      </c>
      <c r="C153" s="711"/>
      <c r="D153" s="711"/>
      <c r="E153" s="711"/>
      <c r="F153" s="729">
        <v>1610</v>
      </c>
      <c r="H153" s="736"/>
    </row>
    <row r="154" spans="1:8" s="705" customFormat="1" ht="14.25" customHeight="1" thickBot="1">
      <c r="A154" s="717" t="s">
        <v>70</v>
      </c>
      <c r="B154" s="711" t="s">
        <v>470</v>
      </c>
      <c r="C154" s="711"/>
      <c r="D154" s="711"/>
      <c r="E154" s="711"/>
      <c r="F154" s="729">
        <v>1610</v>
      </c>
      <c r="H154" s="736"/>
    </row>
    <row r="155" spans="1:8" s="705" customFormat="1" ht="14.25" customHeight="1" thickBot="1">
      <c r="A155" s="717" t="s">
        <v>70</v>
      </c>
      <c r="B155" s="711" t="s">
        <v>473</v>
      </c>
      <c r="C155" s="711"/>
      <c r="D155" s="711"/>
      <c r="E155" s="711"/>
      <c r="F155" s="729">
        <v>1800</v>
      </c>
      <c r="H155" s="736"/>
    </row>
    <row r="156" spans="1:8" s="705" customFormat="1" ht="14.25" customHeight="1" thickBot="1">
      <c r="A156" s="717" t="s">
        <v>70</v>
      </c>
      <c r="B156" s="711" t="s">
        <v>475</v>
      </c>
      <c r="C156" s="711"/>
      <c r="D156" s="711"/>
      <c r="E156" s="711"/>
      <c r="F156" s="729">
        <v>1910</v>
      </c>
      <c r="H156" s="736"/>
    </row>
    <row r="157" spans="1:8" s="705" customFormat="1" ht="14.25" customHeight="1" thickBot="1">
      <c r="A157" s="717" t="s">
        <v>70</v>
      </c>
      <c r="B157" s="727" t="s">
        <v>478</v>
      </c>
      <c r="C157" s="727"/>
      <c r="D157" s="727"/>
      <c r="E157" s="727"/>
      <c r="F157" s="737">
        <v>1500</v>
      </c>
      <c r="H157" s="736"/>
    </row>
    <row r="158" spans="1:8" s="705" customFormat="1" ht="14.25" customHeight="1" thickBot="1">
      <c r="A158" s="717" t="s">
        <v>483</v>
      </c>
      <c r="B158" s="718" t="s">
        <v>484</v>
      </c>
      <c r="C158" s="718">
        <v>8170</v>
      </c>
      <c r="D158" s="718">
        <v>8140</v>
      </c>
      <c r="E158" s="718">
        <v>8590</v>
      </c>
      <c r="F158" s="719">
        <v>1450</v>
      </c>
      <c r="H158" s="736"/>
    </row>
    <row r="159" spans="1:8" s="705" customFormat="1" ht="14.25" customHeight="1" thickBot="1">
      <c r="A159" s="717" t="s">
        <v>483</v>
      </c>
      <c r="B159" s="711" t="s">
        <v>142</v>
      </c>
      <c r="C159" s="711">
        <v>7410</v>
      </c>
      <c r="D159" s="711">
        <v>7370</v>
      </c>
      <c r="E159" s="711">
        <v>8030</v>
      </c>
      <c r="F159" s="729">
        <v>1510</v>
      </c>
      <c r="H159" s="736"/>
    </row>
    <row r="160" spans="1:8" s="705" customFormat="1" ht="14.25" customHeight="1" thickBot="1">
      <c r="A160" s="717" t="s">
        <v>483</v>
      </c>
      <c r="B160" s="711" t="s">
        <v>155</v>
      </c>
      <c r="C160" s="711">
        <v>7240</v>
      </c>
      <c r="D160" s="711">
        <v>7210</v>
      </c>
      <c r="E160" s="711">
        <v>7860</v>
      </c>
      <c r="F160" s="729">
        <v>1370</v>
      </c>
      <c r="H160" s="736"/>
    </row>
    <row r="161" spans="1:8" s="705" customFormat="1" ht="14.25" customHeight="1" thickBot="1">
      <c r="A161" s="717" t="s">
        <v>483</v>
      </c>
      <c r="B161" s="711" t="s">
        <v>168</v>
      </c>
      <c r="C161" s="711">
        <v>7720</v>
      </c>
      <c r="D161" s="711">
        <v>7690</v>
      </c>
      <c r="E161" s="711">
        <v>8200</v>
      </c>
      <c r="F161" s="729">
        <v>1190</v>
      </c>
      <c r="H161" s="736"/>
    </row>
    <row r="162" spans="1:8" s="705" customFormat="1" ht="14.25" customHeight="1" thickBot="1">
      <c r="A162" s="717" t="s">
        <v>483</v>
      </c>
      <c r="B162" s="711" t="s">
        <v>180</v>
      </c>
      <c r="C162" s="711">
        <v>6900</v>
      </c>
      <c r="D162" s="711">
        <v>6870</v>
      </c>
      <c r="E162" s="711">
        <v>7500</v>
      </c>
      <c r="F162" s="729">
        <v>1390</v>
      </c>
      <c r="H162" s="736"/>
    </row>
    <row r="163" spans="1:8" s="705" customFormat="1" ht="14.25" customHeight="1" thickBot="1">
      <c r="A163" s="717" t="s">
        <v>483</v>
      </c>
      <c r="B163" s="711" t="s">
        <v>192</v>
      </c>
      <c r="C163" s="711">
        <v>7120</v>
      </c>
      <c r="D163" s="711">
        <v>7090</v>
      </c>
      <c r="E163" s="711">
        <v>7690</v>
      </c>
      <c r="F163" s="729">
        <v>1230</v>
      </c>
      <c r="H163" s="736"/>
    </row>
    <row r="164" spans="1:8" s="705" customFormat="1" ht="14.25" customHeight="1" thickBot="1">
      <c r="A164" s="717" t="s">
        <v>483</v>
      </c>
      <c r="B164" s="711" t="s">
        <v>204</v>
      </c>
      <c r="C164" s="711">
        <v>6560</v>
      </c>
      <c r="D164" s="711">
        <v>6530</v>
      </c>
      <c r="E164" s="711">
        <v>7110</v>
      </c>
      <c r="F164" s="729">
        <v>1340</v>
      </c>
      <c r="H164" s="736"/>
    </row>
    <row r="165" spans="1:8" s="705" customFormat="1" ht="14.25" customHeight="1" thickBot="1">
      <c r="A165" s="717" t="s">
        <v>483</v>
      </c>
      <c r="B165" s="711" t="s">
        <v>216</v>
      </c>
      <c r="C165" s="711">
        <v>7450</v>
      </c>
      <c r="D165" s="711">
        <v>7430</v>
      </c>
      <c r="E165" s="711">
        <v>8110</v>
      </c>
      <c r="F165" s="729">
        <v>1290</v>
      </c>
      <c r="H165" s="736"/>
    </row>
    <row r="166" spans="1:8" s="705" customFormat="1" ht="14.25" customHeight="1" thickBot="1">
      <c r="A166" s="717" t="s">
        <v>483</v>
      </c>
      <c r="B166" s="711" t="s">
        <v>229</v>
      </c>
      <c r="C166" s="711">
        <v>7490</v>
      </c>
      <c r="D166" s="711">
        <v>7460</v>
      </c>
      <c r="E166" s="711">
        <v>8150</v>
      </c>
      <c r="F166" s="729">
        <v>1350</v>
      </c>
      <c r="H166" s="736"/>
    </row>
    <row r="167" spans="1:8" s="705" customFormat="1" ht="14.25" customHeight="1" thickBot="1">
      <c r="A167" s="717" t="s">
        <v>483</v>
      </c>
      <c r="B167" s="711" t="s">
        <v>240</v>
      </c>
      <c r="C167" s="711">
        <v>7540</v>
      </c>
      <c r="D167" s="711">
        <v>7510</v>
      </c>
      <c r="E167" s="711">
        <v>8030</v>
      </c>
      <c r="F167" s="738"/>
      <c r="H167" s="736"/>
    </row>
    <row r="168" spans="1:8" s="705" customFormat="1" ht="14.25" customHeight="1" thickBot="1">
      <c r="A168" s="717" t="s">
        <v>483</v>
      </c>
      <c r="B168" s="711" t="s">
        <v>251</v>
      </c>
      <c r="C168" s="711">
        <v>7210</v>
      </c>
      <c r="D168" s="711">
        <v>7180</v>
      </c>
      <c r="E168" s="711">
        <v>7830</v>
      </c>
      <c r="F168" s="738"/>
      <c r="H168" s="736"/>
    </row>
    <row r="169" spans="1:8" s="705" customFormat="1" ht="14.25" customHeight="1" thickBot="1">
      <c r="A169" s="717" t="s">
        <v>483</v>
      </c>
      <c r="B169" s="711" t="s">
        <v>262</v>
      </c>
      <c r="C169" s="711">
        <v>7040</v>
      </c>
      <c r="D169" s="711">
        <v>7020</v>
      </c>
      <c r="E169" s="711">
        <v>7670</v>
      </c>
      <c r="F169" s="738"/>
      <c r="H169" s="736"/>
    </row>
    <row r="170" spans="1:8" s="705" customFormat="1" ht="14.25" customHeight="1" thickBot="1">
      <c r="A170" s="717" t="s">
        <v>483</v>
      </c>
      <c r="B170" s="711" t="s">
        <v>273</v>
      </c>
      <c r="C170" s="711">
        <v>8040</v>
      </c>
      <c r="D170" s="711">
        <v>7190</v>
      </c>
      <c r="E170" s="711">
        <v>7850</v>
      </c>
      <c r="F170" s="738"/>
      <c r="H170" s="736"/>
    </row>
    <row r="171" spans="1:8" s="705" customFormat="1" ht="14.25" customHeight="1" thickBot="1">
      <c r="A171" s="717" t="s">
        <v>483</v>
      </c>
      <c r="B171" s="711" t="s">
        <v>284</v>
      </c>
      <c r="C171" s="711">
        <v>7860</v>
      </c>
      <c r="D171" s="711">
        <v>7720</v>
      </c>
      <c r="E171" s="711">
        <v>8150</v>
      </c>
      <c r="F171" s="729">
        <v>1110</v>
      </c>
      <c r="H171" s="736"/>
    </row>
    <row r="172" spans="1:8" s="705" customFormat="1" ht="14.25" customHeight="1" thickBot="1">
      <c r="A172" s="717" t="s">
        <v>483</v>
      </c>
      <c r="B172" s="711" t="s">
        <v>295</v>
      </c>
      <c r="C172" s="711">
        <v>7210</v>
      </c>
      <c r="D172" s="711">
        <v>7170</v>
      </c>
      <c r="E172" s="711">
        <v>7320</v>
      </c>
      <c r="F172" s="738"/>
      <c r="H172" s="736"/>
    </row>
    <row r="173" spans="1:8" s="705" customFormat="1" ht="14.25" customHeight="1" thickBot="1">
      <c r="A173" s="717" t="s">
        <v>483</v>
      </c>
      <c r="B173" s="711" t="s">
        <v>305</v>
      </c>
      <c r="C173" s="711">
        <v>6860</v>
      </c>
      <c r="D173" s="711">
        <v>6810</v>
      </c>
      <c r="E173" s="711">
        <v>7440</v>
      </c>
      <c r="F173" s="738"/>
      <c r="H173" s="736"/>
    </row>
    <row r="174" spans="1:8" s="705" customFormat="1" ht="14.25" customHeight="1" thickBot="1">
      <c r="A174" s="717" t="s">
        <v>483</v>
      </c>
      <c r="B174" s="711" t="s">
        <v>315</v>
      </c>
      <c r="C174" s="711">
        <v>7120</v>
      </c>
      <c r="D174" s="711">
        <v>7090</v>
      </c>
      <c r="E174" s="711">
        <v>7500</v>
      </c>
      <c r="F174" s="729">
        <v>1490</v>
      </c>
      <c r="H174" s="736"/>
    </row>
    <row r="175" spans="1:8" s="705" customFormat="1" ht="14.25" customHeight="1" thickBot="1">
      <c r="A175" s="717" t="s">
        <v>483</v>
      </c>
      <c r="B175" s="711" t="s">
        <v>325</v>
      </c>
      <c r="C175" s="711">
        <v>7850</v>
      </c>
      <c r="D175" s="711">
        <v>7820</v>
      </c>
      <c r="E175" s="711">
        <v>8120</v>
      </c>
      <c r="F175" s="729">
        <v>1530</v>
      </c>
      <c r="H175" s="736"/>
    </row>
    <row r="176" spans="1:8" s="705" customFormat="1" ht="14.25" customHeight="1" thickBot="1">
      <c r="A176" s="717" t="s">
        <v>483</v>
      </c>
      <c r="B176" s="711" t="s">
        <v>335</v>
      </c>
      <c r="C176" s="711">
        <v>7620</v>
      </c>
      <c r="D176" s="711">
        <v>7570</v>
      </c>
      <c r="E176" s="711">
        <v>7990</v>
      </c>
      <c r="F176" s="729">
        <v>1480</v>
      </c>
      <c r="H176" s="736"/>
    </row>
    <row r="177" spans="1:8" s="705" customFormat="1" ht="14.25" customHeight="1" thickBot="1">
      <c r="A177" s="717" t="s">
        <v>483</v>
      </c>
      <c r="B177" s="711" t="s">
        <v>344</v>
      </c>
      <c r="C177" s="711">
        <v>8590</v>
      </c>
      <c r="D177" s="711">
        <v>8570</v>
      </c>
      <c r="E177" s="711">
        <v>8740</v>
      </c>
      <c r="F177" s="729">
        <v>1540</v>
      </c>
      <c r="H177" s="736"/>
    </row>
    <row r="178" spans="1:8" s="705" customFormat="1" ht="14.25" customHeight="1" thickBot="1">
      <c r="A178" s="717" t="s">
        <v>483</v>
      </c>
      <c r="B178" s="711" t="s">
        <v>353</v>
      </c>
      <c r="C178" s="711">
        <v>7510</v>
      </c>
      <c r="D178" s="711">
        <v>7470</v>
      </c>
      <c r="E178" s="711">
        <v>8090</v>
      </c>
      <c r="F178" s="729">
        <v>1320</v>
      </c>
      <c r="H178" s="736"/>
    </row>
    <row r="179" spans="1:8" s="705" customFormat="1" ht="14.25" customHeight="1" thickBot="1">
      <c r="A179" s="717" t="s">
        <v>483</v>
      </c>
      <c r="B179" s="711" t="s">
        <v>361</v>
      </c>
      <c r="C179" s="711">
        <v>6380</v>
      </c>
      <c r="D179" s="711">
        <v>6340</v>
      </c>
      <c r="E179" s="711">
        <v>6810</v>
      </c>
      <c r="F179" s="738"/>
      <c r="H179" s="736"/>
    </row>
    <row r="180" spans="1:8" s="705" customFormat="1" ht="14.25" customHeight="1" thickBot="1">
      <c r="A180" s="717" t="s">
        <v>483</v>
      </c>
      <c r="B180" s="711" t="s">
        <v>368</v>
      </c>
      <c r="C180" s="711">
        <v>7830</v>
      </c>
      <c r="D180" s="711">
        <v>7800</v>
      </c>
      <c r="E180" s="711">
        <v>7780</v>
      </c>
      <c r="F180" s="729">
        <v>1440</v>
      </c>
      <c r="H180" s="736"/>
    </row>
    <row r="181" spans="1:8" s="705" customFormat="1" ht="14.25" customHeight="1" thickBot="1">
      <c r="A181" s="717" t="s">
        <v>483</v>
      </c>
      <c r="B181" s="711" t="s">
        <v>375</v>
      </c>
      <c r="C181" s="711">
        <v>7110</v>
      </c>
      <c r="D181" s="711">
        <v>7080</v>
      </c>
      <c r="E181" s="711">
        <v>7730</v>
      </c>
      <c r="F181" s="729">
        <v>1350</v>
      </c>
      <c r="H181" s="736"/>
    </row>
    <row r="182" spans="1:8" s="705" customFormat="1" ht="14.25" customHeight="1" thickBot="1">
      <c r="A182" s="717" t="s">
        <v>483</v>
      </c>
      <c r="B182" s="711" t="s">
        <v>382</v>
      </c>
      <c r="C182" s="711">
        <v>7310</v>
      </c>
      <c r="D182" s="711">
        <v>7280</v>
      </c>
      <c r="E182" s="711">
        <v>7950</v>
      </c>
      <c r="F182" s="729">
        <v>1220</v>
      </c>
      <c r="H182" s="736"/>
    </row>
    <row r="183" spans="1:8" s="705" customFormat="1" ht="14.25" customHeight="1" thickBot="1">
      <c r="A183" s="717" t="s">
        <v>483</v>
      </c>
      <c r="B183" s="711" t="s">
        <v>389</v>
      </c>
      <c r="C183" s="711">
        <v>7470</v>
      </c>
      <c r="D183" s="711">
        <v>7440</v>
      </c>
      <c r="E183" s="711">
        <v>7880</v>
      </c>
      <c r="F183" s="738"/>
      <c r="H183" s="736"/>
    </row>
    <row r="184" spans="1:8" s="705" customFormat="1" ht="14.25" customHeight="1" thickBot="1">
      <c r="A184" s="717" t="s">
        <v>483</v>
      </c>
      <c r="B184" s="711" t="s">
        <v>396</v>
      </c>
      <c r="C184" s="711">
        <v>6960</v>
      </c>
      <c r="D184" s="711">
        <v>6930</v>
      </c>
      <c r="E184" s="711">
        <v>7570</v>
      </c>
      <c r="F184" s="738"/>
      <c r="H184" s="736"/>
    </row>
    <row r="185" spans="1:8" s="705" customFormat="1" ht="14.25" customHeight="1" thickBot="1">
      <c r="A185" s="717" t="s">
        <v>483</v>
      </c>
      <c r="B185" s="711" t="s">
        <v>403</v>
      </c>
      <c r="C185" s="711">
        <v>7260</v>
      </c>
      <c r="D185" s="711">
        <v>7230</v>
      </c>
      <c r="E185" s="711">
        <v>7710</v>
      </c>
      <c r="F185" s="729">
        <v>1360</v>
      </c>
      <c r="H185" s="736"/>
    </row>
    <row r="186" spans="1:8" s="705" customFormat="1" ht="14.25" customHeight="1" thickBot="1">
      <c r="A186" s="717" t="s">
        <v>483</v>
      </c>
      <c r="B186" s="711" t="s">
        <v>408</v>
      </c>
      <c r="C186" s="711"/>
      <c r="D186" s="711"/>
      <c r="E186" s="711"/>
      <c r="F186" s="729">
        <v>1560</v>
      </c>
      <c r="H186" s="736"/>
    </row>
    <row r="187" spans="1:8" s="705" customFormat="1" ht="14.25" customHeight="1" thickBot="1">
      <c r="A187" s="717" t="s">
        <v>483</v>
      </c>
      <c r="B187" s="711" t="s">
        <v>412</v>
      </c>
      <c r="C187" s="711"/>
      <c r="D187" s="711"/>
      <c r="E187" s="711"/>
      <c r="F187" s="729">
        <v>1560</v>
      </c>
      <c r="H187" s="736"/>
    </row>
    <row r="188" spans="1:8" s="705" customFormat="1" ht="14.25" customHeight="1" thickBot="1">
      <c r="A188" s="717" t="s">
        <v>483</v>
      </c>
      <c r="B188" s="711" t="s">
        <v>417</v>
      </c>
      <c r="C188" s="711"/>
      <c r="D188" s="711"/>
      <c r="E188" s="711"/>
      <c r="F188" s="729">
        <v>1560</v>
      </c>
      <c r="H188" s="736"/>
    </row>
    <row r="189" spans="1:8" s="705" customFormat="1" ht="14.25" customHeight="1" thickBot="1">
      <c r="A189" s="717" t="s">
        <v>483</v>
      </c>
      <c r="B189" s="711" t="s">
        <v>422</v>
      </c>
      <c r="C189" s="711"/>
      <c r="D189" s="711"/>
      <c r="E189" s="711"/>
      <c r="F189" s="729">
        <v>1320</v>
      </c>
      <c r="H189" s="736"/>
    </row>
    <row r="190" spans="1:8" s="705" customFormat="1" ht="14.25" customHeight="1" thickBot="1">
      <c r="A190" s="717" t="s">
        <v>483</v>
      </c>
      <c r="B190" s="711" t="s">
        <v>427</v>
      </c>
      <c r="C190" s="711"/>
      <c r="D190" s="711"/>
      <c r="E190" s="711"/>
      <c r="F190" s="729">
        <v>1320</v>
      </c>
      <c r="H190" s="736"/>
    </row>
    <row r="191" spans="1:8" s="705" customFormat="1" ht="14.25" customHeight="1" thickBot="1">
      <c r="A191" s="717" t="s">
        <v>483</v>
      </c>
      <c r="B191" s="711" t="s">
        <v>432</v>
      </c>
      <c r="C191" s="711"/>
      <c r="D191" s="711"/>
      <c r="E191" s="711"/>
      <c r="F191" s="729">
        <v>1320</v>
      </c>
      <c r="H191" s="736"/>
    </row>
    <row r="192" spans="1:8" s="705" customFormat="1" ht="14.25" customHeight="1" thickBot="1">
      <c r="A192" s="717" t="s">
        <v>483</v>
      </c>
      <c r="B192" s="711" t="s">
        <v>436</v>
      </c>
      <c r="C192" s="711"/>
      <c r="D192" s="711"/>
      <c r="E192" s="711"/>
      <c r="F192" s="729">
        <v>1100</v>
      </c>
      <c r="H192" s="736"/>
    </row>
    <row r="193" spans="1:8" s="705" customFormat="1" ht="14.25" customHeight="1" thickBot="1">
      <c r="A193" s="717" t="s">
        <v>483</v>
      </c>
      <c r="B193" s="711" t="s">
        <v>440</v>
      </c>
      <c r="C193" s="711"/>
      <c r="D193" s="711"/>
      <c r="E193" s="711"/>
      <c r="F193" s="729">
        <v>1100</v>
      </c>
      <c r="H193" s="736"/>
    </row>
    <row r="194" spans="1:8" s="705" customFormat="1" ht="14.25" customHeight="1" thickBot="1">
      <c r="A194" s="717" t="s">
        <v>483</v>
      </c>
      <c r="B194" s="711" t="s">
        <v>444</v>
      </c>
      <c r="C194" s="711"/>
      <c r="D194" s="711"/>
      <c r="E194" s="711"/>
      <c r="F194" s="729">
        <v>1080</v>
      </c>
      <c r="H194" s="736"/>
    </row>
    <row r="195" spans="1:8" s="705" customFormat="1" ht="14.25" customHeight="1" thickBot="1">
      <c r="A195" s="717" t="s">
        <v>483</v>
      </c>
      <c r="B195" s="711" t="s">
        <v>448</v>
      </c>
      <c r="C195" s="711"/>
      <c r="D195" s="711"/>
      <c r="E195" s="711"/>
      <c r="F195" s="729">
        <v>1270</v>
      </c>
      <c r="H195" s="736"/>
    </row>
    <row r="196" spans="1:8" s="705" customFormat="1" ht="14.25" customHeight="1" thickBot="1">
      <c r="A196" s="717" t="s">
        <v>483</v>
      </c>
      <c r="B196" s="711" t="s">
        <v>452</v>
      </c>
      <c r="C196" s="711"/>
      <c r="D196" s="711"/>
      <c r="E196" s="711"/>
      <c r="F196" s="729">
        <v>1150</v>
      </c>
      <c r="H196" s="736"/>
    </row>
    <row r="197" spans="1:8" s="705" customFormat="1" ht="14.25" customHeight="1" thickBot="1">
      <c r="A197" s="717" t="s">
        <v>483</v>
      </c>
      <c r="B197" s="711" t="s">
        <v>456</v>
      </c>
      <c r="C197" s="711"/>
      <c r="D197" s="711"/>
      <c r="E197" s="711"/>
      <c r="F197" s="729">
        <v>1330</v>
      </c>
      <c r="H197" s="736"/>
    </row>
    <row r="198" spans="1:8" s="705" customFormat="1" ht="14.25" customHeight="1" thickBot="1">
      <c r="A198" s="717" t="s">
        <v>483</v>
      </c>
      <c r="B198" s="711" t="s">
        <v>459</v>
      </c>
      <c r="C198" s="711"/>
      <c r="D198" s="711"/>
      <c r="E198" s="711"/>
      <c r="F198" s="729">
        <v>1170</v>
      </c>
      <c r="H198" s="736"/>
    </row>
    <row r="199" spans="1:8" s="705" customFormat="1" ht="14.25" customHeight="1" thickBot="1">
      <c r="A199" s="717" t="s">
        <v>483</v>
      </c>
      <c r="B199" s="711" t="s">
        <v>462</v>
      </c>
      <c r="C199" s="711"/>
      <c r="D199" s="711"/>
      <c r="E199" s="711"/>
      <c r="F199" s="729">
        <v>1120</v>
      </c>
      <c r="H199" s="736"/>
    </row>
    <row r="200" spans="1:8" s="705" customFormat="1" ht="14.25" customHeight="1" thickBot="1">
      <c r="A200" s="717" t="s">
        <v>483</v>
      </c>
      <c r="B200" s="711" t="s">
        <v>465</v>
      </c>
      <c r="C200" s="711"/>
      <c r="D200" s="711"/>
      <c r="E200" s="711"/>
      <c r="F200" s="729">
        <v>1120</v>
      </c>
      <c r="H200" s="736"/>
    </row>
    <row r="201" spans="1:8" s="705" customFormat="1" ht="14.25" customHeight="1" thickBot="1">
      <c r="A201" s="717" t="s">
        <v>483</v>
      </c>
      <c r="B201" s="711" t="s">
        <v>468</v>
      </c>
      <c r="C201" s="711"/>
      <c r="D201" s="711"/>
      <c r="E201" s="711"/>
      <c r="F201" s="729">
        <v>1540</v>
      </c>
      <c r="H201" s="736"/>
    </row>
    <row r="202" spans="1:8" s="705" customFormat="1" ht="14.25" customHeight="1" thickBot="1">
      <c r="A202" s="717" t="s">
        <v>483</v>
      </c>
      <c r="B202" s="711" t="s">
        <v>471</v>
      </c>
      <c r="C202" s="711"/>
      <c r="D202" s="711"/>
      <c r="E202" s="711"/>
      <c r="F202" s="729">
        <v>1310</v>
      </c>
      <c r="H202" s="736"/>
    </row>
    <row r="203" spans="1:8" s="705" customFormat="1" ht="14.25" customHeight="1" thickBot="1">
      <c r="A203" s="717" t="s">
        <v>483</v>
      </c>
      <c r="B203" s="711" t="s">
        <v>474</v>
      </c>
      <c r="C203" s="711"/>
      <c r="D203" s="711"/>
      <c r="E203" s="711"/>
      <c r="F203" s="729">
        <v>1310</v>
      </c>
      <c r="H203" s="736"/>
    </row>
    <row r="204" spans="1:8" s="705" customFormat="1" ht="14.25" customHeight="1" thickBot="1">
      <c r="A204" s="717" t="s">
        <v>483</v>
      </c>
      <c r="B204" s="711" t="s">
        <v>476</v>
      </c>
      <c r="C204" s="711"/>
      <c r="D204" s="711"/>
      <c r="E204" s="711"/>
      <c r="F204" s="729">
        <v>1080</v>
      </c>
      <c r="H204" s="736"/>
    </row>
    <row r="205" spans="1:8" s="705" customFormat="1" ht="14.25" customHeight="1" thickBot="1">
      <c r="A205" s="717" t="s">
        <v>483</v>
      </c>
      <c r="B205" s="711" t="s">
        <v>479</v>
      </c>
      <c r="C205" s="711"/>
      <c r="D205" s="711"/>
      <c r="E205" s="711"/>
      <c r="F205" s="729">
        <v>1080</v>
      </c>
      <c r="H205" s="736"/>
    </row>
    <row r="206" spans="1:8" s="705" customFormat="1" ht="14.25" customHeight="1" thickBot="1">
      <c r="A206" s="717" t="s">
        <v>485</v>
      </c>
      <c r="B206" s="718" t="s">
        <v>486</v>
      </c>
      <c r="C206" s="718">
        <v>5450</v>
      </c>
      <c r="D206" s="718">
        <v>5430</v>
      </c>
      <c r="E206" s="718">
        <v>5700</v>
      </c>
      <c r="F206" s="719">
        <v>1020</v>
      </c>
      <c r="H206" s="736"/>
    </row>
    <row r="207" spans="1:8" s="705" customFormat="1" ht="14.25" customHeight="1" thickBot="1">
      <c r="A207" s="717" t="s">
        <v>485</v>
      </c>
      <c r="B207" s="711" t="s">
        <v>143</v>
      </c>
      <c r="C207" s="711">
        <v>5860</v>
      </c>
      <c r="D207" s="711">
        <v>5820</v>
      </c>
      <c r="E207" s="711">
        <v>6050</v>
      </c>
      <c r="F207" s="729">
        <v>1080</v>
      </c>
      <c r="H207" s="736"/>
    </row>
    <row r="208" spans="1:8" s="705" customFormat="1" ht="14.25" customHeight="1" thickBot="1">
      <c r="A208" s="717" t="s">
        <v>485</v>
      </c>
      <c r="B208" s="711" t="s">
        <v>156</v>
      </c>
      <c r="C208" s="711">
        <v>4630</v>
      </c>
      <c r="D208" s="711">
        <v>4600</v>
      </c>
      <c r="E208" s="711">
        <v>4840</v>
      </c>
      <c r="F208" s="729">
        <v>900</v>
      </c>
      <c r="H208" s="736"/>
    </row>
    <row r="209" spans="1:8" s="705" customFormat="1" ht="14.25" customHeight="1" thickBot="1">
      <c r="A209" s="717" t="s">
        <v>485</v>
      </c>
      <c r="B209" s="711" t="s">
        <v>169</v>
      </c>
      <c r="C209" s="711">
        <v>5320</v>
      </c>
      <c r="D209" s="711">
        <v>5270</v>
      </c>
      <c r="E209" s="711">
        <v>5540</v>
      </c>
      <c r="F209" s="729">
        <v>980</v>
      </c>
      <c r="H209" s="736"/>
    </row>
    <row r="210" spans="1:8" s="705" customFormat="1" ht="14.25" customHeight="1" thickBot="1">
      <c r="A210" s="717" t="s">
        <v>485</v>
      </c>
      <c r="B210" s="711" t="s">
        <v>181</v>
      </c>
      <c r="C210" s="711">
        <v>5760</v>
      </c>
      <c r="D210" s="711">
        <v>5710</v>
      </c>
      <c r="E210" s="711">
        <v>6010</v>
      </c>
      <c r="F210" s="729">
        <v>870</v>
      </c>
      <c r="H210" s="736"/>
    </row>
    <row r="211" spans="1:8" s="705" customFormat="1" ht="14.25" customHeight="1" thickBot="1">
      <c r="A211" s="717" t="s">
        <v>485</v>
      </c>
      <c r="B211" s="711" t="s">
        <v>193</v>
      </c>
      <c r="C211" s="711">
        <v>4160</v>
      </c>
      <c r="D211" s="711">
        <v>4100</v>
      </c>
      <c r="E211" s="711">
        <v>4270</v>
      </c>
      <c r="F211" s="729">
        <v>790</v>
      </c>
      <c r="H211" s="736"/>
    </row>
    <row r="212" spans="1:8" s="705" customFormat="1" ht="14.25" customHeight="1" thickBot="1">
      <c r="A212" s="717" t="s">
        <v>485</v>
      </c>
      <c r="B212" s="711" t="s">
        <v>205</v>
      </c>
      <c r="C212" s="711">
        <v>4880</v>
      </c>
      <c r="D212" s="711">
        <v>4850</v>
      </c>
      <c r="E212" s="711">
        <v>5110</v>
      </c>
      <c r="F212" s="729">
        <v>940</v>
      </c>
      <c r="H212" s="736"/>
    </row>
    <row r="213" spans="1:8" s="705" customFormat="1" ht="14.25" customHeight="1" thickBot="1">
      <c r="A213" s="717" t="s">
        <v>485</v>
      </c>
      <c r="B213" s="711" t="s">
        <v>217</v>
      </c>
      <c r="C213" s="711">
        <v>4640</v>
      </c>
      <c r="D213" s="711">
        <v>4590</v>
      </c>
      <c r="E213" s="711">
        <v>4700</v>
      </c>
      <c r="F213" s="729">
        <v>1030</v>
      </c>
      <c r="H213" s="736"/>
    </row>
    <row r="214" spans="1:8" s="705" customFormat="1" ht="14.25" customHeight="1" thickBot="1">
      <c r="A214" s="717" t="s">
        <v>485</v>
      </c>
      <c r="B214" s="711" t="s">
        <v>230</v>
      </c>
      <c r="C214" s="711">
        <v>4540</v>
      </c>
      <c r="D214" s="711">
        <v>4490</v>
      </c>
      <c r="E214" s="711">
        <v>4610</v>
      </c>
      <c r="F214" s="738"/>
      <c r="H214" s="736"/>
    </row>
    <row r="215" spans="1:8" s="705" customFormat="1" ht="14.25" customHeight="1" thickBot="1">
      <c r="A215" s="717" t="s">
        <v>485</v>
      </c>
      <c r="B215" s="711" t="s">
        <v>241</v>
      </c>
      <c r="C215" s="711">
        <v>5280</v>
      </c>
      <c r="D215" s="711">
        <v>5250</v>
      </c>
      <c r="E215" s="711">
        <v>5520</v>
      </c>
      <c r="F215" s="729">
        <v>1000</v>
      </c>
      <c r="H215" s="736"/>
    </row>
    <row r="216" spans="1:8" s="705" customFormat="1" ht="14.25" customHeight="1" thickBot="1">
      <c r="A216" s="717" t="s">
        <v>485</v>
      </c>
      <c r="B216" s="711" t="s">
        <v>252</v>
      </c>
      <c r="C216" s="711">
        <v>5100</v>
      </c>
      <c r="D216" s="711">
        <v>5050</v>
      </c>
      <c r="E216" s="711">
        <v>5300</v>
      </c>
      <c r="F216" s="729">
        <v>950</v>
      </c>
      <c r="H216" s="736"/>
    </row>
    <row r="217" spans="1:8" s="705" customFormat="1" ht="14.25" customHeight="1" thickBot="1">
      <c r="A217" s="717" t="s">
        <v>485</v>
      </c>
      <c r="B217" s="711" t="s">
        <v>263</v>
      </c>
      <c r="C217" s="711">
        <v>5370</v>
      </c>
      <c r="D217" s="711">
        <v>5320</v>
      </c>
      <c r="E217" s="711">
        <v>5410</v>
      </c>
      <c r="F217" s="729">
        <v>950</v>
      </c>
      <c r="H217" s="736"/>
    </row>
    <row r="218" spans="1:8" s="705" customFormat="1" ht="14.25" customHeight="1" thickBot="1">
      <c r="A218" s="717" t="s">
        <v>485</v>
      </c>
      <c r="B218" s="711" t="s">
        <v>274</v>
      </c>
      <c r="C218" s="711">
        <v>5540</v>
      </c>
      <c r="D218" s="711">
        <v>5480</v>
      </c>
      <c r="E218" s="711">
        <v>5740</v>
      </c>
      <c r="F218" s="729">
        <v>1020</v>
      </c>
      <c r="H218" s="736"/>
    </row>
    <row r="219" spans="1:8" s="705" customFormat="1" ht="14.25" customHeight="1" thickBot="1">
      <c r="A219" s="717" t="s">
        <v>485</v>
      </c>
      <c r="B219" s="711" t="s">
        <v>285</v>
      </c>
      <c r="C219" s="711">
        <v>5140</v>
      </c>
      <c r="D219" s="711">
        <v>5100</v>
      </c>
      <c r="E219" s="711">
        <v>5350</v>
      </c>
      <c r="F219" s="729">
        <v>1120</v>
      </c>
      <c r="H219" s="736"/>
    </row>
    <row r="220" spans="1:8" s="705" customFormat="1" ht="14.25" customHeight="1" thickBot="1">
      <c r="A220" s="717" t="s">
        <v>485</v>
      </c>
      <c r="B220" s="711" t="s">
        <v>296</v>
      </c>
      <c r="C220" s="711">
        <v>5040</v>
      </c>
      <c r="D220" s="711">
        <v>5000</v>
      </c>
      <c r="E220" s="711">
        <v>5240</v>
      </c>
      <c r="F220" s="729">
        <v>980</v>
      </c>
      <c r="H220" s="736"/>
    </row>
    <row r="221" spans="1:8" s="705" customFormat="1" ht="14.25" customHeight="1" thickBot="1">
      <c r="A221" s="717" t="s">
        <v>485</v>
      </c>
      <c r="B221" s="711" t="s">
        <v>306</v>
      </c>
      <c r="C221" s="739"/>
      <c r="D221" s="739"/>
      <c r="E221" s="739"/>
      <c r="F221" s="729">
        <v>1070</v>
      </c>
      <c r="H221" s="736"/>
    </row>
    <row r="222" spans="1:8" s="705" customFormat="1" ht="14.25" customHeight="1" thickBot="1">
      <c r="A222" s="717" t="s">
        <v>485</v>
      </c>
      <c r="B222" s="711" t="s">
        <v>316</v>
      </c>
      <c r="C222" s="739"/>
      <c r="D222" s="739"/>
      <c r="E222" s="739"/>
      <c r="F222" s="729">
        <v>870</v>
      </c>
      <c r="H222" s="736"/>
    </row>
    <row r="223" spans="1:8" s="705" customFormat="1" ht="14.25" customHeight="1" thickBot="1">
      <c r="A223" s="717" t="s">
        <v>485</v>
      </c>
      <c r="B223" s="711" t="s">
        <v>326</v>
      </c>
      <c r="C223" s="739"/>
      <c r="D223" s="739"/>
      <c r="E223" s="739"/>
      <c r="F223" s="729">
        <v>940</v>
      </c>
      <c r="H223" s="736"/>
    </row>
    <row r="224" spans="1:8" s="705" customFormat="1" ht="14.25" customHeight="1" thickBot="1">
      <c r="A224" s="717" t="s">
        <v>485</v>
      </c>
      <c r="B224" s="711" t="s">
        <v>336</v>
      </c>
      <c r="C224" s="739"/>
      <c r="D224" s="739"/>
      <c r="E224" s="739"/>
      <c r="F224" s="729">
        <v>990</v>
      </c>
      <c r="H224" s="736"/>
    </row>
    <row r="225" spans="1:8" s="705" customFormat="1" ht="14.25" customHeight="1" thickBot="1">
      <c r="A225" s="717" t="s">
        <v>485</v>
      </c>
      <c r="B225" s="711" t="s">
        <v>345</v>
      </c>
      <c r="C225" s="711">
        <v>5730</v>
      </c>
      <c r="D225" s="711">
        <v>5680</v>
      </c>
      <c r="E225" s="711">
        <v>6020</v>
      </c>
      <c r="F225" s="729">
        <v>1000</v>
      </c>
      <c r="H225" s="736"/>
    </row>
    <row r="226" spans="1:8" s="705" customFormat="1" ht="14.25" customHeight="1" thickBot="1">
      <c r="A226" s="717" t="s">
        <v>485</v>
      </c>
      <c r="B226" s="711" t="s">
        <v>354</v>
      </c>
      <c r="C226" s="711">
        <v>4970</v>
      </c>
      <c r="D226" s="711">
        <v>4940</v>
      </c>
      <c r="E226" s="711">
        <v>5180</v>
      </c>
      <c r="F226" s="729">
        <v>960</v>
      </c>
      <c r="H226" s="736"/>
    </row>
    <row r="227" spans="1:8" s="705" customFormat="1" ht="14.25" customHeight="1" thickBot="1">
      <c r="A227" s="717" t="s">
        <v>485</v>
      </c>
      <c r="B227" s="711" t="s">
        <v>362</v>
      </c>
      <c r="C227" s="711">
        <v>5550</v>
      </c>
      <c r="D227" s="711">
        <v>5500</v>
      </c>
      <c r="E227" s="711">
        <v>5780</v>
      </c>
      <c r="F227" s="729">
        <v>940</v>
      </c>
      <c r="H227" s="736"/>
    </row>
    <row r="228" spans="1:8" s="705" customFormat="1" ht="14.25" customHeight="1" thickBot="1">
      <c r="A228" s="717" t="s">
        <v>485</v>
      </c>
      <c r="B228" s="711" t="s">
        <v>369</v>
      </c>
      <c r="C228" s="711">
        <v>5460</v>
      </c>
      <c r="D228" s="711">
        <v>5420</v>
      </c>
      <c r="E228" s="711">
        <v>5690</v>
      </c>
      <c r="F228" s="729">
        <v>910</v>
      </c>
      <c r="H228" s="736"/>
    </row>
    <row r="229" spans="1:8" s="705" customFormat="1" ht="14.25" customHeight="1" thickBot="1">
      <c r="A229" s="717" t="s">
        <v>485</v>
      </c>
      <c r="B229" s="711" t="s">
        <v>376</v>
      </c>
      <c r="C229" s="711">
        <v>5310</v>
      </c>
      <c r="D229" s="711">
        <v>5270</v>
      </c>
      <c r="E229" s="711">
        <v>5510</v>
      </c>
      <c r="F229" s="738"/>
      <c r="H229" s="736"/>
    </row>
    <row r="230" spans="1:8" s="705" customFormat="1" ht="14.25" customHeight="1" thickBot="1">
      <c r="A230" s="717" t="s">
        <v>485</v>
      </c>
      <c r="B230" s="711" t="s">
        <v>383</v>
      </c>
      <c r="C230" s="711">
        <v>4540</v>
      </c>
      <c r="D230" s="711">
        <v>4500</v>
      </c>
      <c r="E230" s="711">
        <v>4730</v>
      </c>
      <c r="F230" s="738"/>
      <c r="H230" s="736"/>
    </row>
    <row r="231" spans="1:8" s="705" customFormat="1" ht="14.25" customHeight="1" thickBot="1">
      <c r="A231" s="717" t="s">
        <v>485</v>
      </c>
      <c r="B231" s="711" t="s">
        <v>390</v>
      </c>
      <c r="C231" s="711">
        <v>4480</v>
      </c>
      <c r="D231" s="711">
        <v>4410</v>
      </c>
      <c r="E231" s="711">
        <v>4640</v>
      </c>
      <c r="F231" s="738"/>
      <c r="H231" s="736"/>
    </row>
    <row r="232" spans="1:8" s="705" customFormat="1" ht="14.25" customHeight="1" thickBot="1">
      <c r="A232" s="717" t="s">
        <v>485</v>
      </c>
      <c r="B232" s="711" t="s">
        <v>397</v>
      </c>
      <c r="C232" s="711">
        <v>5670</v>
      </c>
      <c r="D232" s="711">
        <v>5600</v>
      </c>
      <c r="E232" s="711">
        <v>5890</v>
      </c>
      <c r="F232" s="729">
        <v>1150</v>
      </c>
      <c r="H232" s="736"/>
    </row>
    <row r="233" spans="1:8" s="705" customFormat="1" ht="14.25" customHeight="1" thickBot="1">
      <c r="A233" s="717" t="s">
        <v>485</v>
      </c>
      <c r="B233" s="711" t="s">
        <v>404</v>
      </c>
      <c r="C233" s="711">
        <v>4590</v>
      </c>
      <c r="D233" s="711">
        <v>4500</v>
      </c>
      <c r="E233" s="711">
        <v>4600</v>
      </c>
      <c r="F233" s="738"/>
      <c r="H233" s="736"/>
    </row>
    <row r="234" spans="1:8" s="705" customFormat="1" ht="14.25" customHeight="1" thickBot="1">
      <c r="A234" s="717" t="s">
        <v>485</v>
      </c>
      <c r="B234" s="711" t="s">
        <v>961</v>
      </c>
      <c r="C234" s="711">
        <v>3990</v>
      </c>
      <c r="D234" s="711">
        <v>3950</v>
      </c>
      <c r="E234" s="711">
        <v>4180</v>
      </c>
      <c r="F234" s="738"/>
      <c r="H234" s="736"/>
    </row>
    <row r="235" spans="1:8" s="705" customFormat="1" ht="14.25" customHeight="1" thickBot="1">
      <c r="A235" s="717" t="s">
        <v>485</v>
      </c>
      <c r="B235" s="711" t="s">
        <v>413</v>
      </c>
      <c r="C235" s="711">
        <v>5590</v>
      </c>
      <c r="D235" s="711">
        <v>5540</v>
      </c>
      <c r="E235" s="711">
        <v>5810</v>
      </c>
      <c r="F235" s="729">
        <v>970</v>
      </c>
      <c r="H235" s="736"/>
    </row>
    <row r="236" spans="1:8" s="705" customFormat="1" ht="14.25" customHeight="1" thickBot="1">
      <c r="A236" s="717" t="s">
        <v>485</v>
      </c>
      <c r="B236" s="711" t="s">
        <v>418</v>
      </c>
      <c r="C236" s="711"/>
      <c r="D236" s="711"/>
      <c r="E236" s="711"/>
      <c r="F236" s="729">
        <v>1020</v>
      </c>
      <c r="H236" s="736"/>
    </row>
    <row r="237" spans="1:8" s="705" customFormat="1" ht="14.25" customHeight="1" thickBot="1">
      <c r="A237" s="717" t="s">
        <v>485</v>
      </c>
      <c r="B237" s="711" t="s">
        <v>423</v>
      </c>
      <c r="C237" s="711"/>
      <c r="D237" s="711"/>
      <c r="E237" s="711"/>
      <c r="F237" s="729">
        <v>960</v>
      </c>
      <c r="H237" s="736"/>
    </row>
    <row r="238" spans="1:8" s="705" customFormat="1" ht="14.25" customHeight="1" thickBot="1">
      <c r="A238" s="717" t="s">
        <v>485</v>
      </c>
      <c r="B238" s="711" t="s">
        <v>428</v>
      </c>
      <c r="C238" s="711"/>
      <c r="D238" s="711"/>
      <c r="E238" s="711"/>
      <c r="F238" s="729">
        <v>960</v>
      </c>
      <c r="H238" s="736"/>
    </row>
    <row r="239" spans="1:8" s="705" customFormat="1" ht="14.25" customHeight="1" thickBot="1">
      <c r="A239" s="717" t="s">
        <v>485</v>
      </c>
      <c r="B239" s="711" t="s">
        <v>433</v>
      </c>
      <c r="C239" s="711"/>
      <c r="D239" s="711"/>
      <c r="E239" s="711"/>
      <c r="F239" s="729">
        <v>960</v>
      </c>
      <c r="H239" s="736"/>
    </row>
    <row r="240" spans="1:8" s="705" customFormat="1" ht="14.25" customHeight="1" thickBot="1">
      <c r="A240" s="717" t="s">
        <v>485</v>
      </c>
      <c r="B240" s="711" t="s">
        <v>437</v>
      </c>
      <c r="C240" s="711"/>
      <c r="D240" s="711"/>
      <c r="E240" s="711"/>
      <c r="F240" s="729">
        <v>990</v>
      </c>
      <c r="H240" s="736"/>
    </row>
    <row r="241" spans="1:8" s="705" customFormat="1" ht="14.25" customHeight="1" thickBot="1">
      <c r="A241" s="717" t="s">
        <v>485</v>
      </c>
      <c r="B241" s="711" t="s">
        <v>441</v>
      </c>
      <c r="C241" s="711"/>
      <c r="D241" s="711"/>
      <c r="E241" s="711"/>
      <c r="F241" s="729">
        <v>1000</v>
      </c>
      <c r="H241" s="736"/>
    </row>
    <row r="242" spans="1:8" s="705" customFormat="1" ht="14.25" customHeight="1" thickBot="1">
      <c r="A242" s="717" t="s">
        <v>485</v>
      </c>
      <c r="B242" s="711" t="s">
        <v>445</v>
      </c>
      <c r="C242" s="711"/>
      <c r="D242" s="711"/>
      <c r="E242" s="711"/>
      <c r="F242" s="729">
        <v>980</v>
      </c>
      <c r="H242" s="736"/>
    </row>
    <row r="243" spans="1:8" s="705" customFormat="1" ht="14.25" customHeight="1" thickBot="1">
      <c r="A243" s="717" t="s">
        <v>485</v>
      </c>
      <c r="B243" s="711" t="s">
        <v>449</v>
      </c>
      <c r="C243" s="711"/>
      <c r="D243" s="711"/>
      <c r="E243" s="711"/>
      <c r="F243" s="729">
        <v>970</v>
      </c>
      <c r="H243" s="736"/>
    </row>
    <row r="244" spans="1:8" s="705" customFormat="1" ht="14.25" customHeight="1" thickBot="1">
      <c r="A244" s="717" t="s">
        <v>485</v>
      </c>
      <c r="B244" s="727" t="s">
        <v>453</v>
      </c>
      <c r="C244" s="727"/>
      <c r="D244" s="727"/>
      <c r="E244" s="727"/>
      <c r="F244" s="737">
        <v>970</v>
      </c>
      <c r="H244" s="736"/>
    </row>
    <row r="245" spans="1:8" s="705" customFormat="1" ht="14.25" customHeight="1" thickBot="1">
      <c r="A245" s="717" t="s">
        <v>487</v>
      </c>
      <c r="B245" s="718" t="s">
        <v>488</v>
      </c>
      <c r="C245" s="718">
        <v>4050</v>
      </c>
      <c r="D245" s="718">
        <v>4020</v>
      </c>
      <c r="E245" s="718">
        <v>4160</v>
      </c>
      <c r="F245" s="719">
        <v>840</v>
      </c>
      <c r="H245" s="736"/>
    </row>
    <row r="246" spans="1:8" s="705" customFormat="1" ht="14.25" customHeight="1" thickBot="1">
      <c r="A246" s="717" t="s">
        <v>487</v>
      </c>
      <c r="B246" s="711" t="s">
        <v>144</v>
      </c>
      <c r="C246" s="711">
        <v>4010</v>
      </c>
      <c r="D246" s="711">
        <v>3960</v>
      </c>
      <c r="E246" s="711">
        <v>4130</v>
      </c>
      <c r="F246" s="729">
        <v>840</v>
      </c>
      <c r="H246" s="736"/>
    </row>
    <row r="247" spans="1:8" s="705" customFormat="1" ht="14.25" customHeight="1" thickBot="1">
      <c r="A247" s="717" t="s">
        <v>487</v>
      </c>
      <c r="B247" s="711" t="s">
        <v>489</v>
      </c>
      <c r="C247" s="711">
        <v>3170</v>
      </c>
      <c r="D247" s="711">
        <v>3140</v>
      </c>
      <c r="E247" s="711">
        <v>3270</v>
      </c>
      <c r="F247" s="729">
        <v>640</v>
      </c>
      <c r="H247" s="736"/>
    </row>
    <row r="248" spans="1:8" s="705" customFormat="1" ht="14.25" customHeight="1" thickBot="1">
      <c r="A248" s="717" t="s">
        <v>487</v>
      </c>
      <c r="B248" s="711" t="s">
        <v>490</v>
      </c>
      <c r="C248" s="711">
        <v>3140</v>
      </c>
      <c r="D248" s="711">
        <v>3120</v>
      </c>
      <c r="E248" s="711">
        <v>3240</v>
      </c>
      <c r="F248" s="729">
        <v>620</v>
      </c>
      <c r="H248" s="736"/>
    </row>
    <row r="249" spans="1:8" s="705" customFormat="1" ht="14.25" customHeight="1" thickBot="1">
      <c r="A249" s="717" t="s">
        <v>487</v>
      </c>
      <c r="B249" s="711" t="s">
        <v>182</v>
      </c>
      <c r="C249" s="711">
        <v>3200</v>
      </c>
      <c r="D249" s="711">
        <v>3100</v>
      </c>
      <c r="E249" s="711">
        <v>3230</v>
      </c>
      <c r="F249" s="729">
        <v>750</v>
      </c>
      <c r="H249" s="736"/>
    </row>
    <row r="250" spans="1:8" s="705" customFormat="1" ht="14.25" customHeight="1" thickBot="1">
      <c r="A250" s="717" t="s">
        <v>487</v>
      </c>
      <c r="B250" s="711" t="s">
        <v>194</v>
      </c>
      <c r="C250" s="711">
        <v>4060</v>
      </c>
      <c r="D250" s="711">
        <v>4000</v>
      </c>
      <c r="E250" s="711">
        <v>4140</v>
      </c>
      <c r="F250" s="729">
        <v>790</v>
      </c>
      <c r="H250" s="736"/>
    </row>
    <row r="251" spans="1:8" s="705" customFormat="1" ht="14.25" customHeight="1" thickBot="1">
      <c r="A251" s="717" t="s">
        <v>487</v>
      </c>
      <c r="B251" s="711" t="s">
        <v>206</v>
      </c>
      <c r="C251" s="711">
        <v>3990</v>
      </c>
      <c r="D251" s="711">
        <v>3970</v>
      </c>
      <c r="E251" s="711">
        <v>4110</v>
      </c>
      <c r="F251" s="729">
        <v>730</v>
      </c>
      <c r="H251" s="736"/>
    </row>
    <row r="252" spans="1:8" s="705" customFormat="1" ht="14.25" customHeight="1" thickBot="1">
      <c r="A252" s="717" t="s">
        <v>487</v>
      </c>
      <c r="B252" s="711" t="s">
        <v>218</v>
      </c>
      <c r="C252" s="711">
        <v>3560</v>
      </c>
      <c r="D252" s="711">
        <v>3530</v>
      </c>
      <c r="E252" s="711">
        <v>3650</v>
      </c>
      <c r="F252" s="729">
        <v>750</v>
      </c>
      <c r="H252" s="736"/>
    </row>
    <row r="253" spans="1:8" s="705" customFormat="1" ht="14.25" customHeight="1" thickBot="1">
      <c r="A253" s="717" t="s">
        <v>487</v>
      </c>
      <c r="B253" s="711" t="s">
        <v>231</v>
      </c>
      <c r="C253" s="711">
        <v>3780</v>
      </c>
      <c r="D253" s="711">
        <v>3750</v>
      </c>
      <c r="E253" s="711">
        <v>3870</v>
      </c>
      <c r="F253" s="729">
        <v>770</v>
      </c>
      <c r="H253" s="736"/>
    </row>
    <row r="254" spans="1:8" s="705" customFormat="1" ht="14.25" customHeight="1" thickBot="1">
      <c r="A254" s="717" t="s">
        <v>487</v>
      </c>
      <c r="B254" s="711" t="s">
        <v>242</v>
      </c>
      <c r="C254" s="739"/>
      <c r="D254" s="739"/>
      <c r="E254" s="739"/>
      <c r="F254" s="729">
        <v>740</v>
      </c>
      <c r="H254" s="736"/>
    </row>
    <row r="255" spans="1:8" s="705" customFormat="1" ht="14.25" customHeight="1" thickBot="1">
      <c r="A255" s="717" t="s">
        <v>487</v>
      </c>
      <c r="B255" s="711" t="s">
        <v>253</v>
      </c>
      <c r="C255" s="739"/>
      <c r="D255" s="739"/>
      <c r="E255" s="739"/>
      <c r="F255" s="729">
        <v>760</v>
      </c>
      <c r="H255" s="736"/>
    </row>
    <row r="256" spans="1:8" s="705" customFormat="1" ht="14.25" customHeight="1" thickBot="1">
      <c r="A256" s="717" t="s">
        <v>487</v>
      </c>
      <c r="B256" s="711" t="s">
        <v>264</v>
      </c>
      <c r="C256" s="711">
        <v>3760</v>
      </c>
      <c r="D256" s="711">
        <v>3730</v>
      </c>
      <c r="E256" s="711">
        <v>3870</v>
      </c>
      <c r="F256" s="729">
        <v>830</v>
      </c>
      <c r="H256" s="736"/>
    </row>
    <row r="257" spans="1:8" s="705" customFormat="1" ht="14.25" customHeight="1" thickBot="1">
      <c r="A257" s="717" t="s">
        <v>487</v>
      </c>
      <c r="B257" s="711" t="s">
        <v>275</v>
      </c>
      <c r="C257" s="711">
        <v>3570</v>
      </c>
      <c r="D257" s="711">
        <v>3540</v>
      </c>
      <c r="E257" s="711">
        <v>3650</v>
      </c>
      <c r="F257" s="729">
        <v>790</v>
      </c>
      <c r="H257" s="736"/>
    </row>
    <row r="258" spans="1:8" s="705" customFormat="1" ht="14.25" customHeight="1" thickBot="1">
      <c r="A258" s="717" t="s">
        <v>487</v>
      </c>
      <c r="B258" s="711" t="s">
        <v>286</v>
      </c>
      <c r="C258" s="711">
        <v>3410</v>
      </c>
      <c r="D258" s="711">
        <v>3380</v>
      </c>
      <c r="E258" s="711">
        <v>3500</v>
      </c>
      <c r="F258" s="729">
        <v>830</v>
      </c>
      <c r="H258" s="736"/>
    </row>
    <row r="259" spans="1:8" s="705" customFormat="1" ht="14.25" customHeight="1" thickBot="1">
      <c r="A259" s="717" t="s">
        <v>487</v>
      </c>
      <c r="B259" s="711" t="s">
        <v>297</v>
      </c>
      <c r="C259" s="711">
        <v>3870</v>
      </c>
      <c r="D259" s="711">
        <v>3840</v>
      </c>
      <c r="E259" s="711">
        <v>3970</v>
      </c>
      <c r="F259" s="729">
        <v>830</v>
      </c>
      <c r="H259" s="736"/>
    </row>
    <row r="260" spans="1:8" s="705" customFormat="1" ht="14.25" customHeight="1" thickBot="1">
      <c r="A260" s="717" t="s">
        <v>487</v>
      </c>
      <c r="B260" s="711" t="s">
        <v>307</v>
      </c>
      <c r="C260" s="711">
        <v>3700</v>
      </c>
      <c r="D260" s="711">
        <v>3660</v>
      </c>
      <c r="E260" s="711">
        <v>3810</v>
      </c>
      <c r="F260" s="729">
        <v>790</v>
      </c>
      <c r="H260" s="736"/>
    </row>
    <row r="261" spans="1:8" s="705" customFormat="1" ht="14.25" customHeight="1" thickBot="1">
      <c r="A261" s="717" t="s">
        <v>487</v>
      </c>
      <c r="B261" s="711" t="s">
        <v>317</v>
      </c>
      <c r="C261" s="711">
        <v>3470</v>
      </c>
      <c r="D261" s="711">
        <v>3430</v>
      </c>
      <c r="E261" s="711">
        <v>3640</v>
      </c>
      <c r="F261" s="729">
        <v>760</v>
      </c>
      <c r="H261" s="736"/>
    </row>
    <row r="262" spans="1:8" s="705" customFormat="1" ht="14.25" customHeight="1" thickBot="1">
      <c r="A262" s="717" t="s">
        <v>487</v>
      </c>
      <c r="B262" s="711" t="s">
        <v>327</v>
      </c>
      <c r="C262" s="711">
        <v>3510</v>
      </c>
      <c r="D262" s="711">
        <v>3470</v>
      </c>
      <c r="E262" s="711">
        <v>3680</v>
      </c>
      <c r="F262" s="738"/>
      <c r="H262" s="736"/>
    </row>
    <row r="263" spans="1:8" s="705" customFormat="1" ht="14.25" customHeight="1" thickBot="1">
      <c r="A263" s="717" t="s">
        <v>487</v>
      </c>
      <c r="B263" s="711" t="s">
        <v>337</v>
      </c>
      <c r="C263" s="711">
        <v>3960</v>
      </c>
      <c r="D263" s="711">
        <v>3930</v>
      </c>
      <c r="E263" s="711">
        <v>4070</v>
      </c>
      <c r="F263" s="729">
        <v>830</v>
      </c>
      <c r="H263" s="736"/>
    </row>
    <row r="264" spans="1:8" s="705" customFormat="1" ht="14.25" customHeight="1" thickBot="1">
      <c r="A264" s="717" t="s">
        <v>487</v>
      </c>
      <c r="B264" s="711" t="s">
        <v>346</v>
      </c>
      <c r="C264" s="711">
        <v>4010</v>
      </c>
      <c r="D264" s="711">
        <v>3980</v>
      </c>
      <c r="E264" s="711">
        <v>4150</v>
      </c>
      <c r="F264" s="729">
        <v>760</v>
      </c>
      <c r="H264" s="736"/>
    </row>
    <row r="265" spans="1:8" s="705" customFormat="1" ht="14.25" customHeight="1" thickBot="1">
      <c r="A265" s="717" t="s">
        <v>487</v>
      </c>
      <c r="B265" s="711" t="s">
        <v>355</v>
      </c>
      <c r="C265" s="711">
        <v>3910</v>
      </c>
      <c r="D265" s="711">
        <v>3890</v>
      </c>
      <c r="E265" s="711">
        <v>4040</v>
      </c>
      <c r="F265" s="729">
        <v>780</v>
      </c>
      <c r="H265" s="736"/>
    </row>
    <row r="266" spans="1:8" s="705" customFormat="1" ht="14.25" customHeight="1" thickBot="1">
      <c r="A266" s="717" t="s">
        <v>487</v>
      </c>
      <c r="B266" s="711" t="s">
        <v>363</v>
      </c>
      <c r="C266" s="711">
        <v>3930</v>
      </c>
      <c r="D266" s="711">
        <v>3900</v>
      </c>
      <c r="E266" s="711">
        <v>4080</v>
      </c>
      <c r="F266" s="729">
        <v>770</v>
      </c>
      <c r="H266" s="736"/>
    </row>
    <row r="267" spans="1:8" s="705" customFormat="1" ht="14.25" customHeight="1" thickBot="1">
      <c r="A267" s="717" t="s">
        <v>487</v>
      </c>
      <c r="B267" s="711" t="s">
        <v>370</v>
      </c>
      <c r="C267" s="711">
        <v>3800</v>
      </c>
      <c r="D267" s="711">
        <v>3780</v>
      </c>
      <c r="E267" s="711">
        <v>3930</v>
      </c>
      <c r="F267" s="738"/>
      <c r="H267" s="736"/>
    </row>
    <row r="268" spans="1:8" s="705" customFormat="1" ht="14.25" customHeight="1" thickBot="1">
      <c r="A268" s="717" t="s">
        <v>487</v>
      </c>
      <c r="B268" s="711" t="s">
        <v>377</v>
      </c>
      <c r="C268" s="711">
        <v>3460</v>
      </c>
      <c r="D268" s="711">
        <v>3430</v>
      </c>
      <c r="E268" s="711">
        <v>3560</v>
      </c>
      <c r="F268" s="729">
        <v>840</v>
      </c>
      <c r="H268" s="736"/>
    </row>
    <row r="269" spans="1:8" s="705" customFormat="1" ht="14.25" customHeight="1" thickBot="1">
      <c r="A269" s="717" t="s">
        <v>487</v>
      </c>
      <c r="B269" s="711" t="s">
        <v>384</v>
      </c>
      <c r="C269" s="711">
        <v>3210</v>
      </c>
      <c r="D269" s="711">
        <v>3190</v>
      </c>
      <c r="E269" s="711">
        <v>3310</v>
      </c>
      <c r="F269" s="729">
        <v>730</v>
      </c>
      <c r="H269" s="736"/>
    </row>
    <row r="270" spans="1:8" s="705" customFormat="1" ht="14.25" customHeight="1" thickBot="1">
      <c r="A270" s="717" t="s">
        <v>487</v>
      </c>
      <c r="B270" s="711" t="s">
        <v>391</v>
      </c>
      <c r="C270" s="711">
        <v>3240</v>
      </c>
      <c r="D270" s="711">
        <v>3210</v>
      </c>
      <c r="E270" s="711">
        <v>3390</v>
      </c>
      <c r="F270" s="729">
        <v>820</v>
      </c>
      <c r="H270" s="736"/>
    </row>
    <row r="271" spans="1:8" s="705" customFormat="1" ht="14.25" customHeight="1" thickBot="1">
      <c r="A271" s="717" t="s">
        <v>487</v>
      </c>
      <c r="B271" s="711" t="s">
        <v>398</v>
      </c>
      <c r="C271" s="711">
        <v>3300</v>
      </c>
      <c r="D271" s="711">
        <v>3270</v>
      </c>
      <c r="E271" s="711">
        <v>3380</v>
      </c>
      <c r="F271" s="729">
        <v>750</v>
      </c>
      <c r="H271" s="736"/>
    </row>
    <row r="272" spans="1:8" s="705" customFormat="1" ht="14.25" customHeight="1" thickBot="1">
      <c r="A272" s="717" t="s">
        <v>487</v>
      </c>
      <c r="B272" s="711" t="s">
        <v>405</v>
      </c>
      <c r="C272" s="739"/>
      <c r="D272" s="739"/>
      <c r="E272" s="739"/>
      <c r="F272" s="729">
        <v>740</v>
      </c>
      <c r="H272" s="736"/>
    </row>
    <row r="273" spans="1:8" s="705" customFormat="1" ht="14.25" customHeight="1" thickBot="1">
      <c r="A273" s="717" t="s">
        <v>487</v>
      </c>
      <c r="B273" s="711" t="s">
        <v>409</v>
      </c>
      <c r="C273" s="711">
        <v>3130</v>
      </c>
      <c r="D273" s="711">
        <v>3100</v>
      </c>
      <c r="E273" s="711">
        <v>3230</v>
      </c>
      <c r="F273" s="729">
        <v>700</v>
      </c>
      <c r="H273" s="736"/>
    </row>
    <row r="274" spans="1:8" s="705" customFormat="1" ht="14.25" customHeight="1" thickBot="1">
      <c r="A274" s="717" t="s">
        <v>487</v>
      </c>
      <c r="B274" s="711" t="s">
        <v>414</v>
      </c>
      <c r="C274" s="711">
        <v>3460</v>
      </c>
      <c r="D274" s="711">
        <v>3430</v>
      </c>
      <c r="E274" s="711">
        <v>3560</v>
      </c>
      <c r="F274" s="729">
        <v>690</v>
      </c>
      <c r="H274" s="736"/>
    </row>
    <row r="275" spans="1:8" s="705" customFormat="1" ht="14.25" customHeight="1" thickBot="1">
      <c r="A275" s="717" t="s">
        <v>487</v>
      </c>
      <c r="B275" s="711" t="s">
        <v>419</v>
      </c>
      <c r="C275" s="711">
        <v>4040</v>
      </c>
      <c r="D275" s="711">
        <v>4020</v>
      </c>
      <c r="E275" s="711">
        <v>4160</v>
      </c>
      <c r="F275" s="729">
        <v>820</v>
      </c>
      <c r="H275" s="736"/>
    </row>
    <row r="276" spans="1:8" s="705" customFormat="1" ht="14.25" customHeight="1" thickBot="1">
      <c r="A276" s="717" t="s">
        <v>487</v>
      </c>
      <c r="B276" s="711" t="s">
        <v>424</v>
      </c>
      <c r="C276" s="711">
        <v>3270</v>
      </c>
      <c r="D276" s="711">
        <v>3240</v>
      </c>
      <c r="E276" s="711">
        <v>3350</v>
      </c>
      <c r="F276" s="729">
        <v>680</v>
      </c>
      <c r="H276" s="736"/>
    </row>
    <row r="277" spans="1:8" s="705" customFormat="1" ht="14.25" customHeight="1" thickBot="1">
      <c r="A277" s="717" t="s">
        <v>487</v>
      </c>
      <c r="B277" s="711" t="s">
        <v>429</v>
      </c>
      <c r="C277" s="711">
        <v>2930</v>
      </c>
      <c r="D277" s="711">
        <v>2900</v>
      </c>
      <c r="E277" s="711">
        <v>3000</v>
      </c>
      <c r="F277" s="729">
        <v>640</v>
      </c>
      <c r="H277" s="736"/>
    </row>
    <row r="278" spans="1:8" s="705" customFormat="1" ht="14.25" customHeight="1" thickBot="1">
      <c r="A278" s="717" t="s">
        <v>487</v>
      </c>
      <c r="B278" s="711" t="s">
        <v>434</v>
      </c>
      <c r="C278" s="711">
        <v>4080</v>
      </c>
      <c r="D278" s="711">
        <v>4030</v>
      </c>
      <c r="E278" s="711">
        <v>4140</v>
      </c>
      <c r="F278" s="729">
        <v>850</v>
      </c>
      <c r="H278" s="736"/>
    </row>
    <row r="279" spans="1:8" s="705" customFormat="1" ht="14.25" customHeight="1" thickBot="1">
      <c r="A279" s="717" t="s">
        <v>487</v>
      </c>
      <c r="B279" s="711" t="s">
        <v>438</v>
      </c>
      <c r="C279" s="711"/>
      <c r="D279" s="711"/>
      <c r="E279" s="711"/>
      <c r="F279" s="729">
        <v>760</v>
      </c>
      <c r="H279" s="736"/>
    </row>
    <row r="280" spans="1:8" s="705" customFormat="1" ht="14.25" customHeight="1" thickBot="1">
      <c r="A280" s="717" t="s">
        <v>487</v>
      </c>
      <c r="B280" s="711" t="s">
        <v>442</v>
      </c>
      <c r="C280" s="711"/>
      <c r="D280" s="711"/>
      <c r="E280" s="711"/>
      <c r="F280" s="729">
        <v>760</v>
      </c>
      <c r="H280" s="736"/>
    </row>
    <row r="281" spans="1:8" s="705" customFormat="1" ht="14.25" customHeight="1" thickBot="1">
      <c r="A281" s="717" t="s">
        <v>487</v>
      </c>
      <c r="B281" s="711" t="s">
        <v>446</v>
      </c>
      <c r="C281" s="711"/>
      <c r="D281" s="711"/>
      <c r="E281" s="711"/>
      <c r="F281" s="729">
        <v>780</v>
      </c>
      <c r="H281" s="736"/>
    </row>
    <row r="282" spans="1:8" s="705" customFormat="1" ht="14.25" customHeight="1" thickBot="1">
      <c r="A282" s="717" t="s">
        <v>487</v>
      </c>
      <c r="B282" s="711" t="s">
        <v>450</v>
      </c>
      <c r="C282" s="711"/>
      <c r="D282" s="711"/>
      <c r="E282" s="711"/>
      <c r="F282" s="729">
        <v>730</v>
      </c>
      <c r="H282" s="736"/>
    </row>
    <row r="283" spans="1:8" s="705" customFormat="1" ht="14.25" customHeight="1" thickBot="1">
      <c r="A283" s="717" t="s">
        <v>487</v>
      </c>
      <c r="B283" s="711" t="s">
        <v>454</v>
      </c>
      <c r="C283" s="711"/>
      <c r="D283" s="711"/>
      <c r="E283" s="711"/>
      <c r="F283" s="729">
        <v>770</v>
      </c>
      <c r="H283" s="736"/>
    </row>
    <row r="284" spans="1:8" s="705" customFormat="1" ht="14.25" customHeight="1" thickBot="1">
      <c r="A284" s="717" t="s">
        <v>487</v>
      </c>
      <c r="B284" s="711" t="s">
        <v>457</v>
      </c>
      <c r="C284" s="711"/>
      <c r="D284" s="711"/>
      <c r="E284" s="711"/>
      <c r="F284" s="729">
        <v>640</v>
      </c>
      <c r="H284" s="736"/>
    </row>
    <row r="285" spans="1:8" s="705" customFormat="1" ht="14.25" customHeight="1" thickBot="1">
      <c r="A285" s="717" t="s">
        <v>487</v>
      </c>
      <c r="B285" s="711" t="s">
        <v>460</v>
      </c>
      <c r="C285" s="711"/>
      <c r="D285" s="711"/>
      <c r="E285" s="711"/>
      <c r="F285" s="729">
        <v>640</v>
      </c>
      <c r="H285" s="736"/>
    </row>
    <row r="286" spans="1:8" s="705" customFormat="1" ht="14.25" customHeight="1" thickBot="1">
      <c r="A286" s="717" t="s">
        <v>487</v>
      </c>
      <c r="B286" s="711" t="s">
        <v>463</v>
      </c>
      <c r="C286" s="711"/>
      <c r="D286" s="711"/>
      <c r="E286" s="711"/>
      <c r="F286" s="729">
        <v>850</v>
      </c>
      <c r="H286" s="736"/>
    </row>
    <row r="287" spans="1:8" s="705" customFormat="1" ht="14.25" customHeight="1" thickBot="1">
      <c r="A287" s="717" t="s">
        <v>487</v>
      </c>
      <c r="B287" s="711" t="s">
        <v>466</v>
      </c>
      <c r="C287" s="711"/>
      <c r="D287" s="711"/>
      <c r="E287" s="711"/>
      <c r="F287" s="729">
        <v>760</v>
      </c>
      <c r="H287" s="736"/>
    </row>
    <row r="288" spans="1:8" s="705" customFormat="1" ht="14.25" customHeight="1" thickBot="1">
      <c r="A288" s="717" t="s">
        <v>487</v>
      </c>
      <c r="B288" s="711" t="s">
        <v>469</v>
      </c>
      <c r="C288" s="711"/>
      <c r="D288" s="711"/>
      <c r="E288" s="711"/>
      <c r="F288" s="729">
        <v>830</v>
      </c>
      <c r="H288" s="736"/>
    </row>
    <row r="289" spans="1:8" s="705" customFormat="1" ht="14.25" customHeight="1" thickBot="1">
      <c r="A289" s="717" t="s">
        <v>487</v>
      </c>
      <c r="B289" s="727" t="s">
        <v>472</v>
      </c>
      <c r="C289" s="727"/>
      <c r="D289" s="727"/>
      <c r="E289" s="727"/>
      <c r="F289" s="737">
        <v>680</v>
      </c>
      <c r="H289" s="736"/>
    </row>
    <row r="290" spans="1:8" s="705" customFormat="1" ht="14.25" customHeight="1" thickBot="1">
      <c r="A290" s="717" t="s">
        <v>491</v>
      </c>
      <c r="B290" s="718" t="s">
        <v>492</v>
      </c>
      <c r="C290" s="718">
        <v>2770</v>
      </c>
      <c r="D290" s="718">
        <v>2740</v>
      </c>
      <c r="E290" s="718">
        <v>2720</v>
      </c>
      <c r="F290" s="740"/>
      <c r="H290" s="736"/>
    </row>
    <row r="291" spans="1:8" s="705" customFormat="1" ht="14.25" customHeight="1" thickBot="1">
      <c r="A291" s="717" t="s">
        <v>491</v>
      </c>
      <c r="B291" s="711" t="s">
        <v>145</v>
      </c>
      <c r="C291" s="711">
        <v>2670</v>
      </c>
      <c r="D291" s="711">
        <v>2640</v>
      </c>
      <c r="E291" s="711">
        <v>2620</v>
      </c>
      <c r="F291" s="738"/>
      <c r="H291" s="736"/>
    </row>
    <row r="292" spans="1:8" s="705" customFormat="1" ht="14.25" customHeight="1" thickBot="1">
      <c r="A292" s="717" t="s">
        <v>491</v>
      </c>
      <c r="B292" s="711" t="s">
        <v>493</v>
      </c>
      <c r="C292" s="711">
        <v>2180</v>
      </c>
      <c r="D292" s="711">
        <v>2140</v>
      </c>
      <c r="E292" s="711">
        <v>2120</v>
      </c>
      <c r="F292" s="729">
        <v>490</v>
      </c>
      <c r="H292" s="736"/>
    </row>
    <row r="293" spans="1:8" s="705" customFormat="1" ht="14.25" customHeight="1" thickBot="1">
      <c r="A293" s="717" t="s">
        <v>491</v>
      </c>
      <c r="B293" s="711" t="s">
        <v>494</v>
      </c>
      <c r="C293" s="711"/>
      <c r="D293" s="711"/>
      <c r="E293" s="711"/>
      <c r="F293" s="729">
        <v>470</v>
      </c>
      <c r="H293" s="736"/>
    </row>
    <row r="294" spans="1:8" s="705" customFormat="1" ht="14.25" customHeight="1" thickBot="1">
      <c r="A294" s="717" t="s">
        <v>491</v>
      </c>
      <c r="B294" s="711" t="s">
        <v>495</v>
      </c>
      <c r="C294" s="711">
        <v>2730</v>
      </c>
      <c r="D294" s="711">
        <v>2700</v>
      </c>
      <c r="E294" s="711">
        <v>2680</v>
      </c>
      <c r="F294" s="729">
        <v>490</v>
      </c>
      <c r="H294" s="736"/>
    </row>
    <row r="295" spans="1:8" s="705" customFormat="1" ht="14.25" customHeight="1" thickBot="1">
      <c r="A295" s="717" t="s">
        <v>491</v>
      </c>
      <c r="B295" s="711" t="s">
        <v>183</v>
      </c>
      <c r="C295" s="711">
        <v>2380</v>
      </c>
      <c r="D295" s="711">
        <v>2350</v>
      </c>
      <c r="E295" s="711">
        <v>2330</v>
      </c>
      <c r="F295" s="729">
        <v>530</v>
      </c>
      <c r="H295" s="736"/>
    </row>
    <row r="296" spans="1:8" s="705" customFormat="1" ht="14.25" customHeight="1" thickBot="1">
      <c r="A296" s="717" t="s">
        <v>491</v>
      </c>
      <c r="B296" s="711" t="s">
        <v>195</v>
      </c>
      <c r="C296" s="711">
        <v>2650</v>
      </c>
      <c r="D296" s="711">
        <v>2620</v>
      </c>
      <c r="E296" s="711">
        <v>2590</v>
      </c>
      <c r="F296" s="729">
        <v>590</v>
      </c>
      <c r="H296" s="736"/>
    </row>
    <row r="297" spans="1:8" s="705" customFormat="1" ht="14.25" customHeight="1" thickBot="1">
      <c r="A297" s="717" t="s">
        <v>491</v>
      </c>
      <c r="B297" s="711" t="s">
        <v>207</v>
      </c>
      <c r="C297" s="711">
        <v>2700</v>
      </c>
      <c r="D297" s="711">
        <v>2670</v>
      </c>
      <c r="E297" s="711">
        <v>2650</v>
      </c>
      <c r="F297" s="729">
        <v>630</v>
      </c>
      <c r="H297" s="736"/>
    </row>
    <row r="298" spans="1:8" s="705" customFormat="1" ht="14.25" customHeight="1" thickBot="1">
      <c r="A298" s="717" t="s">
        <v>491</v>
      </c>
      <c r="B298" s="711" t="s">
        <v>219</v>
      </c>
      <c r="C298" s="711">
        <v>2650</v>
      </c>
      <c r="D298" s="711">
        <v>2620</v>
      </c>
      <c r="E298" s="711">
        <v>2590</v>
      </c>
      <c r="F298" s="729">
        <v>640</v>
      </c>
      <c r="H298" s="736"/>
    </row>
    <row r="299" spans="1:8" s="705" customFormat="1" ht="14.25" customHeight="1" thickBot="1">
      <c r="A299" s="717" t="s">
        <v>491</v>
      </c>
      <c r="B299" s="711" t="s">
        <v>232</v>
      </c>
      <c r="C299" s="711">
        <v>2500</v>
      </c>
      <c r="D299" s="711">
        <v>2480</v>
      </c>
      <c r="E299" s="711">
        <v>2460</v>
      </c>
      <c r="F299" s="738"/>
      <c r="H299" s="736"/>
    </row>
    <row r="300" spans="1:8" s="705" customFormat="1" ht="14.25" customHeight="1" thickBot="1">
      <c r="A300" s="717" t="s">
        <v>491</v>
      </c>
      <c r="B300" s="711" t="s">
        <v>243</v>
      </c>
      <c r="C300" s="711">
        <v>2760</v>
      </c>
      <c r="D300" s="711">
        <v>2730</v>
      </c>
      <c r="E300" s="711">
        <v>2700</v>
      </c>
      <c r="F300" s="729">
        <v>630</v>
      </c>
      <c r="H300" s="736"/>
    </row>
    <row r="301" spans="1:8" s="705" customFormat="1" ht="14.25" customHeight="1" thickBot="1">
      <c r="A301" s="717" t="s">
        <v>491</v>
      </c>
      <c r="B301" s="711" t="s">
        <v>254</v>
      </c>
      <c r="C301" s="711">
        <v>2510</v>
      </c>
      <c r="D301" s="711">
        <v>2480</v>
      </c>
      <c r="E301" s="711">
        <v>2460</v>
      </c>
      <c r="F301" s="738"/>
      <c r="H301" s="736"/>
    </row>
    <row r="302" spans="1:8" s="705" customFormat="1" ht="14.25" customHeight="1" thickBot="1">
      <c r="A302" s="717" t="s">
        <v>491</v>
      </c>
      <c r="B302" s="711" t="s">
        <v>265</v>
      </c>
      <c r="C302" s="711">
        <v>2480</v>
      </c>
      <c r="D302" s="711">
        <v>2450</v>
      </c>
      <c r="E302" s="711">
        <v>2420</v>
      </c>
      <c r="F302" s="729">
        <v>600</v>
      </c>
      <c r="H302" s="736"/>
    </row>
    <row r="303" spans="1:8" s="705" customFormat="1" ht="14.25" customHeight="1" thickBot="1">
      <c r="A303" s="717" t="s">
        <v>491</v>
      </c>
      <c r="B303" s="711" t="s">
        <v>276</v>
      </c>
      <c r="C303" s="711">
        <v>2270</v>
      </c>
      <c r="D303" s="711">
        <v>2240</v>
      </c>
      <c r="E303" s="711">
        <v>2210</v>
      </c>
      <c r="F303" s="729">
        <v>540</v>
      </c>
      <c r="H303" s="736"/>
    </row>
    <row r="304" spans="1:8" s="705" customFormat="1" ht="14.25" customHeight="1" thickBot="1">
      <c r="A304" s="717" t="s">
        <v>491</v>
      </c>
      <c r="B304" s="711" t="s">
        <v>287</v>
      </c>
      <c r="C304" s="711">
        <v>2310</v>
      </c>
      <c r="D304" s="711">
        <v>2290</v>
      </c>
      <c r="E304" s="711">
        <v>2270</v>
      </c>
      <c r="F304" s="738"/>
      <c r="H304" s="736"/>
    </row>
    <row r="305" spans="1:8" s="705" customFormat="1" ht="14.25" customHeight="1" thickBot="1">
      <c r="A305" s="717" t="s">
        <v>491</v>
      </c>
      <c r="B305" s="711" t="s">
        <v>298</v>
      </c>
      <c r="C305" s="711">
        <v>2490</v>
      </c>
      <c r="D305" s="711">
        <v>2470</v>
      </c>
      <c r="E305" s="711">
        <v>2440</v>
      </c>
      <c r="F305" s="729">
        <v>560</v>
      </c>
      <c r="H305" s="736"/>
    </row>
    <row r="306" spans="1:8" s="705" customFormat="1" ht="14.25" customHeight="1" thickBot="1">
      <c r="A306" s="717" t="s">
        <v>491</v>
      </c>
      <c r="B306" s="711" t="s">
        <v>308</v>
      </c>
      <c r="C306" s="711">
        <v>2420</v>
      </c>
      <c r="D306" s="711">
        <v>2400</v>
      </c>
      <c r="E306" s="711">
        <v>2380</v>
      </c>
      <c r="F306" s="738"/>
      <c r="H306" s="736"/>
    </row>
    <row r="307" spans="1:8" s="705" customFormat="1" ht="14.25" customHeight="1" thickBot="1">
      <c r="A307" s="717" t="s">
        <v>491</v>
      </c>
      <c r="B307" s="711" t="s">
        <v>318</v>
      </c>
      <c r="C307" s="711">
        <v>2770</v>
      </c>
      <c r="D307" s="711">
        <v>2740</v>
      </c>
      <c r="E307" s="711">
        <v>2710</v>
      </c>
      <c r="F307" s="729">
        <v>650</v>
      </c>
      <c r="H307" s="736"/>
    </row>
    <row r="308" spans="1:8" s="705" customFormat="1" ht="14.25" customHeight="1" thickBot="1">
      <c r="A308" s="717" t="s">
        <v>491</v>
      </c>
      <c r="B308" s="711" t="s">
        <v>328</v>
      </c>
      <c r="C308" s="711">
        <v>2610</v>
      </c>
      <c r="D308" s="711">
        <v>2580</v>
      </c>
      <c r="E308" s="711">
        <v>2550</v>
      </c>
      <c r="F308" s="729">
        <v>580</v>
      </c>
      <c r="H308" s="736"/>
    </row>
    <row r="309" spans="1:8" s="705" customFormat="1" ht="14.25" customHeight="1" thickBot="1">
      <c r="A309" s="717" t="s">
        <v>491</v>
      </c>
      <c r="B309" s="711" t="s">
        <v>338</v>
      </c>
      <c r="C309" s="711">
        <v>2690</v>
      </c>
      <c r="D309" s="711">
        <v>2670</v>
      </c>
      <c r="E309" s="711">
        <v>2650</v>
      </c>
      <c r="F309" s="738"/>
      <c r="H309" s="736"/>
    </row>
    <row r="310" spans="1:8" s="705" customFormat="1" ht="14.25" customHeight="1" thickBot="1">
      <c r="A310" s="717" t="s">
        <v>491</v>
      </c>
      <c r="B310" s="711" t="s">
        <v>347</v>
      </c>
      <c r="C310" s="711">
        <v>2360</v>
      </c>
      <c r="D310" s="711">
        <v>2330</v>
      </c>
      <c r="E310" s="711">
        <v>2310</v>
      </c>
      <c r="F310" s="729">
        <v>560</v>
      </c>
      <c r="H310" s="736"/>
    </row>
    <row r="311" spans="1:8" s="705" customFormat="1" ht="14.25" customHeight="1" thickBot="1">
      <c r="A311" s="717" t="s">
        <v>491</v>
      </c>
      <c r="B311" s="711" t="s">
        <v>356</v>
      </c>
      <c r="C311" s="711">
        <v>1970</v>
      </c>
      <c r="D311" s="711">
        <v>1950</v>
      </c>
      <c r="E311" s="711">
        <v>1920</v>
      </c>
      <c r="F311" s="729">
        <v>470</v>
      </c>
      <c r="H311" s="736"/>
    </row>
    <row r="312" spans="1:8" s="705" customFormat="1" ht="14.25" customHeight="1" thickBot="1">
      <c r="A312" s="717" t="s">
        <v>491</v>
      </c>
      <c r="B312" s="711" t="s">
        <v>364</v>
      </c>
      <c r="C312" s="711">
        <v>2230</v>
      </c>
      <c r="D312" s="711">
        <v>2200</v>
      </c>
      <c r="E312" s="711">
        <v>2170</v>
      </c>
      <c r="F312" s="729">
        <v>460</v>
      </c>
      <c r="H312" s="736"/>
    </row>
    <row r="313" spans="1:8" s="705" customFormat="1" ht="14.25" customHeight="1" thickBot="1">
      <c r="A313" s="717" t="s">
        <v>491</v>
      </c>
      <c r="B313" s="711" t="s">
        <v>371</v>
      </c>
      <c r="C313" s="711">
        <v>2770</v>
      </c>
      <c r="D313" s="711">
        <v>2740</v>
      </c>
      <c r="E313" s="711">
        <v>2710</v>
      </c>
      <c r="F313" s="729">
        <v>610</v>
      </c>
      <c r="H313" s="736"/>
    </row>
    <row r="314" spans="1:8" s="705" customFormat="1" ht="14.25" customHeight="1" thickBot="1">
      <c r="A314" s="717" t="s">
        <v>491</v>
      </c>
      <c r="B314" s="711" t="s">
        <v>378</v>
      </c>
      <c r="C314" s="711"/>
      <c r="D314" s="711"/>
      <c r="E314" s="711"/>
      <c r="F314" s="729">
        <v>490</v>
      </c>
      <c r="H314" s="736"/>
    </row>
    <row r="315" spans="1:8" s="705" customFormat="1" ht="14.25" customHeight="1" thickBot="1">
      <c r="A315" s="717" t="s">
        <v>491</v>
      </c>
      <c r="B315" s="711" t="s">
        <v>385</v>
      </c>
      <c r="C315" s="711"/>
      <c r="D315" s="711"/>
      <c r="E315" s="711"/>
      <c r="F315" s="729">
        <v>520</v>
      </c>
      <c r="H315" s="736"/>
    </row>
    <row r="316" spans="1:8" s="705" customFormat="1" ht="14.25" customHeight="1" thickBot="1">
      <c r="A316" s="717" t="s">
        <v>491</v>
      </c>
      <c r="B316" s="727" t="s">
        <v>392</v>
      </c>
      <c r="C316" s="727"/>
      <c r="D316" s="727"/>
      <c r="E316" s="727"/>
      <c r="F316" s="737">
        <v>460</v>
      </c>
      <c r="H316" s="736"/>
    </row>
    <row r="317" spans="1:8" s="705" customFormat="1" ht="14.25" customHeight="1" thickBot="1">
      <c r="A317" s="717" t="s">
        <v>278</v>
      </c>
      <c r="B317" s="718" t="s">
        <v>496</v>
      </c>
      <c r="C317" s="718">
        <v>1200</v>
      </c>
      <c r="D317" s="718">
        <v>1180</v>
      </c>
      <c r="E317" s="718">
        <v>1160</v>
      </c>
      <c r="F317" s="719">
        <v>370</v>
      </c>
      <c r="H317" s="674"/>
    </row>
    <row r="318" spans="1:8" s="705" customFormat="1" ht="14.25" customHeight="1" thickBot="1">
      <c r="A318" s="717" t="s">
        <v>278</v>
      </c>
      <c r="B318" s="711" t="s">
        <v>497</v>
      </c>
      <c r="C318" s="711">
        <v>1090</v>
      </c>
      <c r="D318" s="711">
        <v>1060</v>
      </c>
      <c r="E318" s="711">
        <v>1040</v>
      </c>
      <c r="F318" s="738"/>
      <c r="H318" s="674"/>
    </row>
    <row r="319" spans="1:8" s="705" customFormat="1" ht="14.25" customHeight="1" thickBot="1">
      <c r="A319" s="717" t="s">
        <v>278</v>
      </c>
      <c r="B319" s="711" t="s">
        <v>498</v>
      </c>
      <c r="C319" s="711">
        <v>1520</v>
      </c>
      <c r="D319" s="711">
        <v>1470</v>
      </c>
      <c r="E319" s="711">
        <v>1440</v>
      </c>
      <c r="F319" s="729">
        <v>370</v>
      </c>
      <c r="H319" s="674"/>
    </row>
    <row r="320" spans="1:8" s="705" customFormat="1" ht="14.25" customHeight="1" thickBot="1">
      <c r="A320" s="717" t="s">
        <v>278</v>
      </c>
      <c r="B320" s="711" t="s">
        <v>172</v>
      </c>
      <c r="C320" s="711">
        <v>1360</v>
      </c>
      <c r="D320" s="711">
        <v>1300</v>
      </c>
      <c r="E320" s="711">
        <v>1270</v>
      </c>
      <c r="F320" s="738"/>
      <c r="H320" s="674"/>
    </row>
    <row r="321" spans="1:8" s="705" customFormat="1" ht="14.25" customHeight="1" thickBot="1">
      <c r="A321" s="717" t="s">
        <v>278</v>
      </c>
      <c r="B321" s="711" t="s">
        <v>184</v>
      </c>
      <c r="C321" s="711">
        <v>1750</v>
      </c>
      <c r="D321" s="711">
        <v>1690</v>
      </c>
      <c r="E321" s="711">
        <v>1660</v>
      </c>
      <c r="F321" s="738"/>
      <c r="H321" s="674"/>
    </row>
    <row r="322" spans="1:8" s="705" customFormat="1" ht="14.25" customHeight="1" thickBot="1">
      <c r="A322" s="717" t="s">
        <v>278</v>
      </c>
      <c r="B322" s="711" t="s">
        <v>196</v>
      </c>
      <c r="C322" s="711">
        <v>1650</v>
      </c>
      <c r="D322" s="711">
        <v>1610</v>
      </c>
      <c r="E322" s="711">
        <v>1580</v>
      </c>
      <c r="F322" s="729">
        <v>500</v>
      </c>
      <c r="H322" s="674"/>
    </row>
    <row r="323" spans="1:8" s="705" customFormat="1" ht="14.25" customHeight="1" thickBot="1">
      <c r="A323" s="717" t="s">
        <v>278</v>
      </c>
      <c r="B323" s="711" t="s">
        <v>208</v>
      </c>
      <c r="C323" s="711">
        <v>1780</v>
      </c>
      <c r="D323" s="711">
        <v>1740</v>
      </c>
      <c r="E323" s="711">
        <v>1720</v>
      </c>
      <c r="F323" s="738"/>
      <c r="H323" s="674"/>
    </row>
    <row r="324" spans="1:8" s="705" customFormat="1" ht="14.25" customHeight="1" thickBot="1">
      <c r="A324" s="717" t="s">
        <v>278</v>
      </c>
      <c r="B324" s="711" t="s">
        <v>220</v>
      </c>
      <c r="C324" s="711">
        <v>1650</v>
      </c>
      <c r="D324" s="711">
        <v>1610</v>
      </c>
      <c r="E324" s="711">
        <v>1580</v>
      </c>
      <c r="F324" s="738"/>
      <c r="H324" s="674"/>
    </row>
    <row r="325" spans="1:8" s="705" customFormat="1" ht="14.25" customHeight="1" thickBot="1">
      <c r="A325" s="717" t="s">
        <v>278</v>
      </c>
      <c r="B325" s="711" t="s">
        <v>233</v>
      </c>
      <c r="C325" s="711">
        <v>1330</v>
      </c>
      <c r="D325" s="711">
        <v>1270</v>
      </c>
      <c r="E325" s="711">
        <v>1240</v>
      </c>
      <c r="F325" s="729">
        <v>430</v>
      </c>
      <c r="H325" s="674"/>
    </row>
    <row r="326" spans="1:8" s="705" customFormat="1" ht="14.25" customHeight="1" thickBot="1">
      <c r="A326" s="717" t="s">
        <v>278</v>
      </c>
      <c r="B326" s="711" t="s">
        <v>244</v>
      </c>
      <c r="C326" s="711">
        <v>1470</v>
      </c>
      <c r="D326" s="711">
        <v>1430</v>
      </c>
      <c r="E326" s="711">
        <v>1400</v>
      </c>
      <c r="F326" s="738"/>
      <c r="H326" s="674"/>
    </row>
    <row r="327" spans="1:8" s="705" customFormat="1" ht="14.25" customHeight="1" thickBot="1">
      <c r="A327" s="717" t="s">
        <v>278</v>
      </c>
      <c r="B327" s="711" t="s">
        <v>255</v>
      </c>
      <c r="C327" s="711">
        <v>1420</v>
      </c>
      <c r="D327" s="711">
        <v>1380</v>
      </c>
      <c r="E327" s="711">
        <v>1360</v>
      </c>
      <c r="F327" s="729">
        <v>420</v>
      </c>
      <c r="H327" s="674"/>
    </row>
    <row r="328" spans="1:8" s="705" customFormat="1" ht="14.25" customHeight="1" thickBot="1">
      <c r="A328" s="717" t="s">
        <v>278</v>
      </c>
      <c r="B328" s="711" t="s">
        <v>266</v>
      </c>
      <c r="C328" s="711">
        <v>1400</v>
      </c>
      <c r="D328" s="711">
        <v>1360</v>
      </c>
      <c r="E328" s="711">
        <v>1330</v>
      </c>
      <c r="F328" s="729">
        <v>460</v>
      </c>
      <c r="H328" s="674"/>
    </row>
    <row r="329" spans="1:8" s="705" customFormat="1" ht="14.25" customHeight="1" thickBot="1">
      <c r="A329" s="717" t="s">
        <v>278</v>
      </c>
      <c r="B329" s="711" t="s">
        <v>277</v>
      </c>
      <c r="C329" s="711">
        <v>1640</v>
      </c>
      <c r="D329" s="711">
        <v>1610</v>
      </c>
      <c r="E329" s="711">
        <v>1580</v>
      </c>
      <c r="F329" s="729">
        <v>410</v>
      </c>
      <c r="H329" s="674"/>
    </row>
    <row r="330" spans="1:8" s="705" customFormat="1" ht="14.25" customHeight="1" thickBot="1">
      <c r="A330" s="717" t="s">
        <v>278</v>
      </c>
      <c r="B330" s="711" t="s">
        <v>288</v>
      </c>
      <c r="C330" s="711">
        <v>1260</v>
      </c>
      <c r="D330" s="711">
        <v>1220</v>
      </c>
      <c r="E330" s="711">
        <v>1200</v>
      </c>
      <c r="F330" s="738"/>
      <c r="H330" s="674"/>
    </row>
    <row r="331" spans="1:8" s="705" customFormat="1" ht="14.25" customHeight="1" thickBot="1">
      <c r="A331" s="717" t="s">
        <v>278</v>
      </c>
      <c r="B331" s="711" t="s">
        <v>299</v>
      </c>
      <c r="C331" s="711">
        <v>1620</v>
      </c>
      <c r="D331" s="711">
        <v>1560</v>
      </c>
      <c r="E331" s="711">
        <v>1530</v>
      </c>
      <c r="F331" s="729">
        <v>490</v>
      </c>
      <c r="H331" s="674"/>
    </row>
    <row r="332" spans="1:8" s="705" customFormat="1" ht="14.25" customHeight="1" thickBot="1">
      <c r="A332" s="717" t="s">
        <v>278</v>
      </c>
      <c r="B332" s="711" t="s">
        <v>309</v>
      </c>
      <c r="C332" s="711">
        <v>1520</v>
      </c>
      <c r="D332" s="711">
        <v>1470</v>
      </c>
      <c r="E332" s="711">
        <v>1440</v>
      </c>
      <c r="F332" s="729">
        <v>440</v>
      </c>
      <c r="H332" s="674"/>
    </row>
    <row r="333" spans="1:8" s="705" customFormat="1" ht="14.25" customHeight="1" thickBot="1">
      <c r="A333" s="717" t="s">
        <v>278</v>
      </c>
      <c r="B333" s="711" t="s">
        <v>319</v>
      </c>
      <c r="C333" s="711">
        <v>1370</v>
      </c>
      <c r="D333" s="711">
        <v>1320</v>
      </c>
      <c r="E333" s="711">
        <v>1300</v>
      </c>
      <c r="F333" s="729">
        <v>460</v>
      </c>
      <c r="H333" s="674"/>
    </row>
    <row r="334" spans="1:8" s="705" customFormat="1" ht="14.25" customHeight="1" thickBot="1">
      <c r="A334" s="717" t="s">
        <v>278</v>
      </c>
      <c r="B334" s="711" t="s">
        <v>329</v>
      </c>
      <c r="C334" s="711">
        <v>1410</v>
      </c>
      <c r="D334" s="711">
        <v>1340</v>
      </c>
      <c r="E334" s="711">
        <v>1310</v>
      </c>
      <c r="F334" s="729">
        <v>410</v>
      </c>
      <c r="H334" s="674"/>
    </row>
    <row r="335" spans="1:8" s="705" customFormat="1" ht="14.25" customHeight="1" thickBot="1">
      <c r="A335" s="717" t="s">
        <v>278</v>
      </c>
      <c r="B335" s="711" t="s">
        <v>339</v>
      </c>
      <c r="C335" s="711">
        <v>1260</v>
      </c>
      <c r="D335" s="711">
        <v>1220</v>
      </c>
      <c r="E335" s="711">
        <v>1200</v>
      </c>
      <c r="F335" s="738"/>
      <c r="H335" s="674"/>
    </row>
    <row r="336" spans="1:8" s="705" customFormat="1" ht="14.25" customHeight="1" thickBot="1">
      <c r="A336" s="717" t="s">
        <v>278</v>
      </c>
      <c r="B336" s="711" t="s">
        <v>348</v>
      </c>
      <c r="C336" s="711">
        <v>1160</v>
      </c>
      <c r="D336" s="711">
        <v>1140</v>
      </c>
      <c r="E336" s="711">
        <v>1120</v>
      </c>
      <c r="F336" s="729">
        <v>430</v>
      </c>
      <c r="H336" s="674"/>
    </row>
    <row r="337" spans="1:8" s="705" customFormat="1" ht="14.25" customHeight="1" thickBot="1">
      <c r="A337" s="717" t="s">
        <v>278</v>
      </c>
      <c r="B337" s="727" t="s">
        <v>357</v>
      </c>
      <c r="C337" s="727"/>
      <c r="D337" s="727"/>
      <c r="E337" s="727"/>
      <c r="F337" s="737">
        <v>380</v>
      </c>
      <c r="H337" s="674"/>
    </row>
    <row r="338" spans="1:8" s="705" customFormat="1" ht="14.25" customHeight="1" thickBot="1">
      <c r="A338" s="717" t="s">
        <v>289</v>
      </c>
      <c r="B338" s="718" t="s">
        <v>499</v>
      </c>
      <c r="C338" s="718">
        <v>880</v>
      </c>
      <c r="D338" s="718">
        <v>850</v>
      </c>
      <c r="E338" s="718">
        <v>830</v>
      </c>
      <c r="F338" s="740"/>
      <c r="H338" s="674"/>
    </row>
    <row r="339" spans="1:8" s="705" customFormat="1" ht="14.25" customHeight="1" thickBot="1">
      <c r="A339" s="717" t="s">
        <v>289</v>
      </c>
      <c r="B339" s="711" t="s">
        <v>500</v>
      </c>
      <c r="C339" s="711">
        <v>830</v>
      </c>
      <c r="D339" s="711">
        <v>800</v>
      </c>
      <c r="E339" s="711">
        <v>780</v>
      </c>
      <c r="F339" s="738"/>
      <c r="H339" s="674"/>
    </row>
    <row r="340" spans="1:8" s="705" customFormat="1" ht="14.25" customHeight="1" thickBot="1">
      <c r="A340" s="717" t="s">
        <v>289</v>
      </c>
      <c r="B340" s="711" t="s">
        <v>501</v>
      </c>
      <c r="C340" s="711">
        <v>980</v>
      </c>
      <c r="D340" s="711">
        <v>950</v>
      </c>
      <c r="E340" s="711">
        <v>920</v>
      </c>
      <c r="F340" s="738"/>
      <c r="H340" s="674"/>
    </row>
    <row r="341" spans="1:8" s="705" customFormat="1" ht="14.25" customHeight="1" thickBot="1">
      <c r="A341" s="717" t="s">
        <v>289</v>
      </c>
      <c r="B341" s="711" t="s">
        <v>502</v>
      </c>
      <c r="C341" s="711">
        <v>760</v>
      </c>
      <c r="D341" s="711">
        <v>720</v>
      </c>
      <c r="E341" s="711">
        <v>690</v>
      </c>
      <c r="F341" s="729">
        <v>350</v>
      </c>
      <c r="H341" s="674"/>
    </row>
    <row r="342" spans="1:8" s="705" customFormat="1" ht="14.25" customHeight="1" thickBot="1">
      <c r="A342" s="717" t="s">
        <v>289</v>
      </c>
      <c r="B342" s="711" t="s">
        <v>185</v>
      </c>
      <c r="C342" s="711">
        <v>910</v>
      </c>
      <c r="D342" s="711">
        <v>870</v>
      </c>
      <c r="E342" s="711">
        <v>850</v>
      </c>
      <c r="F342" s="729">
        <v>370</v>
      </c>
      <c r="H342" s="674"/>
    </row>
    <row r="343" spans="1:8" s="705" customFormat="1" ht="14.25" customHeight="1" thickBot="1">
      <c r="A343" s="717" t="s">
        <v>289</v>
      </c>
      <c r="B343" s="711" t="s">
        <v>197</v>
      </c>
      <c r="C343" s="711">
        <v>800</v>
      </c>
      <c r="D343" s="711">
        <v>760</v>
      </c>
      <c r="E343" s="711">
        <v>730</v>
      </c>
      <c r="F343" s="729">
        <v>340</v>
      </c>
      <c r="H343" s="674"/>
    </row>
    <row r="344" spans="1:8" s="705" customFormat="1" ht="14.25" customHeight="1" thickBot="1">
      <c r="A344" s="717" t="s">
        <v>289</v>
      </c>
      <c r="B344" s="727" t="s">
        <v>209</v>
      </c>
      <c r="C344" s="727">
        <v>720</v>
      </c>
      <c r="D344" s="727">
        <v>690</v>
      </c>
      <c r="E344" s="727">
        <v>660</v>
      </c>
      <c r="F344" s="737">
        <v>300</v>
      </c>
      <c r="H344" s="674"/>
    </row>
  </sheetData>
  <sheetProtection password="C66D" sheet="1" objects="1" scenarios="1" formatCells="0" formatColumns="0" formatRows="0"/>
  <mergeCells count="3">
    <mergeCell ref="A1:F1"/>
    <mergeCell ref="A2:F2"/>
    <mergeCell ref="A3:A4"/>
  </mergeCells>
  <phoneticPr fontId="74" type="noConversion"/>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9"/>
  <sheetViews>
    <sheetView workbookViewId="0">
      <selection activeCell="A15" sqref="A15:M15"/>
    </sheetView>
  </sheetViews>
  <sheetFormatPr defaultColWidth="8.25" defaultRowHeight="19.5" customHeight="1"/>
  <cols>
    <col min="1" max="1" width="13.625" style="680" customWidth="1"/>
    <col min="2" max="9" width="8.25" style="764" customWidth="1"/>
    <col min="10" max="13" width="8.25" style="680"/>
    <col min="14" max="14" width="10" style="680" customWidth="1"/>
    <col min="15" max="16" width="8.25" style="680"/>
    <col min="17" max="17" width="34.125" style="680" customWidth="1"/>
    <col min="18" max="18" width="8.25" style="680" customWidth="1"/>
    <col min="19" max="19" width="8.25" style="680"/>
    <col min="20" max="20" width="11.625" style="680" customWidth="1"/>
    <col min="21" max="16384" width="8.25" style="680"/>
  </cols>
  <sheetData>
    <row r="1" spans="1:13" ht="19.5" customHeight="1" thickBot="1">
      <c r="A1" s="742" t="s">
        <v>503</v>
      </c>
      <c r="B1" s="708" t="s">
        <v>106</v>
      </c>
      <c r="C1" s="708" t="s">
        <v>107</v>
      </c>
      <c r="D1" s="708" t="s">
        <v>108</v>
      </c>
      <c r="E1" s="708" t="s">
        <v>109</v>
      </c>
      <c r="F1" s="708" t="s">
        <v>110</v>
      </c>
      <c r="G1" s="708" t="s">
        <v>111</v>
      </c>
      <c r="H1" s="708" t="s">
        <v>112</v>
      </c>
      <c r="I1" s="708" t="s">
        <v>113</v>
      </c>
      <c r="J1" s="708" t="s">
        <v>114</v>
      </c>
      <c r="K1" s="708" t="s">
        <v>115</v>
      </c>
      <c r="L1" s="708" t="s">
        <v>116</v>
      </c>
      <c r="M1" s="709" t="s">
        <v>117</v>
      </c>
    </row>
    <row r="2" spans="1:13" ht="19.5" customHeight="1">
      <c r="A2" s="743" t="s">
        <v>132</v>
      </c>
      <c r="B2" s="744">
        <v>3.5</v>
      </c>
      <c r="C2" s="744">
        <v>3.5</v>
      </c>
      <c r="D2" s="745">
        <v>2.5</v>
      </c>
      <c r="E2" s="745">
        <v>2.5</v>
      </c>
      <c r="F2" s="745">
        <v>2.5</v>
      </c>
      <c r="G2" s="745">
        <v>2.5</v>
      </c>
      <c r="H2" s="745">
        <v>2.5</v>
      </c>
      <c r="I2" s="744">
        <v>2</v>
      </c>
      <c r="J2" s="744">
        <v>2</v>
      </c>
      <c r="K2" s="744">
        <v>2</v>
      </c>
      <c r="L2" s="744">
        <v>2</v>
      </c>
      <c r="M2" s="746">
        <v>2</v>
      </c>
    </row>
    <row r="3" spans="1:13" ht="19.5" customHeight="1">
      <c r="A3" s="747" t="s">
        <v>133</v>
      </c>
      <c r="B3" s="748">
        <v>3.5</v>
      </c>
      <c r="C3" s="748">
        <v>3.5</v>
      </c>
      <c r="D3" s="749">
        <v>2.5</v>
      </c>
      <c r="E3" s="749">
        <v>2.5</v>
      </c>
      <c r="F3" s="749">
        <v>2.5</v>
      </c>
      <c r="G3" s="749">
        <v>2.5</v>
      </c>
      <c r="H3" s="749">
        <v>2.5</v>
      </c>
      <c r="I3" s="748">
        <v>2</v>
      </c>
      <c r="J3" s="748">
        <v>2</v>
      </c>
      <c r="K3" s="748">
        <v>2</v>
      </c>
      <c r="L3" s="748">
        <v>2</v>
      </c>
      <c r="M3" s="750">
        <v>2</v>
      </c>
    </row>
    <row r="4" spans="1:13" ht="19.5" customHeight="1">
      <c r="A4" s="747" t="s">
        <v>729</v>
      </c>
      <c r="B4" s="749">
        <v>2.5</v>
      </c>
      <c r="C4" s="749">
        <v>2.5</v>
      </c>
      <c r="D4" s="749">
        <v>2.5</v>
      </c>
      <c r="E4" s="749">
        <v>2.5</v>
      </c>
      <c r="F4" s="749">
        <v>2.5</v>
      </c>
      <c r="G4" s="749">
        <v>2.5</v>
      </c>
      <c r="H4" s="749">
        <v>2.5</v>
      </c>
      <c r="I4" s="748">
        <v>1.5</v>
      </c>
      <c r="J4" s="748">
        <v>1.5</v>
      </c>
      <c r="K4" s="748">
        <v>1.5</v>
      </c>
      <c r="L4" s="748">
        <v>1.5</v>
      </c>
      <c r="M4" s="750">
        <v>1.5</v>
      </c>
    </row>
    <row r="5" spans="1:13" ht="19.5" customHeight="1" thickBot="1">
      <c r="A5" s="751" t="s">
        <v>135</v>
      </c>
      <c r="B5" s="752">
        <v>1.5</v>
      </c>
      <c r="C5" s="752">
        <v>1.5</v>
      </c>
      <c r="D5" s="752">
        <v>1.5</v>
      </c>
      <c r="E5" s="752">
        <v>1.5</v>
      </c>
      <c r="F5" s="752">
        <v>1.5</v>
      </c>
      <c r="G5" s="753">
        <v>1.2</v>
      </c>
      <c r="H5" s="753">
        <v>1.2</v>
      </c>
      <c r="I5" s="753">
        <v>1</v>
      </c>
      <c r="J5" s="753">
        <v>1</v>
      </c>
      <c r="K5" s="753">
        <v>1</v>
      </c>
      <c r="L5" s="753">
        <v>1</v>
      </c>
      <c r="M5" s="754">
        <v>1</v>
      </c>
    </row>
    <row r="6" spans="1:13" ht="19.5" customHeight="1">
      <c r="A6" s="755" t="s">
        <v>504</v>
      </c>
      <c r="B6" s="756">
        <v>80</v>
      </c>
      <c r="C6" s="756">
        <v>80</v>
      </c>
      <c r="D6" s="756">
        <v>65</v>
      </c>
      <c r="E6" s="756">
        <v>65</v>
      </c>
      <c r="F6" s="756">
        <v>65</v>
      </c>
      <c r="G6" s="756">
        <v>65</v>
      </c>
      <c r="H6" s="756">
        <v>65</v>
      </c>
      <c r="I6" s="756">
        <v>50</v>
      </c>
      <c r="J6" s="756">
        <v>50</v>
      </c>
      <c r="K6" s="756">
        <v>50</v>
      </c>
      <c r="L6" s="756">
        <v>50</v>
      </c>
      <c r="M6" s="757">
        <v>50</v>
      </c>
    </row>
    <row r="7" spans="1:13" ht="19.5" customHeight="1">
      <c r="A7" s="681" t="s">
        <v>505</v>
      </c>
      <c r="B7" s="682">
        <v>70</v>
      </c>
      <c r="C7" s="682">
        <v>70</v>
      </c>
      <c r="D7" s="682">
        <v>55</v>
      </c>
      <c r="E7" s="682">
        <v>55</v>
      </c>
      <c r="F7" s="682">
        <v>55</v>
      </c>
      <c r="G7" s="682">
        <v>55</v>
      </c>
      <c r="H7" s="682">
        <v>55</v>
      </c>
      <c r="I7" s="682">
        <v>40</v>
      </c>
      <c r="J7" s="682">
        <v>40</v>
      </c>
      <c r="K7" s="682">
        <v>40</v>
      </c>
      <c r="L7" s="682">
        <v>40</v>
      </c>
      <c r="M7" s="758">
        <v>40</v>
      </c>
    </row>
    <row r="8" spans="1:13" ht="19.5" customHeight="1">
      <c r="A8" s="681" t="s">
        <v>506</v>
      </c>
      <c r="B8" s="682">
        <v>20</v>
      </c>
      <c r="C8" s="682">
        <v>20</v>
      </c>
      <c r="D8" s="682">
        <v>15</v>
      </c>
      <c r="E8" s="682">
        <v>15</v>
      </c>
      <c r="F8" s="682">
        <v>15</v>
      </c>
      <c r="G8" s="682">
        <v>15</v>
      </c>
      <c r="H8" s="682">
        <v>15</v>
      </c>
      <c r="I8" s="682">
        <v>10</v>
      </c>
      <c r="J8" s="682">
        <v>10</v>
      </c>
      <c r="K8" s="682">
        <v>10</v>
      </c>
      <c r="L8" s="682">
        <v>10</v>
      </c>
      <c r="M8" s="758">
        <v>10</v>
      </c>
    </row>
    <row r="9" spans="1:13" ht="19.5" customHeight="1">
      <c r="A9" s="681" t="s">
        <v>507</v>
      </c>
      <c r="B9" s="682">
        <v>30</v>
      </c>
      <c r="C9" s="682">
        <v>30</v>
      </c>
      <c r="D9" s="682">
        <v>25</v>
      </c>
      <c r="E9" s="682">
        <v>25</v>
      </c>
      <c r="F9" s="682">
        <v>25</v>
      </c>
      <c r="G9" s="682">
        <v>25</v>
      </c>
      <c r="H9" s="682">
        <v>25</v>
      </c>
      <c r="I9" s="682">
        <v>20</v>
      </c>
      <c r="J9" s="682">
        <v>20</v>
      </c>
      <c r="K9" s="682">
        <v>20</v>
      </c>
      <c r="L9" s="682">
        <v>20</v>
      </c>
      <c r="M9" s="758">
        <v>20</v>
      </c>
    </row>
    <row r="10" spans="1:13" ht="19.5" customHeight="1">
      <c r="A10" s="681" t="s">
        <v>508</v>
      </c>
      <c r="B10" s="682">
        <v>45</v>
      </c>
      <c r="C10" s="682">
        <v>45</v>
      </c>
      <c r="D10" s="682">
        <v>35</v>
      </c>
      <c r="E10" s="682">
        <v>35</v>
      </c>
      <c r="F10" s="682">
        <v>35</v>
      </c>
      <c r="G10" s="682">
        <v>35</v>
      </c>
      <c r="H10" s="682">
        <v>35</v>
      </c>
      <c r="I10" s="682">
        <v>25</v>
      </c>
      <c r="J10" s="682">
        <v>25</v>
      </c>
      <c r="K10" s="682">
        <v>25</v>
      </c>
      <c r="L10" s="682">
        <v>25</v>
      </c>
      <c r="M10" s="758">
        <v>25</v>
      </c>
    </row>
    <row r="11" spans="1:13" ht="19.5" customHeight="1">
      <c r="A11" s="681" t="s">
        <v>509</v>
      </c>
      <c r="B11" s="682">
        <v>60</v>
      </c>
      <c r="C11" s="682">
        <v>60</v>
      </c>
      <c r="D11" s="682">
        <v>50</v>
      </c>
      <c r="E11" s="682">
        <v>50</v>
      </c>
      <c r="F11" s="682">
        <v>50</v>
      </c>
      <c r="G11" s="682">
        <v>50</v>
      </c>
      <c r="H11" s="682">
        <v>50</v>
      </c>
      <c r="I11" s="682">
        <v>40</v>
      </c>
      <c r="J11" s="682">
        <v>40</v>
      </c>
      <c r="K11" s="682">
        <v>40</v>
      </c>
      <c r="L11" s="682">
        <v>40</v>
      </c>
      <c r="M11" s="758">
        <v>40</v>
      </c>
    </row>
    <row r="12" spans="1:13" ht="19.5" customHeight="1">
      <c r="A12" s="681" t="s">
        <v>510</v>
      </c>
      <c r="B12" s="682">
        <v>50</v>
      </c>
      <c r="C12" s="682">
        <v>50</v>
      </c>
      <c r="D12" s="682">
        <v>40</v>
      </c>
      <c r="E12" s="682">
        <v>40</v>
      </c>
      <c r="F12" s="682">
        <v>40</v>
      </c>
      <c r="G12" s="682">
        <v>40</v>
      </c>
      <c r="H12" s="682">
        <v>40</v>
      </c>
      <c r="I12" s="682">
        <v>30</v>
      </c>
      <c r="J12" s="682">
        <v>30</v>
      </c>
      <c r="K12" s="682">
        <v>30</v>
      </c>
      <c r="L12" s="682">
        <v>30</v>
      </c>
      <c r="M12" s="758">
        <v>30</v>
      </c>
    </row>
    <row r="13" spans="1:13" ht="19.5" customHeight="1">
      <c r="A13" s="759" t="s">
        <v>511</v>
      </c>
      <c r="B13" s="695">
        <v>20</v>
      </c>
      <c r="C13" s="695">
        <v>20</v>
      </c>
      <c r="D13" s="695">
        <v>15</v>
      </c>
      <c r="E13" s="695">
        <v>15</v>
      </c>
      <c r="F13" s="695">
        <v>15</v>
      </c>
      <c r="G13" s="695">
        <v>15</v>
      </c>
      <c r="H13" s="695">
        <v>15</v>
      </c>
      <c r="I13" s="695">
        <v>10</v>
      </c>
      <c r="J13" s="695">
        <v>10</v>
      </c>
      <c r="K13" s="695">
        <v>10</v>
      </c>
      <c r="L13" s="695">
        <v>10</v>
      </c>
      <c r="M13" s="760">
        <v>10</v>
      </c>
    </row>
    <row r="14" spans="1:13" ht="19.5" customHeight="1">
      <c r="A14" s="682" t="s">
        <v>512</v>
      </c>
      <c r="B14" s="761">
        <v>0</v>
      </c>
      <c r="C14" s="761">
        <v>0</v>
      </c>
      <c r="D14" s="761">
        <v>0</v>
      </c>
      <c r="E14" s="761">
        <v>0</v>
      </c>
      <c r="F14" s="761">
        <v>0</v>
      </c>
      <c r="G14" s="761">
        <v>0</v>
      </c>
      <c r="H14" s="761">
        <v>0</v>
      </c>
      <c r="I14" s="761">
        <v>0</v>
      </c>
      <c r="J14" s="761">
        <v>0</v>
      </c>
      <c r="K14" s="761">
        <v>0</v>
      </c>
      <c r="L14" s="761">
        <v>0</v>
      </c>
      <c r="M14" s="761">
        <v>0</v>
      </c>
    </row>
    <row r="15" spans="1:13" ht="19.5" customHeight="1">
      <c r="A15" s="682" t="s">
        <v>2719</v>
      </c>
      <c r="B15" s="761">
        <f>SUM(B6:B13)</f>
        <v>375</v>
      </c>
      <c r="C15" s="761">
        <f t="shared" ref="C15:H15" si="0">SUM(C6:C13)</f>
        <v>375</v>
      </c>
      <c r="D15" s="761">
        <f t="shared" si="0"/>
        <v>300</v>
      </c>
      <c r="E15" s="761">
        <f t="shared" si="0"/>
        <v>300</v>
      </c>
      <c r="F15" s="761">
        <f t="shared" si="0"/>
        <v>300</v>
      </c>
      <c r="G15" s="761">
        <f t="shared" si="0"/>
        <v>300</v>
      </c>
      <c r="H15" s="761">
        <f t="shared" si="0"/>
        <v>300</v>
      </c>
      <c r="I15" s="761">
        <f>SUM(I6:I10,I13)</f>
        <v>155</v>
      </c>
      <c r="J15" s="761">
        <f t="shared" ref="J15:M15" si="1">SUM(J6:J10,J13)</f>
        <v>155</v>
      </c>
      <c r="K15" s="761">
        <f t="shared" si="1"/>
        <v>155</v>
      </c>
      <c r="L15" s="761">
        <f t="shared" si="1"/>
        <v>155</v>
      </c>
      <c r="M15" s="761">
        <f t="shared" si="1"/>
        <v>155</v>
      </c>
    </row>
    <row r="16" spans="1:13" ht="19.5" customHeight="1">
      <c r="A16" s="762" t="s">
        <v>513</v>
      </c>
      <c r="B16" s="762"/>
      <c r="C16" s="763"/>
      <c r="D16" s="763"/>
      <c r="E16" s="762"/>
      <c r="F16" s="763"/>
      <c r="G16" s="763"/>
    </row>
    <row r="17" spans="1:9" ht="19.5" customHeight="1">
      <c r="A17" s="682" t="s">
        <v>514</v>
      </c>
      <c r="B17" s="765" t="s">
        <v>515</v>
      </c>
      <c r="C17" s="793" t="s">
        <v>741</v>
      </c>
      <c r="D17" s="766"/>
      <c r="E17" s="682" t="s">
        <v>516</v>
      </c>
      <c r="F17" s="767"/>
      <c r="G17" s="767"/>
    </row>
    <row r="18" spans="1:9" s="773" customFormat="1" ht="19.5" customHeight="1">
      <c r="A18" s="3546" t="s">
        <v>132</v>
      </c>
      <c r="B18" s="768" t="s">
        <v>517</v>
      </c>
      <c r="C18" s="769" t="s">
        <v>518</v>
      </c>
      <c r="D18" s="770"/>
      <c r="E18" s="768">
        <v>1</v>
      </c>
      <c r="F18" s="771" t="s">
        <v>519</v>
      </c>
      <c r="G18" s="772"/>
      <c r="H18" s="764"/>
      <c r="I18" s="764"/>
    </row>
    <row r="19" spans="1:9" s="773" customFormat="1" ht="19.5" customHeight="1">
      <c r="A19" s="3546"/>
      <c r="B19" s="3546" t="s">
        <v>520</v>
      </c>
      <c r="C19" s="769" t="s">
        <v>521</v>
      </c>
      <c r="D19" s="770"/>
      <c r="E19" s="768">
        <v>0.9</v>
      </c>
      <c r="F19" s="771" t="s">
        <v>522</v>
      </c>
      <c r="G19" s="772"/>
      <c r="H19" s="764"/>
      <c r="I19" s="764"/>
    </row>
    <row r="20" spans="1:9" s="773" customFormat="1" ht="19.5" customHeight="1">
      <c r="A20" s="3546"/>
      <c r="B20" s="3546"/>
      <c r="C20" s="769" t="s">
        <v>523</v>
      </c>
      <c r="D20" s="770"/>
      <c r="E20" s="768">
        <v>1.1000000000000001</v>
      </c>
      <c r="F20" s="771" t="s">
        <v>524</v>
      </c>
      <c r="G20" s="772"/>
      <c r="H20" s="764"/>
      <c r="I20" s="764"/>
    </row>
    <row r="21" spans="1:9" s="773" customFormat="1" ht="19.5" customHeight="1">
      <c r="A21" s="3546"/>
      <c r="B21" s="3546"/>
      <c r="C21" s="769" t="s">
        <v>525</v>
      </c>
      <c r="D21" s="770"/>
      <c r="E21" s="768">
        <v>0.8</v>
      </c>
      <c r="F21" s="771" t="s">
        <v>526</v>
      </c>
      <c r="G21" s="772"/>
      <c r="H21" s="764"/>
      <c r="I21" s="764"/>
    </row>
    <row r="22" spans="1:9" s="773" customFormat="1" ht="19.5" customHeight="1">
      <c r="A22" s="3546"/>
      <c r="B22" s="3546"/>
      <c r="C22" s="769" t="s">
        <v>527</v>
      </c>
      <c r="D22" s="770"/>
      <c r="E22" s="768">
        <v>0.5</v>
      </c>
      <c r="F22" s="771"/>
      <c r="G22" s="772"/>
      <c r="H22" s="764"/>
      <c r="I22" s="764"/>
    </row>
    <row r="23" spans="1:9" s="773" customFormat="1" ht="19.5" customHeight="1">
      <c r="A23" s="3546" t="s">
        <v>133</v>
      </c>
      <c r="B23" s="768" t="s">
        <v>517</v>
      </c>
      <c r="C23" s="769" t="s">
        <v>528</v>
      </c>
      <c r="D23" s="770"/>
      <c r="E23" s="768">
        <v>1</v>
      </c>
      <c r="F23" s="771" t="s">
        <v>529</v>
      </c>
      <c r="G23" s="772"/>
      <c r="H23" s="764"/>
      <c r="I23" s="764"/>
    </row>
    <row r="24" spans="1:9" s="773" customFormat="1" ht="19.5" customHeight="1">
      <c r="A24" s="3546"/>
      <c r="B24" s="3546" t="s">
        <v>520</v>
      </c>
      <c r="C24" s="769" t="s">
        <v>530</v>
      </c>
      <c r="D24" s="770"/>
      <c r="E24" s="768">
        <v>0.5</v>
      </c>
      <c r="F24" s="771"/>
      <c r="G24" s="772"/>
      <c r="H24" s="764"/>
      <c r="I24" s="764"/>
    </row>
    <row r="25" spans="1:9" s="773" customFormat="1" ht="19.5" customHeight="1">
      <c r="A25" s="3546"/>
      <c r="B25" s="3546"/>
      <c r="C25" s="769" t="s">
        <v>531</v>
      </c>
      <c r="D25" s="770"/>
      <c r="E25" s="768">
        <v>1.1000000000000001</v>
      </c>
      <c r="F25" s="771"/>
      <c r="G25" s="772"/>
      <c r="H25" s="764"/>
      <c r="I25" s="764"/>
    </row>
    <row r="26" spans="1:9" s="773" customFormat="1" ht="19.5" customHeight="1">
      <c r="A26" s="3546"/>
      <c r="B26" s="3546"/>
      <c r="C26" s="769" t="s">
        <v>532</v>
      </c>
      <c r="D26" s="770"/>
      <c r="E26" s="768">
        <v>1.1000000000000001</v>
      </c>
      <c r="F26" s="771"/>
      <c r="G26" s="772"/>
      <c r="H26" s="764"/>
      <c r="I26" s="764"/>
    </row>
    <row r="27" spans="1:9" s="773" customFormat="1" ht="19.5" customHeight="1">
      <c r="A27" s="3546"/>
      <c r="B27" s="3546"/>
      <c r="C27" s="769" t="s">
        <v>533</v>
      </c>
      <c r="D27" s="770"/>
      <c r="E27" s="768">
        <v>0.9</v>
      </c>
      <c r="F27" s="771" t="s">
        <v>534</v>
      </c>
      <c r="G27" s="772"/>
      <c r="H27" s="764"/>
      <c r="I27" s="764"/>
    </row>
    <row r="28" spans="1:9" s="773" customFormat="1" ht="19.5" customHeight="1">
      <c r="A28" s="3546"/>
      <c r="B28" s="3546"/>
      <c r="C28" s="769" t="s">
        <v>535</v>
      </c>
      <c r="D28" s="770"/>
      <c r="E28" s="768">
        <v>0.9</v>
      </c>
      <c r="F28" s="771" t="s">
        <v>536</v>
      </c>
      <c r="G28" s="772"/>
      <c r="H28" s="764"/>
      <c r="I28" s="764"/>
    </row>
    <row r="29" spans="1:9" s="773" customFormat="1" ht="19.5" customHeight="1">
      <c r="A29" s="3546"/>
      <c r="B29" s="3546"/>
      <c r="C29" s="769" t="s">
        <v>537</v>
      </c>
      <c r="D29" s="770"/>
      <c r="E29" s="768">
        <v>0.9</v>
      </c>
      <c r="F29" s="771" t="s">
        <v>538</v>
      </c>
      <c r="G29" s="772"/>
      <c r="H29" s="764"/>
      <c r="I29" s="764"/>
    </row>
    <row r="30" spans="1:9" s="773" customFormat="1" ht="19.5" customHeight="1">
      <c r="A30" s="3546"/>
      <c r="B30" s="3546"/>
      <c r="C30" s="769" t="s">
        <v>539</v>
      </c>
      <c r="D30" s="770"/>
      <c r="E30" s="768">
        <v>0.9</v>
      </c>
      <c r="F30" s="771" t="s">
        <v>540</v>
      </c>
      <c r="G30" s="772"/>
      <c r="H30" s="764"/>
      <c r="I30" s="764"/>
    </row>
    <row r="31" spans="1:9" s="773" customFormat="1" ht="19.5" customHeight="1">
      <c r="A31" s="3546"/>
      <c r="B31" s="3546"/>
      <c r="C31" s="769" t="s">
        <v>541</v>
      </c>
      <c r="D31" s="770"/>
      <c r="E31" s="768">
        <v>0.8</v>
      </c>
      <c r="F31" s="771" t="s">
        <v>542</v>
      </c>
      <c r="G31" s="772"/>
      <c r="H31" s="764"/>
      <c r="I31" s="764"/>
    </row>
    <row r="32" spans="1:9" s="773" customFormat="1" ht="19.5" customHeight="1">
      <c r="A32" s="3546"/>
      <c r="B32" s="3546"/>
      <c r="C32" s="769" t="s">
        <v>543</v>
      </c>
      <c r="D32" s="770"/>
      <c r="E32" s="768">
        <v>0.8</v>
      </c>
      <c r="F32" s="771" t="s">
        <v>544</v>
      </c>
      <c r="G32" s="772"/>
      <c r="H32" s="764"/>
      <c r="I32" s="764"/>
    </row>
    <row r="33" spans="1:9" s="773" customFormat="1" ht="19.5" customHeight="1">
      <c r="A33" s="3546" t="s">
        <v>134</v>
      </c>
      <c r="B33" s="768" t="s">
        <v>517</v>
      </c>
      <c r="C33" s="769" t="s">
        <v>545</v>
      </c>
      <c r="D33" s="770"/>
      <c r="E33" s="768">
        <v>1</v>
      </c>
      <c r="F33" s="771" t="s">
        <v>546</v>
      </c>
      <c r="G33" s="772"/>
      <c r="H33" s="764"/>
      <c r="I33" s="764"/>
    </row>
    <row r="34" spans="1:9" s="773" customFormat="1" ht="19.5" customHeight="1">
      <c r="A34" s="3546"/>
      <c r="B34" s="768" t="s">
        <v>520</v>
      </c>
      <c r="C34" s="769" t="s">
        <v>547</v>
      </c>
      <c r="D34" s="770"/>
      <c r="E34" s="768">
        <v>1.5</v>
      </c>
      <c r="F34" s="771" t="s">
        <v>548</v>
      </c>
      <c r="G34" s="772"/>
      <c r="H34" s="764"/>
      <c r="I34" s="764"/>
    </row>
    <row r="35" spans="1:9" s="773" customFormat="1" ht="19.5" customHeight="1">
      <c r="A35" s="3546" t="s">
        <v>135</v>
      </c>
      <c r="B35" s="768" t="s">
        <v>517</v>
      </c>
      <c r="C35" s="769" t="s">
        <v>549</v>
      </c>
      <c r="D35" s="770"/>
      <c r="E35" s="768">
        <v>1</v>
      </c>
      <c r="F35" s="771" t="s">
        <v>550</v>
      </c>
      <c r="G35" s="772"/>
      <c r="H35" s="764"/>
      <c r="I35" s="764"/>
    </row>
    <row r="36" spans="1:9" s="773" customFormat="1" ht="19.5" customHeight="1">
      <c r="A36" s="3546"/>
      <c r="B36" s="3546" t="s">
        <v>520</v>
      </c>
      <c r="C36" s="769" t="s">
        <v>551</v>
      </c>
      <c r="D36" s="770"/>
      <c r="E36" s="768">
        <v>1</v>
      </c>
      <c r="F36" s="771" t="s">
        <v>552</v>
      </c>
      <c r="G36" s="772"/>
      <c r="H36" s="764"/>
      <c r="I36" s="764"/>
    </row>
    <row r="37" spans="1:9" s="773" customFormat="1" ht="19.5" customHeight="1">
      <c r="A37" s="3546"/>
      <c r="B37" s="3546"/>
      <c r="C37" s="769" t="s">
        <v>553</v>
      </c>
      <c r="D37" s="770"/>
      <c r="E37" s="768">
        <v>1.5</v>
      </c>
      <c r="F37" s="771" t="s">
        <v>554</v>
      </c>
      <c r="G37" s="772"/>
      <c r="H37" s="764"/>
      <c r="I37" s="764"/>
    </row>
    <row r="38" spans="1:9" s="773" customFormat="1" ht="19.5" customHeight="1">
      <c r="A38" s="3546"/>
      <c r="B38" s="3546"/>
      <c r="C38" s="769" t="s">
        <v>555</v>
      </c>
      <c r="D38" s="770"/>
      <c r="E38" s="768">
        <v>1</v>
      </c>
      <c r="F38" s="771" t="s">
        <v>556</v>
      </c>
      <c r="G38" s="772"/>
      <c r="H38" s="764"/>
      <c r="I38" s="764"/>
    </row>
    <row r="39" spans="1:9" s="773" customFormat="1" ht="19.5" customHeight="1">
      <c r="A39" s="3546"/>
      <c r="B39" s="3546"/>
      <c r="C39" s="769" t="s">
        <v>557</v>
      </c>
      <c r="D39" s="770"/>
      <c r="E39" s="768">
        <v>1</v>
      </c>
      <c r="F39" s="771" t="s">
        <v>558</v>
      </c>
      <c r="G39" s="772"/>
      <c r="H39" s="764"/>
      <c r="I39" s="764"/>
    </row>
    <row r="40" spans="1:9" s="773" customFormat="1" ht="19.5" customHeight="1">
      <c r="A40" s="774" t="s">
        <v>559</v>
      </c>
      <c r="B40" s="774"/>
      <c r="C40" s="774"/>
      <c r="D40" s="774"/>
      <c r="E40" s="774"/>
      <c r="F40" s="775"/>
      <c r="G40" s="775"/>
      <c r="H40" s="764"/>
      <c r="I40" s="764"/>
    </row>
    <row r="42" spans="1:9" ht="19.5" customHeight="1">
      <c r="A42" s="776"/>
      <c r="B42" s="682" t="s">
        <v>560</v>
      </c>
      <c r="C42" s="682" t="s">
        <v>560</v>
      </c>
      <c r="D42" s="682" t="s">
        <v>560</v>
      </c>
      <c r="E42" s="695" t="s">
        <v>560</v>
      </c>
      <c r="F42" s="695" t="s">
        <v>560</v>
      </c>
      <c r="G42" s="695" t="s">
        <v>561</v>
      </c>
      <c r="H42" s="695" t="s">
        <v>560</v>
      </c>
    </row>
    <row r="43" spans="1:9" ht="19.5" customHeight="1">
      <c r="A43" s="777"/>
      <c r="B43" s="695" t="s">
        <v>132</v>
      </c>
      <c r="C43" s="695" t="s">
        <v>132</v>
      </c>
      <c r="D43" s="695" t="s">
        <v>132</v>
      </c>
      <c r="E43" s="695" t="s">
        <v>132</v>
      </c>
      <c r="F43" s="682" t="s">
        <v>133</v>
      </c>
      <c r="G43" s="682" t="s">
        <v>135</v>
      </c>
      <c r="H43" s="682" t="s">
        <v>562</v>
      </c>
    </row>
    <row r="44" spans="1:9" ht="19.5" customHeight="1">
      <c r="A44" s="778"/>
      <c r="B44" s="682">
        <v>1</v>
      </c>
      <c r="C44" s="682">
        <v>2</v>
      </c>
      <c r="D44" s="682">
        <v>3</v>
      </c>
      <c r="E44" s="695">
        <v>4</v>
      </c>
      <c r="F44" s="766" t="s">
        <v>563</v>
      </c>
      <c r="G44" s="766" t="s">
        <v>563</v>
      </c>
      <c r="H44" s="766" t="s">
        <v>563</v>
      </c>
    </row>
    <row r="45" spans="1:9" ht="19.5" customHeight="1">
      <c r="A45" s="779" t="s">
        <v>106</v>
      </c>
      <c r="B45" s="682">
        <v>0.8</v>
      </c>
      <c r="C45" s="682">
        <v>0.5</v>
      </c>
      <c r="D45" s="682">
        <v>0.36</v>
      </c>
      <c r="E45" s="682">
        <v>0.3</v>
      </c>
      <c r="F45" s="766">
        <v>0.3</v>
      </c>
      <c r="G45" s="682">
        <v>0.3</v>
      </c>
      <c r="H45" s="682">
        <v>0.25</v>
      </c>
    </row>
    <row r="46" spans="1:9" ht="19.5" customHeight="1">
      <c r="A46" s="779" t="s">
        <v>107</v>
      </c>
      <c r="B46" s="682">
        <v>0.8</v>
      </c>
      <c r="C46" s="682">
        <v>0.5</v>
      </c>
      <c r="D46" s="682">
        <v>0.36</v>
      </c>
      <c r="E46" s="682">
        <v>0.3</v>
      </c>
      <c r="F46" s="682">
        <v>0.3</v>
      </c>
      <c r="G46" s="682">
        <v>0.3</v>
      </c>
      <c r="H46" s="682">
        <v>0.25</v>
      </c>
    </row>
    <row r="47" spans="1:9" ht="19.5" customHeight="1">
      <c r="A47" s="779" t="s">
        <v>108</v>
      </c>
      <c r="B47" s="682">
        <v>0.7</v>
      </c>
      <c r="C47" s="682">
        <v>0.4</v>
      </c>
      <c r="D47" s="682">
        <v>0.28000000000000003</v>
      </c>
      <c r="E47" s="682">
        <v>0.25</v>
      </c>
      <c r="F47" s="682">
        <v>0.25</v>
      </c>
      <c r="G47" s="682">
        <v>0.25</v>
      </c>
      <c r="H47" s="682">
        <v>0.2</v>
      </c>
    </row>
    <row r="48" spans="1:9" ht="19.5" customHeight="1">
      <c r="A48" s="779" t="s">
        <v>109</v>
      </c>
      <c r="B48" s="682">
        <v>0.7</v>
      </c>
      <c r="C48" s="682">
        <v>0.4</v>
      </c>
      <c r="D48" s="682">
        <v>0.28000000000000003</v>
      </c>
      <c r="E48" s="682">
        <v>0.25</v>
      </c>
      <c r="F48" s="682">
        <v>0.25</v>
      </c>
      <c r="G48" s="682">
        <v>0.25</v>
      </c>
      <c r="H48" s="682">
        <v>0.2</v>
      </c>
    </row>
    <row r="49" spans="1:8" s="764" customFormat="1" ht="19.5" customHeight="1">
      <c r="A49" s="779" t="s">
        <v>110</v>
      </c>
      <c r="B49" s="682">
        <v>0.7</v>
      </c>
      <c r="C49" s="682">
        <v>0.4</v>
      </c>
      <c r="D49" s="682">
        <v>0.28000000000000003</v>
      </c>
      <c r="E49" s="682">
        <v>0.25</v>
      </c>
      <c r="F49" s="682">
        <v>0.25</v>
      </c>
      <c r="G49" s="682">
        <v>0.25</v>
      </c>
      <c r="H49" s="682">
        <v>0.2</v>
      </c>
    </row>
    <row r="50" spans="1:8" s="764" customFormat="1" ht="19.5" customHeight="1">
      <c r="A50" s="779" t="s">
        <v>111</v>
      </c>
      <c r="B50" s="682">
        <v>0.7</v>
      </c>
      <c r="C50" s="682">
        <v>0.4</v>
      </c>
      <c r="D50" s="682">
        <v>0.28000000000000003</v>
      </c>
      <c r="E50" s="682">
        <v>0.25</v>
      </c>
      <c r="F50" s="682">
        <v>0.25</v>
      </c>
      <c r="G50" s="682">
        <v>0.25</v>
      </c>
      <c r="H50" s="682">
        <v>0.2</v>
      </c>
    </row>
    <row r="51" spans="1:8" s="764" customFormat="1" ht="19.5" customHeight="1">
      <c r="A51" s="779" t="s">
        <v>112</v>
      </c>
      <c r="B51" s="682">
        <v>0.7</v>
      </c>
      <c r="C51" s="682">
        <v>0.4</v>
      </c>
      <c r="D51" s="682">
        <v>0.28000000000000003</v>
      </c>
      <c r="E51" s="682">
        <v>0.25</v>
      </c>
      <c r="F51" s="682">
        <v>0.25</v>
      </c>
      <c r="G51" s="682">
        <v>0.25</v>
      </c>
      <c r="H51" s="682">
        <v>0.2</v>
      </c>
    </row>
    <row r="52" spans="1:8" s="764" customFormat="1" ht="19.5" customHeight="1">
      <c r="A52" s="779" t="s">
        <v>113</v>
      </c>
      <c r="B52" s="682">
        <v>0.6</v>
      </c>
      <c r="C52" s="682">
        <v>0.3</v>
      </c>
      <c r="D52" s="682">
        <v>0.2</v>
      </c>
      <c r="E52" s="682">
        <v>0.2</v>
      </c>
      <c r="F52" s="682">
        <v>0.2</v>
      </c>
      <c r="G52" s="682">
        <v>0.2</v>
      </c>
      <c r="H52" s="682">
        <v>0.15</v>
      </c>
    </row>
    <row r="53" spans="1:8" s="764" customFormat="1" ht="19.5" customHeight="1">
      <c r="A53" s="779" t="s">
        <v>114</v>
      </c>
      <c r="B53" s="682">
        <v>0.6</v>
      </c>
      <c r="C53" s="682">
        <v>0.3</v>
      </c>
      <c r="D53" s="682">
        <v>0.2</v>
      </c>
      <c r="E53" s="682">
        <v>0.2</v>
      </c>
      <c r="F53" s="682">
        <v>0.2</v>
      </c>
      <c r="G53" s="682">
        <v>0.2</v>
      </c>
      <c r="H53" s="682">
        <v>0.15</v>
      </c>
    </row>
    <row r="54" spans="1:8" s="764" customFormat="1" ht="19.5" customHeight="1">
      <c r="A54" s="779" t="s">
        <v>115</v>
      </c>
      <c r="B54" s="682">
        <v>0.6</v>
      </c>
      <c r="C54" s="682">
        <v>0.3</v>
      </c>
      <c r="D54" s="682">
        <v>0.2</v>
      </c>
      <c r="E54" s="682">
        <v>0.2</v>
      </c>
      <c r="F54" s="682">
        <v>0.2</v>
      </c>
      <c r="G54" s="682">
        <v>0.2</v>
      </c>
      <c r="H54" s="682">
        <v>0.15</v>
      </c>
    </row>
    <row r="55" spans="1:8" s="764" customFormat="1" ht="19.5" customHeight="1">
      <c r="A55" s="779" t="s">
        <v>116</v>
      </c>
      <c r="B55" s="682">
        <v>0.6</v>
      </c>
      <c r="C55" s="682">
        <v>0.3</v>
      </c>
      <c r="D55" s="682">
        <v>0.2</v>
      </c>
      <c r="E55" s="682">
        <v>0.2</v>
      </c>
      <c r="F55" s="682">
        <v>0.2</v>
      </c>
      <c r="G55" s="682">
        <v>0.2</v>
      </c>
      <c r="H55" s="682">
        <v>0.15</v>
      </c>
    </row>
    <row r="56" spans="1:8" s="764" customFormat="1" ht="19.5" customHeight="1">
      <c r="A56" s="779" t="s">
        <v>117</v>
      </c>
      <c r="B56" s="682">
        <v>0.6</v>
      </c>
      <c r="C56" s="682">
        <v>0.3</v>
      </c>
      <c r="D56" s="682">
        <v>0.2</v>
      </c>
      <c r="E56" s="682">
        <v>0.2</v>
      </c>
      <c r="F56" s="682">
        <v>0.2</v>
      </c>
      <c r="G56" s="682">
        <v>0.2</v>
      </c>
      <c r="H56" s="682">
        <v>0.15</v>
      </c>
    </row>
    <row r="58" spans="1:8" s="764" customFormat="1" ht="19.5" customHeight="1">
      <c r="A58" s="780"/>
      <c r="B58" s="762"/>
      <c r="C58" s="762"/>
      <c r="D58" s="762" t="s">
        <v>564</v>
      </c>
      <c r="E58" s="762"/>
      <c r="F58" s="762"/>
    </row>
    <row r="59" spans="1:8" s="764" customFormat="1" ht="19.5" customHeight="1">
      <c r="A59" s="768" t="s">
        <v>565</v>
      </c>
      <c r="B59" s="768" t="s">
        <v>566</v>
      </c>
      <c r="C59" s="768" t="s">
        <v>567</v>
      </c>
      <c r="D59" s="768" t="s">
        <v>568</v>
      </c>
      <c r="E59" s="768" t="s">
        <v>569</v>
      </c>
      <c r="F59" s="768" t="s">
        <v>570</v>
      </c>
    </row>
    <row r="60" spans="1:8" ht="13.5">
      <c r="A60" s="795"/>
      <c r="B60" s="795"/>
      <c r="C60" s="795" t="s">
        <v>702</v>
      </c>
      <c r="D60" s="795"/>
      <c r="E60" s="781" t="s">
        <v>1</v>
      </c>
      <c r="F60" s="795" t="s">
        <v>1</v>
      </c>
    </row>
    <row r="61" spans="1:8" s="764" customFormat="1" ht="24">
      <c r="A61" s="768">
        <v>1</v>
      </c>
      <c r="B61" s="3546" t="s">
        <v>571</v>
      </c>
      <c r="C61" s="682" t="s">
        <v>572</v>
      </c>
      <c r="D61" s="682" t="s">
        <v>573</v>
      </c>
      <c r="E61" s="781">
        <v>0.5</v>
      </c>
      <c r="F61" s="768">
        <v>80</v>
      </c>
    </row>
    <row r="62" spans="1:8" s="764" customFormat="1" ht="24">
      <c r="A62" s="768">
        <v>2</v>
      </c>
      <c r="B62" s="3546"/>
      <c r="C62" s="682" t="s">
        <v>574</v>
      </c>
      <c r="D62" s="682" t="s">
        <v>575</v>
      </c>
      <c r="E62" s="781">
        <v>0.5</v>
      </c>
      <c r="F62" s="768">
        <v>80</v>
      </c>
    </row>
    <row r="63" spans="1:8" s="764" customFormat="1" ht="36">
      <c r="A63" s="768">
        <v>3</v>
      </c>
      <c r="B63" s="3546"/>
      <c r="C63" s="682" t="s">
        <v>576</v>
      </c>
      <c r="D63" s="682" t="s">
        <v>577</v>
      </c>
      <c r="E63" s="781">
        <v>0.5</v>
      </c>
      <c r="F63" s="768">
        <v>80</v>
      </c>
    </row>
    <row r="64" spans="1:8" s="764" customFormat="1" ht="36">
      <c r="A64" s="768">
        <v>4</v>
      </c>
      <c r="B64" s="3546"/>
      <c r="C64" s="682" t="s">
        <v>578</v>
      </c>
      <c r="D64" s="682" t="s">
        <v>579</v>
      </c>
      <c r="E64" s="781">
        <v>0.4</v>
      </c>
      <c r="F64" s="768">
        <v>60</v>
      </c>
    </row>
    <row r="65" spans="1:6" s="764" customFormat="1" ht="36">
      <c r="A65" s="768">
        <v>5</v>
      </c>
      <c r="B65" s="3546"/>
      <c r="C65" s="682" t="s">
        <v>580</v>
      </c>
      <c r="D65" s="682" t="s">
        <v>581</v>
      </c>
      <c r="E65" s="781">
        <v>0.2</v>
      </c>
      <c r="F65" s="768">
        <v>30</v>
      </c>
    </row>
    <row r="66" spans="1:6" s="764" customFormat="1" ht="36">
      <c r="A66" s="768">
        <v>6</v>
      </c>
      <c r="B66" s="3546"/>
      <c r="C66" s="682" t="s">
        <v>582</v>
      </c>
      <c r="D66" s="682" t="s">
        <v>583</v>
      </c>
      <c r="E66" s="781">
        <v>0.3</v>
      </c>
      <c r="F66" s="768">
        <v>50</v>
      </c>
    </row>
    <row r="67" spans="1:6" s="764" customFormat="1" ht="36">
      <c r="A67" s="768">
        <v>7</v>
      </c>
      <c r="B67" s="3546"/>
      <c r="C67" s="682" t="s">
        <v>584</v>
      </c>
      <c r="D67" s="682" t="s">
        <v>585</v>
      </c>
      <c r="E67" s="781">
        <v>0.2</v>
      </c>
      <c r="F67" s="768">
        <v>30</v>
      </c>
    </row>
    <row r="68" spans="1:6" s="764" customFormat="1" ht="36">
      <c r="A68" s="768">
        <v>8</v>
      </c>
      <c r="B68" s="3546"/>
      <c r="C68" s="682" t="s">
        <v>586</v>
      </c>
      <c r="D68" s="682" t="s">
        <v>587</v>
      </c>
      <c r="E68" s="781">
        <v>0.2</v>
      </c>
      <c r="F68" s="768">
        <v>30</v>
      </c>
    </row>
    <row r="69" spans="1:6" s="764" customFormat="1" ht="36">
      <c r="A69" s="768">
        <v>9</v>
      </c>
      <c r="B69" s="3546"/>
      <c r="C69" s="682" t="s">
        <v>588</v>
      </c>
      <c r="D69" s="682" t="s">
        <v>589</v>
      </c>
      <c r="E69" s="781">
        <v>0.2</v>
      </c>
      <c r="F69" s="768">
        <v>30</v>
      </c>
    </row>
    <row r="70" spans="1:6" s="764" customFormat="1" ht="48">
      <c r="A70" s="768">
        <v>10</v>
      </c>
      <c r="B70" s="3546"/>
      <c r="C70" s="682" t="s">
        <v>590</v>
      </c>
      <c r="D70" s="682" t="s">
        <v>591</v>
      </c>
      <c r="E70" s="781">
        <v>0.2</v>
      </c>
      <c r="F70" s="768">
        <v>30</v>
      </c>
    </row>
    <row r="71" spans="1:6" s="764" customFormat="1" ht="48">
      <c r="A71" s="768">
        <v>11</v>
      </c>
      <c r="B71" s="3546"/>
      <c r="C71" s="682" t="s">
        <v>592</v>
      </c>
      <c r="D71" s="682" t="s">
        <v>593</v>
      </c>
      <c r="E71" s="781">
        <v>0.2</v>
      </c>
      <c r="F71" s="768">
        <v>30</v>
      </c>
    </row>
    <row r="72" spans="1:6" s="764" customFormat="1" ht="36">
      <c r="A72" s="768">
        <v>12</v>
      </c>
      <c r="B72" s="3546"/>
      <c r="C72" s="682" t="s">
        <v>594</v>
      </c>
      <c r="D72" s="682" t="s">
        <v>595</v>
      </c>
      <c r="E72" s="781">
        <v>0.5</v>
      </c>
      <c r="F72" s="768">
        <v>80</v>
      </c>
    </row>
    <row r="73" spans="1:6" s="764" customFormat="1" ht="24">
      <c r="A73" s="768">
        <v>13</v>
      </c>
      <c r="B73" s="3546"/>
      <c r="C73" s="682" t="s">
        <v>596</v>
      </c>
      <c r="D73" s="682" t="s">
        <v>597</v>
      </c>
      <c r="E73" s="781">
        <v>0.4</v>
      </c>
      <c r="F73" s="768">
        <v>60</v>
      </c>
    </row>
    <row r="74" spans="1:6" s="764" customFormat="1" ht="24">
      <c r="A74" s="768">
        <v>14</v>
      </c>
      <c r="B74" s="3546"/>
      <c r="C74" s="682" t="s">
        <v>598</v>
      </c>
      <c r="D74" s="682" t="s">
        <v>599</v>
      </c>
      <c r="E74" s="781">
        <v>0.2</v>
      </c>
      <c r="F74" s="768">
        <v>30</v>
      </c>
    </row>
    <row r="75" spans="1:6" s="764" customFormat="1" ht="24">
      <c r="A75" s="768">
        <v>15</v>
      </c>
      <c r="B75" s="3546"/>
      <c r="C75" s="682" t="s">
        <v>600</v>
      </c>
      <c r="D75" s="682" t="s">
        <v>601</v>
      </c>
      <c r="E75" s="781">
        <v>0.2</v>
      </c>
      <c r="F75" s="768">
        <v>30</v>
      </c>
    </row>
    <row r="76" spans="1:6" s="764" customFormat="1" ht="24">
      <c r="A76" s="768">
        <v>16</v>
      </c>
      <c r="B76" s="3546" t="s">
        <v>602</v>
      </c>
      <c r="C76" s="682" t="s">
        <v>603</v>
      </c>
      <c r="D76" s="682" t="s">
        <v>604</v>
      </c>
      <c r="E76" s="781">
        <v>0.5</v>
      </c>
      <c r="F76" s="768">
        <v>80</v>
      </c>
    </row>
    <row r="77" spans="1:6" s="764" customFormat="1" ht="24">
      <c r="A77" s="768">
        <v>17</v>
      </c>
      <c r="B77" s="3546"/>
      <c r="C77" s="682" t="s">
        <v>605</v>
      </c>
      <c r="D77" s="682" t="s">
        <v>606</v>
      </c>
      <c r="E77" s="781">
        <v>0.5</v>
      </c>
      <c r="F77" s="768">
        <v>80</v>
      </c>
    </row>
    <row r="78" spans="1:6" s="764" customFormat="1" ht="24">
      <c r="A78" s="768">
        <v>18</v>
      </c>
      <c r="B78" s="3546"/>
      <c r="C78" s="682" t="s">
        <v>607</v>
      </c>
      <c r="D78" s="682" t="s">
        <v>608</v>
      </c>
      <c r="E78" s="781">
        <v>0.2</v>
      </c>
      <c r="F78" s="768">
        <v>30</v>
      </c>
    </row>
    <row r="79" spans="1:6" s="764" customFormat="1" ht="24">
      <c r="A79" s="768">
        <v>19</v>
      </c>
      <c r="B79" s="3546"/>
      <c r="C79" s="682" t="s">
        <v>609</v>
      </c>
      <c r="D79" s="682" t="s">
        <v>610</v>
      </c>
      <c r="E79" s="781">
        <v>0.5</v>
      </c>
      <c r="F79" s="768">
        <v>80</v>
      </c>
    </row>
    <row r="80" spans="1:6" s="764" customFormat="1" ht="36">
      <c r="A80" s="768">
        <v>20</v>
      </c>
      <c r="B80" s="3546"/>
      <c r="C80" s="682" t="s">
        <v>611</v>
      </c>
      <c r="D80" s="682" t="s">
        <v>612</v>
      </c>
      <c r="E80" s="781">
        <v>0.2</v>
      </c>
      <c r="F80" s="768">
        <v>30</v>
      </c>
    </row>
    <row r="81" spans="1:6" s="764" customFormat="1" ht="36">
      <c r="A81" s="768">
        <v>21</v>
      </c>
      <c r="B81" s="3546"/>
      <c r="C81" s="682" t="s">
        <v>613</v>
      </c>
      <c r="D81" s="682" t="s">
        <v>614</v>
      </c>
      <c r="E81" s="781">
        <v>0.2</v>
      </c>
      <c r="F81" s="768">
        <v>30</v>
      </c>
    </row>
    <row r="82" spans="1:6" s="764" customFormat="1" ht="48">
      <c r="A82" s="768">
        <v>22</v>
      </c>
      <c r="B82" s="3546"/>
      <c r="C82" s="682" t="s">
        <v>615</v>
      </c>
      <c r="D82" s="682" t="s">
        <v>616</v>
      </c>
      <c r="E82" s="781">
        <v>0.2</v>
      </c>
      <c r="F82" s="768">
        <v>30</v>
      </c>
    </row>
    <row r="83" spans="1:6" s="764" customFormat="1" ht="48">
      <c r="A83" s="768">
        <v>23</v>
      </c>
      <c r="B83" s="3546"/>
      <c r="C83" s="682" t="s">
        <v>617</v>
      </c>
      <c r="D83" s="682" t="s">
        <v>618</v>
      </c>
      <c r="E83" s="781">
        <v>0.2</v>
      </c>
      <c r="F83" s="768">
        <v>30</v>
      </c>
    </row>
    <row r="84" spans="1:6" s="764" customFormat="1" ht="36">
      <c r="A84" s="768">
        <v>24</v>
      </c>
      <c r="B84" s="3546"/>
      <c r="C84" s="682" t="s">
        <v>619</v>
      </c>
      <c r="D84" s="682" t="s">
        <v>620</v>
      </c>
      <c r="E84" s="781">
        <v>0.2</v>
      </c>
      <c r="F84" s="768">
        <v>30</v>
      </c>
    </row>
    <row r="85" spans="1:6" s="764" customFormat="1" ht="36">
      <c r="A85" s="768">
        <v>25</v>
      </c>
      <c r="B85" s="3546"/>
      <c r="C85" s="682" t="s">
        <v>621</v>
      </c>
      <c r="D85" s="682" t="s">
        <v>622</v>
      </c>
      <c r="E85" s="781">
        <v>0.5</v>
      </c>
      <c r="F85" s="768">
        <v>80</v>
      </c>
    </row>
    <row r="86" spans="1:6" s="764" customFormat="1" ht="36">
      <c r="A86" s="768">
        <v>26</v>
      </c>
      <c r="B86" s="3546"/>
      <c r="C86" s="682" t="s">
        <v>623</v>
      </c>
      <c r="D86" s="682" t="s">
        <v>624</v>
      </c>
      <c r="E86" s="781">
        <v>0.2</v>
      </c>
      <c r="F86" s="768">
        <v>30</v>
      </c>
    </row>
    <row r="87" spans="1:6" s="764" customFormat="1" ht="36">
      <c r="A87" s="768">
        <v>27</v>
      </c>
      <c r="B87" s="3546"/>
      <c r="C87" s="682" t="s">
        <v>625</v>
      </c>
      <c r="D87" s="682" t="s">
        <v>626</v>
      </c>
      <c r="E87" s="781">
        <v>0.2</v>
      </c>
      <c r="F87" s="768">
        <v>30</v>
      </c>
    </row>
    <row r="88" spans="1:6" s="764" customFormat="1" ht="36">
      <c r="A88" s="768">
        <v>28</v>
      </c>
      <c r="B88" s="3546"/>
      <c r="C88" s="682" t="s">
        <v>627</v>
      </c>
      <c r="D88" s="682" t="s">
        <v>628</v>
      </c>
      <c r="E88" s="781">
        <v>0.2</v>
      </c>
      <c r="F88" s="768">
        <v>30</v>
      </c>
    </row>
    <row r="89" spans="1:6" s="764" customFormat="1" ht="24">
      <c r="A89" s="768">
        <v>29</v>
      </c>
      <c r="B89" s="3546"/>
      <c r="C89" s="682" t="s">
        <v>629</v>
      </c>
      <c r="D89" s="682" t="s">
        <v>630</v>
      </c>
      <c r="E89" s="781">
        <v>0.2</v>
      </c>
      <c r="F89" s="768">
        <v>30</v>
      </c>
    </row>
    <row r="90" spans="1:6" s="764" customFormat="1" ht="24">
      <c r="A90" s="768">
        <v>30</v>
      </c>
      <c r="B90" s="3546"/>
      <c r="C90" s="682" t="s">
        <v>631</v>
      </c>
      <c r="D90" s="682" t="s">
        <v>632</v>
      </c>
      <c r="E90" s="781">
        <v>0.2</v>
      </c>
      <c r="F90" s="768">
        <v>30</v>
      </c>
    </row>
    <row r="91" spans="1:6" s="764" customFormat="1" ht="36">
      <c r="A91" s="768">
        <v>31</v>
      </c>
      <c r="B91" s="3546"/>
      <c r="C91" s="682" t="s">
        <v>633</v>
      </c>
      <c r="D91" s="682" t="s">
        <v>634</v>
      </c>
      <c r="E91" s="781">
        <v>0.2</v>
      </c>
      <c r="F91" s="768">
        <v>30</v>
      </c>
    </row>
    <row r="92" spans="1:6" s="764" customFormat="1" ht="24">
      <c r="A92" s="768">
        <v>32</v>
      </c>
      <c r="B92" s="3546" t="s">
        <v>635</v>
      </c>
      <c r="C92" s="768" t="s">
        <v>636</v>
      </c>
      <c r="D92" s="682" t="s">
        <v>637</v>
      </c>
      <c r="E92" s="781">
        <v>0.2</v>
      </c>
      <c r="F92" s="768">
        <v>30</v>
      </c>
    </row>
    <row r="93" spans="1:6" s="764" customFormat="1" ht="36">
      <c r="A93" s="768">
        <v>33</v>
      </c>
      <c r="B93" s="3546"/>
      <c r="C93" s="768" t="s">
        <v>638</v>
      </c>
      <c r="D93" s="682" t="s">
        <v>639</v>
      </c>
      <c r="E93" s="781">
        <v>0.2</v>
      </c>
      <c r="F93" s="768">
        <v>30</v>
      </c>
    </row>
    <row r="94" spans="1:6" s="764" customFormat="1" ht="48">
      <c r="A94" s="768">
        <v>34</v>
      </c>
      <c r="B94" s="3546"/>
      <c r="C94" s="768" t="s">
        <v>640</v>
      </c>
      <c r="D94" s="682" t="s">
        <v>641</v>
      </c>
      <c r="E94" s="781">
        <v>0.2</v>
      </c>
      <c r="F94" s="768">
        <v>30</v>
      </c>
    </row>
    <row r="95" spans="1:6" s="764" customFormat="1" ht="36">
      <c r="A95" s="768">
        <v>35</v>
      </c>
      <c r="B95" s="3546"/>
      <c r="C95" s="768" t="s">
        <v>642</v>
      </c>
      <c r="D95" s="682" t="s">
        <v>643</v>
      </c>
      <c r="E95" s="781">
        <v>0.2</v>
      </c>
      <c r="F95" s="768">
        <v>30</v>
      </c>
    </row>
    <row r="96" spans="1:6" s="764" customFormat="1" ht="48">
      <c r="A96" s="768">
        <v>36</v>
      </c>
      <c r="B96" s="3546"/>
      <c r="C96" s="682" t="s">
        <v>644</v>
      </c>
      <c r="D96" s="682" t="s">
        <v>645</v>
      </c>
      <c r="E96" s="781">
        <v>0.2</v>
      </c>
      <c r="F96" s="768">
        <v>30</v>
      </c>
    </row>
    <row r="97" spans="1:6" s="764" customFormat="1" ht="36">
      <c r="A97" s="768">
        <v>37</v>
      </c>
      <c r="B97" s="3546"/>
      <c r="C97" s="768" t="s">
        <v>646</v>
      </c>
      <c r="D97" s="682" t="s">
        <v>647</v>
      </c>
      <c r="E97" s="781">
        <v>0.2</v>
      </c>
      <c r="F97" s="768">
        <v>30</v>
      </c>
    </row>
    <row r="98" spans="1:6" s="764" customFormat="1" ht="36">
      <c r="A98" s="768">
        <v>38</v>
      </c>
      <c r="B98" s="3546"/>
      <c r="C98" s="768" t="s">
        <v>648</v>
      </c>
      <c r="D98" s="682" t="s">
        <v>649</v>
      </c>
      <c r="E98" s="781">
        <v>0.2</v>
      </c>
      <c r="F98" s="768">
        <v>30</v>
      </c>
    </row>
    <row r="99" spans="1:6" s="764" customFormat="1" ht="36">
      <c r="A99" s="768">
        <v>39</v>
      </c>
      <c r="B99" s="3546" t="s">
        <v>650</v>
      </c>
      <c r="C99" s="768" t="s">
        <v>651</v>
      </c>
      <c r="D99" s="682" t="s">
        <v>652</v>
      </c>
      <c r="E99" s="781">
        <v>0.3</v>
      </c>
      <c r="F99" s="768">
        <v>50</v>
      </c>
    </row>
    <row r="100" spans="1:6" s="764" customFormat="1" ht="24">
      <c r="A100" s="768">
        <v>40</v>
      </c>
      <c r="B100" s="3546"/>
      <c r="C100" s="768" t="s">
        <v>653</v>
      </c>
      <c r="D100" s="682" t="s">
        <v>654</v>
      </c>
      <c r="E100" s="781">
        <v>0.2</v>
      </c>
      <c r="F100" s="768">
        <v>30</v>
      </c>
    </row>
    <row r="101" spans="1:6" s="764" customFormat="1" ht="36">
      <c r="A101" s="768">
        <v>41</v>
      </c>
      <c r="B101" s="3546"/>
      <c r="C101" s="768" t="s">
        <v>655</v>
      </c>
      <c r="D101" s="682" t="s">
        <v>652</v>
      </c>
      <c r="E101" s="781">
        <v>0.2</v>
      </c>
      <c r="F101" s="768">
        <v>30</v>
      </c>
    </row>
    <row r="102" spans="1:6" s="764" customFormat="1" ht="48">
      <c r="A102" s="768">
        <v>42</v>
      </c>
      <c r="B102" s="768" t="s">
        <v>656</v>
      </c>
      <c r="C102" s="682" t="s">
        <v>657</v>
      </c>
      <c r="D102" s="682" t="s">
        <v>658</v>
      </c>
      <c r="E102" s="781">
        <v>0.2</v>
      </c>
      <c r="F102" s="768">
        <v>30</v>
      </c>
    </row>
    <row r="103" spans="1:6" s="764" customFormat="1" ht="24">
      <c r="A103" s="768">
        <v>43</v>
      </c>
      <c r="B103" s="768" t="s">
        <v>659</v>
      </c>
      <c r="C103" s="768" t="s">
        <v>660</v>
      </c>
      <c r="D103" s="682" t="s">
        <v>661</v>
      </c>
      <c r="E103" s="781">
        <v>0.2</v>
      </c>
      <c r="F103" s="768">
        <v>30</v>
      </c>
    </row>
    <row r="104" spans="1:6" s="764" customFormat="1" ht="36">
      <c r="A104" s="768">
        <v>44</v>
      </c>
      <c r="B104" s="768" t="s">
        <v>662</v>
      </c>
      <c r="C104" s="768" t="s">
        <v>663</v>
      </c>
      <c r="D104" s="682" t="s">
        <v>664</v>
      </c>
      <c r="E104" s="781">
        <v>0.2</v>
      </c>
      <c r="F104" s="768">
        <v>30</v>
      </c>
    </row>
    <row r="105" spans="1:6" s="764" customFormat="1" ht="36">
      <c r="A105" s="768">
        <v>45</v>
      </c>
      <c r="B105" s="3546" t="s">
        <v>665</v>
      </c>
      <c r="C105" s="768" t="s">
        <v>666</v>
      </c>
      <c r="D105" s="682" t="s">
        <v>667</v>
      </c>
      <c r="E105" s="781">
        <v>0.2</v>
      </c>
      <c r="F105" s="768">
        <v>30</v>
      </c>
    </row>
    <row r="106" spans="1:6" s="764" customFormat="1" ht="36">
      <c r="A106" s="768">
        <v>46</v>
      </c>
      <c r="B106" s="3546"/>
      <c r="C106" s="768" t="s">
        <v>668</v>
      </c>
      <c r="D106" s="682" t="s">
        <v>669</v>
      </c>
      <c r="E106" s="781">
        <v>0.2</v>
      </c>
      <c r="F106" s="768">
        <v>30</v>
      </c>
    </row>
    <row r="107" spans="1:6" s="764" customFormat="1" ht="36">
      <c r="A107" s="768">
        <v>47</v>
      </c>
      <c r="B107" s="3546" t="s">
        <v>670</v>
      </c>
      <c r="C107" s="768" t="s">
        <v>671</v>
      </c>
      <c r="D107" s="682" t="s">
        <v>672</v>
      </c>
      <c r="E107" s="781">
        <v>0.3</v>
      </c>
      <c r="F107" s="768">
        <v>50</v>
      </c>
    </row>
    <row r="108" spans="1:6" s="764" customFormat="1" ht="36">
      <c r="A108" s="768">
        <v>48</v>
      </c>
      <c r="B108" s="3546"/>
      <c r="C108" s="768" t="s">
        <v>673</v>
      </c>
      <c r="D108" s="682" t="s">
        <v>674</v>
      </c>
      <c r="E108" s="781">
        <v>0.2</v>
      </c>
      <c r="F108" s="768">
        <v>30</v>
      </c>
    </row>
    <row r="109" spans="1:6" s="764" customFormat="1" ht="36">
      <c r="A109" s="768">
        <v>49</v>
      </c>
      <c r="B109" s="768" t="s">
        <v>675</v>
      </c>
      <c r="C109" s="768" t="s">
        <v>676</v>
      </c>
      <c r="D109" s="682" t="s">
        <v>677</v>
      </c>
      <c r="E109" s="781">
        <v>0.2</v>
      </c>
      <c r="F109" s="768">
        <v>30</v>
      </c>
    </row>
    <row r="110" spans="1:6" s="764" customFormat="1" ht="36">
      <c r="A110" s="768">
        <v>50</v>
      </c>
      <c r="B110" s="768" t="s">
        <v>678</v>
      </c>
      <c r="C110" s="768" t="s">
        <v>679</v>
      </c>
      <c r="D110" s="682" t="s">
        <v>680</v>
      </c>
      <c r="E110" s="781">
        <v>0.2</v>
      </c>
      <c r="F110" s="768">
        <v>30</v>
      </c>
    </row>
    <row r="111" spans="1:6" s="764" customFormat="1" ht="36">
      <c r="A111" s="768">
        <v>51</v>
      </c>
      <c r="B111" s="3546" t="s">
        <v>681</v>
      </c>
      <c r="C111" s="768" t="s">
        <v>682</v>
      </c>
      <c r="D111" s="682" t="s">
        <v>683</v>
      </c>
      <c r="E111" s="781">
        <v>0.2</v>
      </c>
      <c r="F111" s="768">
        <v>30</v>
      </c>
    </row>
    <row r="112" spans="1:6" s="764" customFormat="1" ht="24">
      <c r="A112" s="768">
        <v>52</v>
      </c>
      <c r="B112" s="3546"/>
      <c r="C112" s="768" t="s">
        <v>684</v>
      </c>
      <c r="D112" s="682" t="s">
        <v>685</v>
      </c>
      <c r="E112" s="781">
        <v>0.2</v>
      </c>
      <c r="F112" s="768">
        <v>30</v>
      </c>
    </row>
    <row r="113" spans="1:6" s="764" customFormat="1" ht="24">
      <c r="A113" s="768">
        <v>53</v>
      </c>
      <c r="B113" s="3546"/>
      <c r="C113" s="768" t="s">
        <v>686</v>
      </c>
      <c r="D113" s="682" t="s">
        <v>687</v>
      </c>
      <c r="E113" s="781">
        <v>0.2</v>
      </c>
      <c r="F113" s="768">
        <v>30</v>
      </c>
    </row>
    <row r="114" spans="1:6" ht="36">
      <c r="A114" s="768">
        <v>54</v>
      </c>
      <c r="B114" s="768" t="s">
        <v>688</v>
      </c>
      <c r="C114" s="768" t="s">
        <v>689</v>
      </c>
      <c r="D114" s="682" t="s">
        <v>690</v>
      </c>
      <c r="E114" s="781">
        <v>0.2</v>
      </c>
      <c r="F114" s="768">
        <v>30</v>
      </c>
    </row>
    <row r="115" spans="1:6" ht="24">
      <c r="A115" s="768">
        <v>55</v>
      </c>
      <c r="B115" s="768" t="s">
        <v>691</v>
      </c>
      <c r="C115" s="768" t="s">
        <v>692</v>
      </c>
      <c r="D115" s="682" t="s">
        <v>693</v>
      </c>
      <c r="E115" s="781">
        <v>0.2</v>
      </c>
      <c r="F115" s="768">
        <v>30</v>
      </c>
    </row>
    <row r="116" spans="1:6" ht="24">
      <c r="A116" s="768">
        <v>56</v>
      </c>
      <c r="B116" s="3546" t="s">
        <v>694</v>
      </c>
      <c r="C116" s="768" t="s">
        <v>695</v>
      </c>
      <c r="D116" s="682" t="s">
        <v>696</v>
      </c>
      <c r="E116" s="781">
        <v>0.2</v>
      </c>
      <c r="F116" s="768">
        <v>30</v>
      </c>
    </row>
    <row r="117" spans="1:6" ht="36">
      <c r="A117" s="768">
        <v>57</v>
      </c>
      <c r="B117" s="3546"/>
      <c r="C117" s="768" t="s">
        <v>697</v>
      </c>
      <c r="D117" s="682" t="s">
        <v>698</v>
      </c>
      <c r="E117" s="781">
        <v>0.2</v>
      </c>
      <c r="F117" s="768">
        <v>30</v>
      </c>
    </row>
    <row r="118" spans="1:6" ht="36">
      <c r="A118" s="768">
        <v>58</v>
      </c>
      <c r="B118" s="768" t="s">
        <v>699</v>
      </c>
      <c r="C118" s="768" t="s">
        <v>700</v>
      </c>
      <c r="D118" s="682" t="s">
        <v>701</v>
      </c>
      <c r="E118" s="781">
        <v>0.2</v>
      </c>
      <c r="F118" s="768">
        <v>30</v>
      </c>
    </row>
    <row r="119" spans="1:6" ht="13.5">
      <c r="A119" s="768"/>
      <c r="B119" s="768"/>
      <c r="C119" s="768" t="s">
        <v>702</v>
      </c>
      <c r="D119" s="768"/>
      <c r="E119" s="781" t="s">
        <v>512</v>
      </c>
      <c r="F119" s="768" t="s">
        <v>512</v>
      </c>
    </row>
  </sheetData>
  <sheetProtection sheet="1" objects="1" scenarios="1" formatCells="0" formatColumns="0" formatRows="0"/>
  <mergeCells count="15">
    <mergeCell ref="B111:B113"/>
    <mergeCell ref="B116:B117"/>
    <mergeCell ref="B99:B101"/>
    <mergeCell ref="B105:B106"/>
    <mergeCell ref="B107:B108"/>
    <mergeCell ref="A35:A39"/>
    <mergeCell ref="B36:B39"/>
    <mergeCell ref="B61:B75"/>
    <mergeCell ref="B76:B91"/>
    <mergeCell ref="B92:B98"/>
    <mergeCell ref="A18:A22"/>
    <mergeCell ref="B19:B22"/>
    <mergeCell ref="A23:A32"/>
    <mergeCell ref="B24:B32"/>
    <mergeCell ref="A33:A34"/>
  </mergeCells>
  <phoneticPr fontId="74" type="noConversion"/>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8"/>
  <sheetViews>
    <sheetView workbookViewId="0">
      <selection activeCell="O1" sqref="O1:AA1048576"/>
    </sheetView>
  </sheetViews>
  <sheetFormatPr defaultColWidth="9" defaultRowHeight="13.5"/>
  <cols>
    <col min="1" max="1" width="9" style="792"/>
    <col min="2" max="16384" width="9" style="784"/>
  </cols>
  <sheetData>
    <row r="1" spans="1:14" ht="14.25">
      <c r="A1" s="782" t="s">
        <v>704</v>
      </c>
      <c r="B1" s="783"/>
      <c r="C1" s="783"/>
      <c r="D1" s="783"/>
      <c r="E1" s="783"/>
      <c r="F1" s="783"/>
      <c r="G1" s="783"/>
      <c r="H1" s="783"/>
      <c r="I1" s="783"/>
      <c r="J1" s="783"/>
      <c r="K1" s="783"/>
      <c r="L1" s="783"/>
      <c r="M1" s="783"/>
      <c r="N1" s="783"/>
    </row>
    <row r="2" spans="1:14">
      <c r="A2" s="785" t="s">
        <v>703</v>
      </c>
      <c r="B2" s="786" t="s">
        <v>106</v>
      </c>
      <c r="C2" s="786" t="s">
        <v>107</v>
      </c>
      <c r="D2" s="786" t="s">
        <v>108</v>
      </c>
      <c r="E2" s="786" t="s">
        <v>109</v>
      </c>
      <c r="F2" s="786" t="s">
        <v>110</v>
      </c>
      <c r="G2" s="786" t="s">
        <v>111</v>
      </c>
      <c r="H2" s="787" t="s">
        <v>112</v>
      </c>
      <c r="I2" s="787" t="s">
        <v>113</v>
      </c>
      <c r="J2" s="788" t="s">
        <v>114</v>
      </c>
      <c r="K2" s="788" t="s">
        <v>115</v>
      </c>
      <c r="L2" s="788" t="s">
        <v>116</v>
      </c>
      <c r="M2" s="788" t="s">
        <v>117</v>
      </c>
    </row>
    <row r="3" spans="1:14">
      <c r="A3" s="785">
        <v>0.1</v>
      </c>
      <c r="B3" s="789">
        <v>15.052</v>
      </c>
      <c r="C3" s="789">
        <v>15.052</v>
      </c>
      <c r="D3" s="789">
        <v>14.263</v>
      </c>
      <c r="E3" s="789">
        <v>14.263</v>
      </c>
      <c r="F3" s="789">
        <v>14.263</v>
      </c>
      <c r="G3" s="789">
        <v>14.263</v>
      </c>
      <c r="H3" s="789">
        <v>14.263</v>
      </c>
      <c r="I3" s="789">
        <v>14.097</v>
      </c>
      <c r="J3" s="789">
        <v>14.097</v>
      </c>
      <c r="K3" s="789">
        <v>14.097</v>
      </c>
      <c r="L3" s="789">
        <v>14.097</v>
      </c>
      <c r="M3" s="789">
        <v>14.097</v>
      </c>
      <c r="N3" s="790"/>
    </row>
    <row r="4" spans="1:14">
      <c r="A4" s="785">
        <v>0.2</v>
      </c>
      <c r="B4" s="789">
        <v>7.5259999999999998</v>
      </c>
      <c r="C4" s="789">
        <v>7.5259999999999998</v>
      </c>
      <c r="D4" s="789">
        <v>7.1315</v>
      </c>
      <c r="E4" s="789">
        <v>7.1315</v>
      </c>
      <c r="F4" s="789">
        <v>7.1315</v>
      </c>
      <c r="G4" s="789">
        <v>7.1315</v>
      </c>
      <c r="H4" s="789">
        <v>7.1315</v>
      </c>
      <c r="I4" s="789">
        <v>7.0484999999999998</v>
      </c>
      <c r="J4" s="789">
        <v>7.0484999999999998</v>
      </c>
      <c r="K4" s="789">
        <v>7.0484999999999998</v>
      </c>
      <c r="L4" s="789">
        <v>7.0484999999999998</v>
      </c>
      <c r="M4" s="789">
        <v>7.0484999999999998</v>
      </c>
    </row>
    <row r="5" spans="1:14">
      <c r="A5" s="785">
        <v>0.3</v>
      </c>
      <c r="B5" s="789">
        <v>5.0172999999999996</v>
      </c>
      <c r="C5" s="789">
        <v>5.0172999999999996</v>
      </c>
      <c r="D5" s="789">
        <v>4.7542999999999997</v>
      </c>
      <c r="E5" s="789">
        <v>4.7542999999999997</v>
      </c>
      <c r="F5" s="789">
        <v>4.7542999999999997</v>
      </c>
      <c r="G5" s="789">
        <v>4.7542999999999997</v>
      </c>
      <c r="H5" s="789">
        <v>4.7542999999999997</v>
      </c>
      <c r="I5" s="789">
        <v>4.6989999999999998</v>
      </c>
      <c r="J5" s="789">
        <v>4.6989999999999998</v>
      </c>
      <c r="K5" s="789">
        <v>4.6989999999999998</v>
      </c>
      <c r="L5" s="789">
        <v>4.6989999999999998</v>
      </c>
      <c r="M5" s="789">
        <v>4.6989999999999998</v>
      </c>
    </row>
    <row r="6" spans="1:14">
      <c r="A6" s="785">
        <v>0.4</v>
      </c>
      <c r="B6" s="789">
        <v>3.7629999999999999</v>
      </c>
      <c r="C6" s="789">
        <v>3.7629999999999999</v>
      </c>
      <c r="D6" s="789">
        <v>3.5657999999999999</v>
      </c>
      <c r="E6" s="789">
        <v>3.5657999999999999</v>
      </c>
      <c r="F6" s="789">
        <v>3.5657999999999999</v>
      </c>
      <c r="G6" s="789">
        <v>3.5657999999999999</v>
      </c>
      <c r="H6" s="789">
        <v>3.5657999999999999</v>
      </c>
      <c r="I6" s="789">
        <v>3.5243000000000002</v>
      </c>
      <c r="J6" s="789">
        <v>3.5243000000000002</v>
      </c>
      <c r="K6" s="789">
        <v>3.5243000000000002</v>
      </c>
      <c r="L6" s="789">
        <v>3.5243000000000002</v>
      </c>
      <c r="M6" s="789">
        <v>3.5243000000000002</v>
      </c>
    </row>
    <row r="7" spans="1:14">
      <c r="A7" s="785">
        <v>0.5</v>
      </c>
      <c r="B7" s="789">
        <v>3.0104000000000002</v>
      </c>
      <c r="C7" s="789">
        <v>3.0104000000000002</v>
      </c>
      <c r="D7" s="789">
        <v>2.8525999999999998</v>
      </c>
      <c r="E7" s="789">
        <v>2.8525999999999998</v>
      </c>
      <c r="F7" s="789">
        <v>2.8525999999999998</v>
      </c>
      <c r="G7" s="789">
        <v>2.8525999999999998</v>
      </c>
      <c r="H7" s="789">
        <v>2.8525999999999998</v>
      </c>
      <c r="I7" s="789">
        <v>2.8193999999999999</v>
      </c>
      <c r="J7" s="789">
        <v>2.8193999999999999</v>
      </c>
      <c r="K7" s="789">
        <v>2.8193999999999999</v>
      </c>
      <c r="L7" s="789">
        <v>2.8193999999999999</v>
      </c>
      <c r="M7" s="789">
        <v>2.8193999999999999</v>
      </c>
    </row>
    <row r="8" spans="1:14">
      <c r="A8" s="785">
        <v>0.6</v>
      </c>
      <c r="B8" s="789">
        <v>2.5087000000000002</v>
      </c>
      <c r="C8" s="789">
        <v>2.5087000000000002</v>
      </c>
      <c r="D8" s="789">
        <v>2.3772000000000002</v>
      </c>
      <c r="E8" s="789">
        <v>2.3772000000000002</v>
      </c>
      <c r="F8" s="789">
        <v>2.3772000000000002</v>
      </c>
      <c r="G8" s="789">
        <v>2.3772000000000002</v>
      </c>
      <c r="H8" s="789">
        <v>2.3772000000000002</v>
      </c>
      <c r="I8" s="789">
        <v>2.3494999999999999</v>
      </c>
      <c r="J8" s="789">
        <v>2.3494999999999999</v>
      </c>
      <c r="K8" s="789">
        <v>2.3494999999999999</v>
      </c>
      <c r="L8" s="789">
        <v>2.3494999999999999</v>
      </c>
      <c r="M8" s="789">
        <v>2.3494999999999999</v>
      </c>
    </row>
    <row r="9" spans="1:14">
      <c r="A9" s="785">
        <v>0.7</v>
      </c>
      <c r="B9" s="789">
        <v>2.1503000000000001</v>
      </c>
      <c r="C9" s="789">
        <v>2.1503000000000001</v>
      </c>
      <c r="D9" s="789">
        <v>2.0375999999999999</v>
      </c>
      <c r="E9" s="789">
        <v>2.0375999999999999</v>
      </c>
      <c r="F9" s="789">
        <v>2.0375999999999999</v>
      </c>
      <c r="G9" s="789">
        <v>2.0375999999999999</v>
      </c>
      <c r="H9" s="789">
        <v>2.0375999999999999</v>
      </c>
      <c r="I9" s="789">
        <v>2.0139</v>
      </c>
      <c r="J9" s="789">
        <v>2.0139</v>
      </c>
      <c r="K9" s="789">
        <v>2.0139</v>
      </c>
      <c r="L9" s="789">
        <v>2.0139</v>
      </c>
      <c r="M9" s="789">
        <v>2.0139</v>
      </c>
    </row>
    <row r="10" spans="1:14">
      <c r="A10" s="785">
        <v>0.8</v>
      </c>
      <c r="B10" s="789">
        <v>1.8815</v>
      </c>
      <c r="C10" s="789">
        <v>1.8815</v>
      </c>
      <c r="D10" s="789">
        <v>1.7828999999999999</v>
      </c>
      <c r="E10" s="789">
        <v>1.7828999999999999</v>
      </c>
      <c r="F10" s="789">
        <v>1.7828999999999999</v>
      </c>
      <c r="G10" s="789">
        <v>1.7828999999999999</v>
      </c>
      <c r="H10" s="789">
        <v>1.7828999999999999</v>
      </c>
      <c r="I10" s="789">
        <v>1.7621</v>
      </c>
      <c r="J10" s="789">
        <v>1.7621</v>
      </c>
      <c r="K10" s="789">
        <v>1.7621</v>
      </c>
      <c r="L10" s="789">
        <v>1.7621</v>
      </c>
      <c r="M10" s="789">
        <v>1.7621</v>
      </c>
    </row>
    <row r="11" spans="1:14">
      <c r="A11" s="785">
        <v>0.9</v>
      </c>
      <c r="B11" s="789">
        <v>1.6724000000000001</v>
      </c>
      <c r="C11" s="789">
        <v>1.6724000000000001</v>
      </c>
      <c r="D11" s="789">
        <v>1.5848</v>
      </c>
      <c r="E11" s="789">
        <v>1.5848</v>
      </c>
      <c r="F11" s="789">
        <v>1.5848</v>
      </c>
      <c r="G11" s="789">
        <v>1.5848</v>
      </c>
      <c r="H11" s="789">
        <v>1.5848</v>
      </c>
      <c r="I11" s="789">
        <v>1.5663</v>
      </c>
      <c r="J11" s="789">
        <v>1.5663</v>
      </c>
      <c r="K11" s="789">
        <v>1.5663</v>
      </c>
      <c r="L11" s="789">
        <v>1.5663</v>
      </c>
      <c r="M11" s="789">
        <v>1.5663</v>
      </c>
    </row>
    <row r="12" spans="1:14">
      <c r="A12" s="785">
        <v>1</v>
      </c>
      <c r="B12" s="789">
        <v>1.5052000000000001</v>
      </c>
      <c r="C12" s="789">
        <v>1.5052000000000001</v>
      </c>
      <c r="D12" s="789">
        <v>1.4262999999999999</v>
      </c>
      <c r="E12" s="789">
        <v>1.4262999999999999</v>
      </c>
      <c r="F12" s="789">
        <v>1.4262999999999999</v>
      </c>
      <c r="G12" s="789">
        <v>1.4262999999999999</v>
      </c>
      <c r="H12" s="789">
        <v>1.4262999999999999</v>
      </c>
      <c r="I12" s="789">
        <v>1.4097</v>
      </c>
      <c r="J12" s="789">
        <v>1.4097</v>
      </c>
      <c r="K12" s="789">
        <v>1.4097</v>
      </c>
      <c r="L12" s="789">
        <v>1.4097</v>
      </c>
      <c r="M12" s="789">
        <v>1.4097</v>
      </c>
    </row>
    <row r="13" spans="1:14">
      <c r="A13" s="785">
        <v>1.1000000000000001</v>
      </c>
      <c r="B13" s="789">
        <v>1.4509000000000001</v>
      </c>
      <c r="C13" s="789">
        <v>1.4509000000000001</v>
      </c>
      <c r="D13" s="789">
        <v>1.3697999999999999</v>
      </c>
      <c r="E13" s="789">
        <v>1.3697999999999999</v>
      </c>
      <c r="F13" s="789">
        <v>1.3697999999999999</v>
      </c>
      <c r="G13" s="789">
        <v>1.3697999999999999</v>
      </c>
      <c r="H13" s="789">
        <v>1.3697999999999999</v>
      </c>
      <c r="I13" s="789">
        <v>1.343</v>
      </c>
      <c r="J13" s="789">
        <v>1.343</v>
      </c>
      <c r="K13" s="789">
        <v>1.343</v>
      </c>
      <c r="L13" s="789">
        <v>1.343</v>
      </c>
      <c r="M13" s="789">
        <v>1.343</v>
      </c>
    </row>
    <row r="14" spans="1:14">
      <c r="A14" s="785">
        <v>1.2</v>
      </c>
      <c r="B14" s="789">
        <v>1.4035</v>
      </c>
      <c r="C14" s="789">
        <v>1.4035</v>
      </c>
      <c r="D14" s="789">
        <v>1.3205</v>
      </c>
      <c r="E14" s="789">
        <v>1.3205</v>
      </c>
      <c r="F14" s="789">
        <v>1.3205</v>
      </c>
      <c r="G14" s="789">
        <v>1.3205</v>
      </c>
      <c r="H14" s="789">
        <v>1.3205</v>
      </c>
      <c r="I14" s="789">
        <v>1.2845</v>
      </c>
      <c r="J14" s="789">
        <v>1.2845</v>
      </c>
      <c r="K14" s="789">
        <v>1.2845</v>
      </c>
      <c r="L14" s="789">
        <v>1.2845</v>
      </c>
      <c r="M14" s="789">
        <v>1.2845</v>
      </c>
    </row>
    <row r="15" spans="1:14">
      <c r="A15" s="785">
        <v>1.3</v>
      </c>
      <c r="B15" s="789">
        <v>1.3622000000000001</v>
      </c>
      <c r="C15" s="789">
        <v>1.3622000000000001</v>
      </c>
      <c r="D15" s="789">
        <v>1.2775000000000001</v>
      </c>
      <c r="E15" s="789">
        <v>1.2775000000000001</v>
      </c>
      <c r="F15" s="789">
        <v>1.2775000000000001</v>
      </c>
      <c r="G15" s="789">
        <v>1.2775000000000001</v>
      </c>
      <c r="H15" s="789">
        <v>1.2775000000000001</v>
      </c>
      <c r="I15" s="789">
        <v>1.2332000000000001</v>
      </c>
      <c r="J15" s="789">
        <v>1.2332000000000001</v>
      </c>
      <c r="K15" s="789">
        <v>1.2332000000000001</v>
      </c>
      <c r="L15" s="789">
        <v>1.2332000000000001</v>
      </c>
      <c r="M15" s="789">
        <v>1.2332000000000001</v>
      </c>
    </row>
    <row r="16" spans="1:14">
      <c r="A16" s="785">
        <v>1.4</v>
      </c>
      <c r="B16" s="789">
        <v>1.3262</v>
      </c>
      <c r="C16" s="789">
        <v>1.3262</v>
      </c>
      <c r="D16" s="789">
        <v>1.2402</v>
      </c>
      <c r="E16" s="789">
        <v>1.2402</v>
      </c>
      <c r="F16" s="789">
        <v>1.2402</v>
      </c>
      <c r="G16" s="789">
        <v>1.2402</v>
      </c>
      <c r="H16" s="789">
        <v>1.2402</v>
      </c>
      <c r="I16" s="789">
        <v>1.1881999999999999</v>
      </c>
      <c r="J16" s="789">
        <v>1.1881999999999999</v>
      </c>
      <c r="K16" s="789">
        <v>1.1881999999999999</v>
      </c>
      <c r="L16" s="789">
        <v>1.1881999999999999</v>
      </c>
      <c r="M16" s="789">
        <v>1.1881999999999999</v>
      </c>
      <c r="N16" s="790"/>
    </row>
    <row r="17" spans="1:14">
      <c r="A17" s="785">
        <v>1.5</v>
      </c>
      <c r="B17" s="789">
        <v>1.2948</v>
      </c>
      <c r="C17" s="789">
        <v>1.2948</v>
      </c>
      <c r="D17" s="789">
        <v>1.2075</v>
      </c>
      <c r="E17" s="789">
        <v>1.2075</v>
      </c>
      <c r="F17" s="789">
        <v>1.2075</v>
      </c>
      <c r="G17" s="789">
        <v>1.2075</v>
      </c>
      <c r="H17" s="789">
        <v>1.2075</v>
      </c>
      <c r="I17" s="789">
        <v>1.1486000000000001</v>
      </c>
      <c r="J17" s="789">
        <v>1.1486000000000001</v>
      </c>
      <c r="K17" s="789">
        <v>1.1486000000000001</v>
      </c>
      <c r="L17" s="789">
        <v>1.1486000000000001</v>
      </c>
      <c r="M17" s="789">
        <v>1.1486000000000001</v>
      </c>
      <c r="N17" s="790"/>
    </row>
    <row r="18" spans="1:14">
      <c r="A18" s="785">
        <v>1.6</v>
      </c>
      <c r="B18" s="789">
        <v>1.2673000000000001</v>
      </c>
      <c r="C18" s="789">
        <v>1.2673000000000001</v>
      </c>
      <c r="D18" s="789">
        <v>1.1789000000000001</v>
      </c>
      <c r="E18" s="789">
        <v>1.1789000000000001</v>
      </c>
      <c r="F18" s="789">
        <v>1.1789000000000001</v>
      </c>
      <c r="G18" s="789">
        <v>1.1789000000000001</v>
      </c>
      <c r="H18" s="789">
        <v>1.1789000000000001</v>
      </c>
      <c r="I18" s="789">
        <v>1.1134999999999999</v>
      </c>
      <c r="J18" s="789">
        <v>1.1134999999999999</v>
      </c>
      <c r="K18" s="789">
        <v>1.1134999999999999</v>
      </c>
      <c r="L18" s="789">
        <v>1.1134999999999999</v>
      </c>
      <c r="M18" s="789">
        <v>1.1134999999999999</v>
      </c>
    </row>
    <row r="19" spans="1:14">
      <c r="A19" s="785">
        <v>1.7</v>
      </c>
      <c r="B19" s="789">
        <v>1.2428999999999999</v>
      </c>
      <c r="C19" s="789">
        <v>1.2428999999999999</v>
      </c>
      <c r="D19" s="789">
        <v>1.1534</v>
      </c>
      <c r="E19" s="789">
        <v>1.1534</v>
      </c>
      <c r="F19" s="789">
        <v>1.1534</v>
      </c>
      <c r="G19" s="789">
        <v>1.1534</v>
      </c>
      <c r="H19" s="789">
        <v>1.1534</v>
      </c>
      <c r="I19" s="789">
        <v>1.0820000000000001</v>
      </c>
      <c r="J19" s="789">
        <v>1.0820000000000001</v>
      </c>
      <c r="K19" s="789">
        <v>1.0820000000000001</v>
      </c>
      <c r="L19" s="789">
        <v>1.0820000000000001</v>
      </c>
      <c r="M19" s="789">
        <v>1.0820000000000001</v>
      </c>
    </row>
    <row r="20" spans="1:14">
      <c r="A20" s="785">
        <v>1.8</v>
      </c>
      <c r="B20" s="789">
        <v>1.2206999999999999</v>
      </c>
      <c r="C20" s="789">
        <v>1.2206999999999999</v>
      </c>
      <c r="D20" s="789">
        <v>1.1304000000000001</v>
      </c>
      <c r="E20" s="789">
        <v>1.1304000000000001</v>
      </c>
      <c r="F20" s="789">
        <v>1.1304000000000001</v>
      </c>
      <c r="G20" s="789">
        <v>1.1304000000000001</v>
      </c>
      <c r="H20" s="789">
        <v>1.1304000000000001</v>
      </c>
      <c r="I20" s="789">
        <v>1.0531999999999999</v>
      </c>
      <c r="J20" s="789">
        <v>1.0531999999999999</v>
      </c>
      <c r="K20" s="789">
        <v>1.0531999999999999</v>
      </c>
      <c r="L20" s="789">
        <v>1.0531999999999999</v>
      </c>
      <c r="M20" s="789">
        <v>1.0531999999999999</v>
      </c>
    </row>
    <row r="21" spans="1:14">
      <c r="A21" s="785">
        <v>1.9</v>
      </c>
      <c r="B21" s="789">
        <v>1.2</v>
      </c>
      <c r="C21" s="789">
        <v>1.2</v>
      </c>
      <c r="D21" s="789">
        <v>1.1089</v>
      </c>
      <c r="E21" s="789">
        <v>1.1089</v>
      </c>
      <c r="F21" s="789">
        <v>1.1089</v>
      </c>
      <c r="G21" s="789">
        <v>1.1089</v>
      </c>
      <c r="H21" s="789">
        <v>1.1089</v>
      </c>
      <c r="I21" s="789">
        <v>1.0261</v>
      </c>
      <c r="J21" s="789">
        <v>1.0261</v>
      </c>
      <c r="K21" s="789">
        <v>1.0261</v>
      </c>
      <c r="L21" s="789">
        <v>1.0261</v>
      </c>
      <c r="M21" s="789">
        <v>1.0261</v>
      </c>
    </row>
    <row r="22" spans="1:14">
      <c r="A22" s="785">
        <v>2</v>
      </c>
      <c r="B22" s="789">
        <v>1.1800999999999999</v>
      </c>
      <c r="C22" s="789">
        <v>1.1800999999999999</v>
      </c>
      <c r="D22" s="789">
        <v>1.0883</v>
      </c>
      <c r="E22" s="789">
        <v>1.0883</v>
      </c>
      <c r="F22" s="789">
        <v>1.0883</v>
      </c>
      <c r="G22" s="789">
        <v>1.0883</v>
      </c>
      <c r="H22" s="789">
        <v>1.0883</v>
      </c>
      <c r="I22" s="789">
        <v>1</v>
      </c>
      <c r="J22" s="789">
        <v>1</v>
      </c>
      <c r="K22" s="789">
        <v>1</v>
      </c>
      <c r="L22" s="789">
        <v>1</v>
      </c>
      <c r="M22" s="789">
        <v>1</v>
      </c>
    </row>
    <row r="23" spans="1:14">
      <c r="A23" s="791">
        <v>2.1</v>
      </c>
      <c r="B23" s="789">
        <v>1.1616</v>
      </c>
      <c r="C23" s="789">
        <v>1.1616</v>
      </c>
      <c r="D23" s="789">
        <v>1.0685</v>
      </c>
      <c r="E23" s="789">
        <v>1.0685</v>
      </c>
      <c r="F23" s="789">
        <v>1.0685</v>
      </c>
      <c r="G23" s="789">
        <v>1.0685</v>
      </c>
      <c r="H23" s="789">
        <v>1.0685</v>
      </c>
      <c r="I23" s="789">
        <v>0.97550000000000003</v>
      </c>
      <c r="J23" s="789">
        <v>0.97550000000000003</v>
      </c>
      <c r="K23" s="789">
        <v>0.97550000000000003</v>
      </c>
      <c r="L23" s="789">
        <v>0.97550000000000003</v>
      </c>
      <c r="M23" s="789">
        <v>0.97550000000000003</v>
      </c>
    </row>
    <row r="24" spans="1:14">
      <c r="A24" s="791">
        <v>2.2000000000000002</v>
      </c>
      <c r="B24" s="789">
        <v>1.1440999999999999</v>
      </c>
      <c r="C24" s="789">
        <v>1.1440999999999999</v>
      </c>
      <c r="D24" s="789">
        <v>1.0497000000000001</v>
      </c>
      <c r="E24" s="789">
        <v>1.0497000000000001</v>
      </c>
      <c r="F24" s="789">
        <v>1.0497000000000001</v>
      </c>
      <c r="G24" s="789">
        <v>1.0497000000000001</v>
      </c>
      <c r="H24" s="789">
        <v>1.0497000000000001</v>
      </c>
      <c r="I24" s="789">
        <v>0.95230000000000004</v>
      </c>
      <c r="J24" s="789">
        <v>0.95230000000000004</v>
      </c>
      <c r="K24" s="789">
        <v>0.95230000000000004</v>
      </c>
      <c r="L24" s="789">
        <v>0.95230000000000004</v>
      </c>
      <c r="M24" s="789">
        <v>0.95230000000000004</v>
      </c>
    </row>
    <row r="25" spans="1:14">
      <c r="A25" s="791">
        <v>2.2999999999999998</v>
      </c>
      <c r="B25" s="789">
        <v>1.1275999999999999</v>
      </c>
      <c r="C25" s="789">
        <v>1.1275999999999999</v>
      </c>
      <c r="D25" s="789">
        <v>1.032</v>
      </c>
      <c r="E25" s="789">
        <v>1.032</v>
      </c>
      <c r="F25" s="789">
        <v>1.032</v>
      </c>
      <c r="G25" s="789">
        <v>1.032</v>
      </c>
      <c r="H25" s="789">
        <v>1.032</v>
      </c>
      <c r="I25" s="789">
        <v>0.9304</v>
      </c>
      <c r="J25" s="789">
        <v>0.9304</v>
      </c>
      <c r="K25" s="789">
        <v>0.9304</v>
      </c>
      <c r="L25" s="789">
        <v>0.9304</v>
      </c>
      <c r="M25" s="789">
        <v>0.9304</v>
      </c>
    </row>
    <row r="26" spans="1:14">
      <c r="A26" s="791">
        <v>2.4</v>
      </c>
      <c r="B26" s="789">
        <v>1.1121000000000001</v>
      </c>
      <c r="C26" s="789">
        <v>1.1121000000000001</v>
      </c>
      <c r="D26" s="789">
        <v>1.0155000000000001</v>
      </c>
      <c r="E26" s="789">
        <v>1.0155000000000001</v>
      </c>
      <c r="F26" s="789">
        <v>1.0155000000000001</v>
      </c>
      <c r="G26" s="789">
        <v>1.0155000000000001</v>
      </c>
      <c r="H26" s="789">
        <v>1.0155000000000001</v>
      </c>
      <c r="I26" s="789">
        <v>0.91</v>
      </c>
      <c r="J26" s="789">
        <v>0.91</v>
      </c>
      <c r="K26" s="789">
        <v>0.91</v>
      </c>
      <c r="L26" s="789">
        <v>0.91</v>
      </c>
      <c r="M26" s="789">
        <v>0.91</v>
      </c>
    </row>
    <row r="27" spans="1:14">
      <c r="A27" s="791">
        <v>2.5</v>
      </c>
      <c r="B27" s="789">
        <v>1.0975999999999999</v>
      </c>
      <c r="C27" s="789">
        <v>1.0975999999999999</v>
      </c>
      <c r="D27" s="789">
        <v>1</v>
      </c>
      <c r="E27" s="789">
        <v>1</v>
      </c>
      <c r="F27" s="789">
        <v>1</v>
      </c>
      <c r="G27" s="789">
        <v>1</v>
      </c>
      <c r="H27" s="789">
        <v>1</v>
      </c>
      <c r="I27" s="789">
        <v>0.89080000000000004</v>
      </c>
      <c r="J27" s="789">
        <v>0.89080000000000004</v>
      </c>
      <c r="K27" s="789">
        <v>0.89080000000000004</v>
      </c>
      <c r="L27" s="789">
        <v>0.89080000000000004</v>
      </c>
      <c r="M27" s="789">
        <v>0.89080000000000004</v>
      </c>
    </row>
    <row r="28" spans="1:14">
      <c r="A28" s="791">
        <v>2.6</v>
      </c>
      <c r="B28" s="789">
        <v>1.0841000000000001</v>
      </c>
      <c r="C28" s="789">
        <v>1.0841000000000001</v>
      </c>
      <c r="D28" s="789">
        <v>0.98619999999999997</v>
      </c>
      <c r="E28" s="789">
        <v>0.98619999999999997</v>
      </c>
      <c r="F28" s="789">
        <v>0.98619999999999997</v>
      </c>
      <c r="G28" s="789">
        <v>0.98619999999999997</v>
      </c>
      <c r="H28" s="789">
        <v>0.98619999999999997</v>
      </c>
      <c r="I28" s="789">
        <v>0.873</v>
      </c>
      <c r="J28" s="789">
        <v>0.873</v>
      </c>
      <c r="K28" s="789">
        <v>0.873</v>
      </c>
      <c r="L28" s="789">
        <v>0.873</v>
      </c>
      <c r="M28" s="789">
        <v>0.873</v>
      </c>
    </row>
    <row r="29" spans="1:14">
      <c r="A29" s="791">
        <v>2.7</v>
      </c>
      <c r="B29" s="789">
        <v>1.0716000000000001</v>
      </c>
      <c r="C29" s="789">
        <v>1.0716000000000001</v>
      </c>
      <c r="D29" s="789">
        <v>0.97330000000000005</v>
      </c>
      <c r="E29" s="789">
        <v>0.97330000000000005</v>
      </c>
      <c r="F29" s="789">
        <v>0.97330000000000005</v>
      </c>
      <c r="G29" s="789">
        <v>0.97330000000000005</v>
      </c>
      <c r="H29" s="789">
        <v>0.97330000000000005</v>
      </c>
      <c r="I29" s="789">
        <v>0.85670000000000002</v>
      </c>
      <c r="J29" s="789">
        <v>0.85670000000000002</v>
      </c>
      <c r="K29" s="789">
        <v>0.85670000000000002</v>
      </c>
      <c r="L29" s="789">
        <v>0.85670000000000002</v>
      </c>
      <c r="M29" s="789">
        <v>0.85670000000000002</v>
      </c>
    </row>
    <row r="30" spans="1:14">
      <c r="A30" s="791">
        <v>2.8</v>
      </c>
      <c r="B30" s="789">
        <v>1.0602</v>
      </c>
      <c r="C30" s="789">
        <v>1.0602</v>
      </c>
      <c r="D30" s="789">
        <v>0.96160000000000001</v>
      </c>
      <c r="E30" s="789">
        <v>0.96160000000000001</v>
      </c>
      <c r="F30" s="789">
        <v>0.96160000000000001</v>
      </c>
      <c r="G30" s="789">
        <v>0.96160000000000001</v>
      </c>
      <c r="H30" s="789">
        <v>0.96160000000000001</v>
      </c>
      <c r="I30" s="789">
        <v>0.8417</v>
      </c>
      <c r="J30" s="789">
        <v>0.8417</v>
      </c>
      <c r="K30" s="789">
        <v>0.8417</v>
      </c>
      <c r="L30" s="789">
        <v>0.8417</v>
      </c>
      <c r="M30" s="789">
        <v>0.8417</v>
      </c>
    </row>
    <row r="31" spans="1:14">
      <c r="A31" s="791">
        <v>2.9</v>
      </c>
      <c r="B31" s="789">
        <v>1.0497000000000001</v>
      </c>
      <c r="C31" s="789">
        <v>1.0497000000000001</v>
      </c>
      <c r="D31" s="789">
        <v>0.95089999999999997</v>
      </c>
      <c r="E31" s="789">
        <v>0.95089999999999997</v>
      </c>
      <c r="F31" s="789">
        <v>0.95089999999999997</v>
      </c>
      <c r="G31" s="789">
        <v>0.95089999999999997</v>
      </c>
      <c r="H31" s="789">
        <v>0.95089999999999997</v>
      </c>
      <c r="I31" s="789">
        <v>0.82809999999999995</v>
      </c>
      <c r="J31" s="789">
        <v>0.82809999999999995</v>
      </c>
      <c r="K31" s="789">
        <v>0.82809999999999995</v>
      </c>
      <c r="L31" s="789">
        <v>0.82809999999999995</v>
      </c>
      <c r="M31" s="789">
        <v>0.82809999999999995</v>
      </c>
    </row>
    <row r="32" spans="1:14">
      <c r="A32" s="791">
        <v>3</v>
      </c>
      <c r="B32" s="789">
        <v>1.0401</v>
      </c>
      <c r="C32" s="789">
        <v>1.0401</v>
      </c>
      <c r="D32" s="789">
        <v>0.94089999999999996</v>
      </c>
      <c r="E32" s="789">
        <v>0.94089999999999996</v>
      </c>
      <c r="F32" s="789">
        <v>0.94089999999999996</v>
      </c>
      <c r="G32" s="789">
        <v>0.94089999999999996</v>
      </c>
      <c r="H32" s="789">
        <v>0.94089999999999996</v>
      </c>
      <c r="I32" s="789">
        <v>0.81579999999999997</v>
      </c>
      <c r="J32" s="789">
        <v>0.81579999999999997</v>
      </c>
      <c r="K32" s="789">
        <v>0.81579999999999997</v>
      </c>
      <c r="L32" s="789">
        <v>0.81579999999999997</v>
      </c>
      <c r="M32" s="789">
        <v>0.81579999999999997</v>
      </c>
    </row>
    <row r="33" spans="1:13">
      <c r="A33" s="791">
        <v>3.1</v>
      </c>
      <c r="B33" s="789">
        <v>1.0314000000000001</v>
      </c>
      <c r="C33" s="789">
        <v>1.0314000000000001</v>
      </c>
      <c r="D33" s="789">
        <v>0.93169999999999997</v>
      </c>
      <c r="E33" s="789">
        <v>0.93169999999999997</v>
      </c>
      <c r="F33" s="789">
        <v>0.93169999999999997</v>
      </c>
      <c r="G33" s="789">
        <v>0.93169999999999997</v>
      </c>
      <c r="H33" s="789">
        <v>0.93169999999999997</v>
      </c>
      <c r="I33" s="789">
        <v>0.80410000000000004</v>
      </c>
      <c r="J33" s="789">
        <v>0.80410000000000004</v>
      </c>
      <c r="K33" s="789">
        <v>0.80410000000000004</v>
      </c>
      <c r="L33" s="789">
        <v>0.80410000000000004</v>
      </c>
      <c r="M33" s="789">
        <v>0.80410000000000004</v>
      </c>
    </row>
    <row r="34" spans="1:13">
      <c r="A34" s="791">
        <v>3.2</v>
      </c>
      <c r="B34" s="789">
        <v>1.0229999999999999</v>
      </c>
      <c r="C34" s="789">
        <v>1.0229999999999999</v>
      </c>
      <c r="D34" s="789">
        <v>0.92279999999999995</v>
      </c>
      <c r="E34" s="789">
        <v>0.92279999999999995</v>
      </c>
      <c r="F34" s="789">
        <v>0.92279999999999995</v>
      </c>
      <c r="G34" s="789">
        <v>0.92279999999999995</v>
      </c>
      <c r="H34" s="789">
        <v>0.92279999999999995</v>
      </c>
      <c r="I34" s="789">
        <v>0.79300000000000004</v>
      </c>
      <c r="J34" s="789">
        <v>0.79300000000000004</v>
      </c>
      <c r="K34" s="789">
        <v>0.79300000000000004</v>
      </c>
      <c r="L34" s="789">
        <v>0.79300000000000004</v>
      </c>
      <c r="M34" s="789">
        <v>0.79300000000000004</v>
      </c>
    </row>
    <row r="35" spans="1:13">
      <c r="A35" s="791">
        <v>3.3</v>
      </c>
      <c r="B35" s="789">
        <v>1.0149999999999999</v>
      </c>
      <c r="C35" s="789">
        <v>1.0149999999999999</v>
      </c>
      <c r="D35" s="789">
        <v>0.91439999999999999</v>
      </c>
      <c r="E35" s="789">
        <v>0.91439999999999999</v>
      </c>
      <c r="F35" s="789">
        <v>0.91439999999999999</v>
      </c>
      <c r="G35" s="789">
        <v>0.91439999999999999</v>
      </c>
      <c r="H35" s="789">
        <v>0.91439999999999999</v>
      </c>
      <c r="I35" s="789">
        <v>0.78220000000000001</v>
      </c>
      <c r="J35" s="789">
        <v>0.78220000000000001</v>
      </c>
      <c r="K35" s="789">
        <v>0.78220000000000001</v>
      </c>
      <c r="L35" s="789">
        <v>0.78220000000000001</v>
      </c>
      <c r="M35" s="789">
        <v>0.78220000000000001</v>
      </c>
    </row>
    <row r="36" spans="1:13">
      <c r="A36" s="791">
        <v>3.4</v>
      </c>
      <c r="B36" s="789">
        <v>1.0073000000000001</v>
      </c>
      <c r="C36" s="789">
        <v>1.0073000000000001</v>
      </c>
      <c r="D36" s="789">
        <v>0.90629999999999999</v>
      </c>
      <c r="E36" s="789">
        <v>0.90629999999999999</v>
      </c>
      <c r="F36" s="789">
        <v>0.90629999999999999</v>
      </c>
      <c r="G36" s="789">
        <v>0.90629999999999999</v>
      </c>
      <c r="H36" s="789">
        <v>0.90629999999999999</v>
      </c>
      <c r="I36" s="789">
        <v>0.77210000000000001</v>
      </c>
      <c r="J36" s="789">
        <v>0.77210000000000001</v>
      </c>
      <c r="K36" s="789">
        <v>0.77210000000000001</v>
      </c>
      <c r="L36" s="789">
        <v>0.77210000000000001</v>
      </c>
      <c r="M36" s="789">
        <v>0.77210000000000001</v>
      </c>
    </row>
    <row r="37" spans="1:13">
      <c r="A37" s="791">
        <v>3.5</v>
      </c>
      <c r="B37" s="789">
        <v>1</v>
      </c>
      <c r="C37" s="789">
        <v>1</v>
      </c>
      <c r="D37" s="789">
        <v>0.89870000000000005</v>
      </c>
      <c r="E37" s="789">
        <v>0.89870000000000005</v>
      </c>
      <c r="F37" s="789">
        <v>0.89870000000000005</v>
      </c>
      <c r="G37" s="789">
        <v>0.89870000000000005</v>
      </c>
      <c r="H37" s="789">
        <v>0.89870000000000005</v>
      </c>
      <c r="I37" s="789">
        <v>0.76239999999999997</v>
      </c>
      <c r="J37" s="789">
        <v>0.76239999999999997</v>
      </c>
      <c r="K37" s="789">
        <v>0.76239999999999997</v>
      </c>
      <c r="L37" s="789">
        <v>0.76239999999999997</v>
      </c>
      <c r="M37" s="789">
        <v>0.76239999999999997</v>
      </c>
    </row>
    <row r="38" spans="1:13">
      <c r="A38" s="791">
        <v>3.6</v>
      </c>
      <c r="B38" s="789">
        <v>0.99329999999999996</v>
      </c>
      <c r="C38" s="789">
        <v>0.99329999999999996</v>
      </c>
      <c r="D38" s="789">
        <v>0.89139999999999997</v>
      </c>
      <c r="E38" s="789">
        <v>0.89139999999999997</v>
      </c>
      <c r="F38" s="789">
        <v>0.89139999999999997</v>
      </c>
      <c r="G38" s="789">
        <v>0.89139999999999997</v>
      </c>
      <c r="H38" s="789">
        <v>0.89139999999999997</v>
      </c>
      <c r="I38" s="789">
        <v>0.75319999999999998</v>
      </c>
      <c r="J38" s="789">
        <v>0.75319999999999998</v>
      </c>
      <c r="K38" s="789">
        <v>0.75319999999999998</v>
      </c>
      <c r="L38" s="789">
        <v>0.75319999999999998</v>
      </c>
      <c r="M38" s="789">
        <v>0.75319999999999998</v>
      </c>
    </row>
    <row r="39" spans="1:13">
      <c r="A39" s="791">
        <v>3.7</v>
      </c>
      <c r="B39" s="789">
        <v>0.9869</v>
      </c>
      <c r="C39" s="789">
        <v>0.9869</v>
      </c>
      <c r="D39" s="789">
        <v>0.88449999999999995</v>
      </c>
      <c r="E39" s="789">
        <v>0.88449999999999995</v>
      </c>
      <c r="F39" s="789">
        <v>0.88449999999999995</v>
      </c>
      <c r="G39" s="789">
        <v>0.88449999999999995</v>
      </c>
      <c r="H39" s="789">
        <v>0.88449999999999995</v>
      </c>
      <c r="I39" s="789">
        <v>0.74460000000000004</v>
      </c>
      <c r="J39" s="789">
        <v>0.74460000000000004</v>
      </c>
      <c r="K39" s="789">
        <v>0.74460000000000004</v>
      </c>
      <c r="L39" s="789">
        <v>0.74460000000000004</v>
      </c>
      <c r="M39" s="789">
        <v>0.74460000000000004</v>
      </c>
    </row>
    <row r="40" spans="1:13">
      <c r="A40" s="791">
        <v>3.8</v>
      </c>
      <c r="B40" s="789">
        <v>0.98080000000000001</v>
      </c>
      <c r="C40" s="789">
        <v>0.98080000000000001</v>
      </c>
      <c r="D40" s="789">
        <v>0.87809999999999999</v>
      </c>
      <c r="E40" s="789">
        <v>0.87809999999999999</v>
      </c>
      <c r="F40" s="789">
        <v>0.87809999999999999</v>
      </c>
      <c r="G40" s="789">
        <v>0.87809999999999999</v>
      </c>
      <c r="H40" s="789">
        <v>0.87809999999999999</v>
      </c>
      <c r="I40" s="789">
        <v>0.73640000000000005</v>
      </c>
      <c r="J40" s="789">
        <v>0.73640000000000005</v>
      </c>
      <c r="K40" s="789">
        <v>0.73640000000000005</v>
      </c>
      <c r="L40" s="789">
        <v>0.73640000000000005</v>
      </c>
      <c r="M40" s="789">
        <v>0.73640000000000005</v>
      </c>
    </row>
    <row r="41" spans="1:13">
      <c r="A41" s="791">
        <v>3.9</v>
      </c>
      <c r="B41" s="789">
        <v>0.97509999999999997</v>
      </c>
      <c r="C41" s="789">
        <v>0.97509999999999997</v>
      </c>
      <c r="D41" s="789">
        <v>0.87209999999999999</v>
      </c>
      <c r="E41" s="789">
        <v>0.87209999999999999</v>
      </c>
      <c r="F41" s="789">
        <v>0.87209999999999999</v>
      </c>
      <c r="G41" s="789">
        <v>0.87209999999999999</v>
      </c>
      <c r="H41" s="789">
        <v>0.87209999999999999</v>
      </c>
      <c r="I41" s="789">
        <v>0.7288</v>
      </c>
      <c r="J41" s="789">
        <v>0.7288</v>
      </c>
      <c r="K41" s="789">
        <v>0.7288</v>
      </c>
      <c r="L41" s="789">
        <v>0.7288</v>
      </c>
      <c r="M41" s="789">
        <v>0.7288</v>
      </c>
    </row>
    <row r="42" spans="1:13">
      <c r="A42" s="791">
        <v>4</v>
      </c>
      <c r="B42" s="789">
        <v>0.96989999999999998</v>
      </c>
      <c r="C42" s="789">
        <v>0.96989999999999998</v>
      </c>
      <c r="D42" s="789">
        <v>0.86650000000000005</v>
      </c>
      <c r="E42" s="789">
        <v>0.86650000000000005</v>
      </c>
      <c r="F42" s="789">
        <v>0.86650000000000005</v>
      </c>
      <c r="G42" s="789">
        <v>0.86650000000000005</v>
      </c>
      <c r="H42" s="789">
        <v>0.86650000000000005</v>
      </c>
      <c r="I42" s="789">
        <v>0.7218</v>
      </c>
      <c r="J42" s="789">
        <v>0.7218</v>
      </c>
      <c r="K42" s="789">
        <v>0.7218</v>
      </c>
      <c r="L42" s="789">
        <v>0.7218</v>
      </c>
      <c r="M42" s="789">
        <v>0.7218</v>
      </c>
    </row>
    <row r="43" spans="1:13">
      <c r="A43" s="791">
        <v>4.0999999999999996</v>
      </c>
      <c r="B43" s="789">
        <v>0.96479999999999999</v>
      </c>
      <c r="C43" s="789">
        <v>0.96479999999999999</v>
      </c>
      <c r="D43" s="789">
        <v>0.86109999999999998</v>
      </c>
      <c r="E43" s="789">
        <v>0.86109999999999998</v>
      </c>
      <c r="F43" s="789">
        <v>0.86109999999999998</v>
      </c>
      <c r="G43" s="789">
        <v>0.86109999999999998</v>
      </c>
      <c r="H43" s="789">
        <v>0.86109999999999998</v>
      </c>
      <c r="I43" s="789">
        <v>0.71499999999999997</v>
      </c>
      <c r="J43" s="789">
        <v>0.71499999999999997</v>
      </c>
      <c r="K43" s="789">
        <v>0.71499999999999997</v>
      </c>
      <c r="L43" s="789">
        <v>0.71499999999999997</v>
      </c>
      <c r="M43" s="789">
        <v>0.71499999999999997</v>
      </c>
    </row>
    <row r="44" spans="1:13">
      <c r="A44" s="791">
        <v>4.2</v>
      </c>
      <c r="B44" s="789">
        <v>0.96</v>
      </c>
      <c r="C44" s="789">
        <v>0.96</v>
      </c>
      <c r="D44" s="789">
        <v>0.85599999999999998</v>
      </c>
      <c r="E44" s="789">
        <v>0.85599999999999998</v>
      </c>
      <c r="F44" s="789">
        <v>0.85599999999999998</v>
      </c>
      <c r="G44" s="789">
        <v>0.85599999999999998</v>
      </c>
      <c r="H44" s="789">
        <v>0.85599999999999998</v>
      </c>
      <c r="I44" s="789">
        <v>0.70840000000000003</v>
      </c>
      <c r="J44" s="789">
        <v>0.70840000000000003</v>
      </c>
      <c r="K44" s="789">
        <v>0.70840000000000003</v>
      </c>
      <c r="L44" s="789">
        <v>0.70840000000000003</v>
      </c>
      <c r="M44" s="789">
        <v>0.70840000000000003</v>
      </c>
    </row>
    <row r="45" spans="1:13">
      <c r="A45" s="791">
        <v>4.3</v>
      </c>
      <c r="B45" s="789">
        <v>0.95530000000000004</v>
      </c>
      <c r="C45" s="789">
        <v>0.95530000000000004</v>
      </c>
      <c r="D45" s="789">
        <v>0.85099999999999998</v>
      </c>
      <c r="E45" s="789">
        <v>0.85099999999999998</v>
      </c>
      <c r="F45" s="789">
        <v>0.85099999999999998</v>
      </c>
      <c r="G45" s="789">
        <v>0.85099999999999998</v>
      </c>
      <c r="H45" s="789">
        <v>0.85099999999999998</v>
      </c>
      <c r="I45" s="789">
        <v>0.70199999999999996</v>
      </c>
      <c r="J45" s="789">
        <v>0.70199999999999996</v>
      </c>
      <c r="K45" s="789">
        <v>0.70199999999999996</v>
      </c>
      <c r="L45" s="789">
        <v>0.70199999999999996</v>
      </c>
      <c r="M45" s="789">
        <v>0.70199999999999996</v>
      </c>
    </row>
    <row r="46" spans="1:13">
      <c r="A46" s="791">
        <v>4.4000000000000004</v>
      </c>
      <c r="B46" s="789">
        <v>0.95079999999999998</v>
      </c>
      <c r="C46" s="789">
        <v>0.95079999999999998</v>
      </c>
      <c r="D46" s="789">
        <v>0.84619999999999995</v>
      </c>
      <c r="E46" s="789">
        <v>0.84619999999999995</v>
      </c>
      <c r="F46" s="789">
        <v>0.84619999999999995</v>
      </c>
      <c r="G46" s="789">
        <v>0.84619999999999995</v>
      </c>
      <c r="H46" s="789">
        <v>0.84619999999999995</v>
      </c>
      <c r="I46" s="789">
        <v>0.69579999999999997</v>
      </c>
      <c r="J46" s="789">
        <v>0.69579999999999997</v>
      </c>
      <c r="K46" s="789">
        <v>0.69579999999999997</v>
      </c>
      <c r="L46" s="789">
        <v>0.69579999999999997</v>
      </c>
      <c r="M46" s="789">
        <v>0.69579999999999997</v>
      </c>
    </row>
    <row r="47" spans="1:13">
      <c r="A47" s="791">
        <v>4.5</v>
      </c>
      <c r="B47" s="789">
        <v>0.94640000000000002</v>
      </c>
      <c r="C47" s="789">
        <v>0.94640000000000002</v>
      </c>
      <c r="D47" s="789">
        <v>0.84150000000000003</v>
      </c>
      <c r="E47" s="789">
        <v>0.84150000000000003</v>
      </c>
      <c r="F47" s="789">
        <v>0.84150000000000003</v>
      </c>
      <c r="G47" s="789">
        <v>0.84150000000000003</v>
      </c>
      <c r="H47" s="789">
        <v>0.84150000000000003</v>
      </c>
      <c r="I47" s="789">
        <v>0.68989999999999996</v>
      </c>
      <c r="J47" s="789">
        <v>0.68989999999999996</v>
      </c>
      <c r="K47" s="789">
        <v>0.68989999999999996</v>
      </c>
      <c r="L47" s="789">
        <v>0.68989999999999996</v>
      </c>
      <c r="M47" s="789">
        <v>0.68989999999999996</v>
      </c>
    </row>
    <row r="48" spans="1:13">
      <c r="A48" s="791">
        <v>4.5999999999999996</v>
      </c>
      <c r="B48" s="789">
        <v>0.94230000000000003</v>
      </c>
      <c r="C48" s="789">
        <v>0.94230000000000003</v>
      </c>
      <c r="D48" s="789">
        <v>0.83709999999999996</v>
      </c>
      <c r="E48" s="789">
        <v>0.83709999999999996</v>
      </c>
      <c r="F48" s="789">
        <v>0.83709999999999996</v>
      </c>
      <c r="G48" s="789">
        <v>0.83709999999999996</v>
      </c>
      <c r="H48" s="789">
        <v>0.83709999999999996</v>
      </c>
      <c r="I48" s="789">
        <v>0.68430000000000002</v>
      </c>
      <c r="J48" s="789">
        <v>0.68430000000000002</v>
      </c>
      <c r="K48" s="789">
        <v>0.68430000000000002</v>
      </c>
      <c r="L48" s="789">
        <v>0.68430000000000002</v>
      </c>
      <c r="M48" s="789">
        <v>0.68430000000000002</v>
      </c>
    </row>
    <row r="49" spans="1:13">
      <c r="A49" s="791">
        <v>4.7</v>
      </c>
      <c r="B49" s="789">
        <v>0.93830000000000002</v>
      </c>
      <c r="C49" s="789">
        <v>0.93830000000000002</v>
      </c>
      <c r="D49" s="789">
        <v>0.83279999999999998</v>
      </c>
      <c r="E49" s="789">
        <v>0.83279999999999998</v>
      </c>
      <c r="F49" s="789">
        <v>0.83279999999999998</v>
      </c>
      <c r="G49" s="789">
        <v>0.83279999999999998</v>
      </c>
      <c r="H49" s="789">
        <v>0.83279999999999998</v>
      </c>
      <c r="I49" s="789">
        <v>0.67879999999999996</v>
      </c>
      <c r="J49" s="789">
        <v>0.67879999999999996</v>
      </c>
      <c r="K49" s="789">
        <v>0.67879999999999996</v>
      </c>
      <c r="L49" s="789">
        <v>0.67879999999999996</v>
      </c>
      <c r="M49" s="789">
        <v>0.67879999999999996</v>
      </c>
    </row>
    <row r="50" spans="1:13">
      <c r="A50" s="791">
        <v>4.8</v>
      </c>
      <c r="B50" s="789">
        <v>0.9345</v>
      </c>
      <c r="C50" s="789">
        <v>0.9345</v>
      </c>
      <c r="D50" s="789">
        <v>0.82869999999999999</v>
      </c>
      <c r="E50" s="789">
        <v>0.82869999999999999</v>
      </c>
      <c r="F50" s="789">
        <v>0.82869999999999999</v>
      </c>
      <c r="G50" s="789">
        <v>0.82869999999999999</v>
      </c>
      <c r="H50" s="789">
        <v>0.82869999999999999</v>
      </c>
      <c r="I50" s="789">
        <v>0.67359999999999998</v>
      </c>
      <c r="J50" s="789">
        <v>0.67359999999999998</v>
      </c>
      <c r="K50" s="789">
        <v>0.67359999999999998</v>
      </c>
      <c r="L50" s="789">
        <v>0.67359999999999998</v>
      </c>
      <c r="M50" s="789">
        <v>0.67359999999999998</v>
      </c>
    </row>
    <row r="51" spans="1:13">
      <c r="A51" s="791">
        <v>4.9000000000000004</v>
      </c>
      <c r="B51" s="789">
        <v>0.93079999999999996</v>
      </c>
      <c r="C51" s="789">
        <v>0.93079999999999996</v>
      </c>
      <c r="D51" s="789">
        <v>0.82479999999999998</v>
      </c>
      <c r="E51" s="789">
        <v>0.82479999999999998</v>
      </c>
      <c r="F51" s="789">
        <v>0.82479999999999998</v>
      </c>
      <c r="G51" s="789">
        <v>0.82479999999999998</v>
      </c>
      <c r="H51" s="789">
        <v>0.82479999999999998</v>
      </c>
      <c r="I51" s="789">
        <v>0.66849999999999998</v>
      </c>
      <c r="J51" s="789">
        <v>0.66849999999999998</v>
      </c>
      <c r="K51" s="789">
        <v>0.66849999999999998</v>
      </c>
      <c r="L51" s="789">
        <v>0.66849999999999998</v>
      </c>
      <c r="M51" s="789">
        <v>0.66849999999999998</v>
      </c>
    </row>
    <row r="52" spans="1:13">
      <c r="A52" s="791">
        <v>5</v>
      </c>
      <c r="B52" s="789">
        <v>0.9274</v>
      </c>
      <c r="C52" s="789">
        <v>0.9274</v>
      </c>
      <c r="D52" s="789">
        <v>0.82110000000000005</v>
      </c>
      <c r="E52" s="789">
        <v>0.82110000000000005</v>
      </c>
      <c r="F52" s="789">
        <v>0.82110000000000005</v>
      </c>
      <c r="G52" s="789">
        <v>0.82110000000000005</v>
      </c>
      <c r="H52" s="789">
        <v>0.82110000000000005</v>
      </c>
      <c r="I52" s="789">
        <v>0.66369999999999996</v>
      </c>
      <c r="J52" s="789">
        <v>0.66369999999999996</v>
      </c>
      <c r="K52" s="789">
        <v>0.66369999999999996</v>
      </c>
      <c r="L52" s="789">
        <v>0.66369999999999996</v>
      </c>
      <c r="M52" s="789">
        <v>0.66369999999999996</v>
      </c>
    </row>
    <row r="53" spans="1:13">
      <c r="A53" s="785">
        <v>5.0999999999999996</v>
      </c>
      <c r="B53" s="789">
        <v>0.92410000000000003</v>
      </c>
      <c r="C53" s="789">
        <v>0.92410000000000003</v>
      </c>
      <c r="D53" s="789">
        <v>0.8175</v>
      </c>
      <c r="E53" s="789">
        <v>0.8175</v>
      </c>
      <c r="F53" s="789">
        <v>0.8175</v>
      </c>
      <c r="G53" s="789">
        <v>0.8175</v>
      </c>
      <c r="H53" s="789">
        <v>0.8175</v>
      </c>
      <c r="I53" s="789">
        <v>0.65900000000000003</v>
      </c>
      <c r="J53" s="789">
        <v>0.65900000000000003</v>
      </c>
      <c r="K53" s="789">
        <v>0.65900000000000003</v>
      </c>
      <c r="L53" s="789">
        <v>0.65900000000000003</v>
      </c>
      <c r="M53" s="789">
        <v>0.65900000000000003</v>
      </c>
    </row>
    <row r="54" spans="1:13">
      <c r="A54" s="785">
        <v>5.2</v>
      </c>
      <c r="B54" s="789">
        <v>0.92090000000000005</v>
      </c>
      <c r="C54" s="789">
        <v>0.92090000000000005</v>
      </c>
      <c r="D54" s="789">
        <v>0.81399999999999995</v>
      </c>
      <c r="E54" s="789">
        <v>0.81399999999999995</v>
      </c>
      <c r="F54" s="789">
        <v>0.81399999999999995</v>
      </c>
      <c r="G54" s="789">
        <v>0.81399999999999995</v>
      </c>
      <c r="H54" s="789">
        <v>0.81399999999999995</v>
      </c>
      <c r="I54" s="789">
        <v>0.65449999999999997</v>
      </c>
      <c r="J54" s="789">
        <v>0.65449999999999997</v>
      </c>
      <c r="K54" s="789">
        <v>0.65449999999999997</v>
      </c>
      <c r="L54" s="789">
        <v>0.65449999999999997</v>
      </c>
      <c r="M54" s="789">
        <v>0.65449999999999997</v>
      </c>
    </row>
    <row r="55" spans="1:13">
      <c r="A55" s="785">
        <v>5.3</v>
      </c>
      <c r="B55" s="789">
        <v>0.91790000000000005</v>
      </c>
      <c r="C55" s="789">
        <v>0.91790000000000005</v>
      </c>
      <c r="D55" s="789">
        <v>0.81059999999999999</v>
      </c>
      <c r="E55" s="789">
        <v>0.81059999999999999</v>
      </c>
      <c r="F55" s="789">
        <v>0.81059999999999999</v>
      </c>
      <c r="G55" s="789">
        <v>0.81059999999999999</v>
      </c>
      <c r="H55" s="789">
        <v>0.81059999999999999</v>
      </c>
      <c r="I55" s="789">
        <v>0.6502</v>
      </c>
      <c r="J55" s="789">
        <v>0.6502</v>
      </c>
      <c r="K55" s="789">
        <v>0.6502</v>
      </c>
      <c r="L55" s="789">
        <v>0.6502</v>
      </c>
      <c r="M55" s="789">
        <v>0.6502</v>
      </c>
    </row>
    <row r="56" spans="1:13">
      <c r="A56" s="785">
        <v>5.4</v>
      </c>
      <c r="B56" s="789">
        <v>0.91490000000000005</v>
      </c>
      <c r="C56" s="789">
        <v>0.91490000000000005</v>
      </c>
      <c r="D56" s="789">
        <v>0.80740000000000001</v>
      </c>
      <c r="E56" s="789">
        <v>0.80740000000000001</v>
      </c>
      <c r="F56" s="789">
        <v>0.80740000000000001</v>
      </c>
      <c r="G56" s="789">
        <v>0.80740000000000001</v>
      </c>
      <c r="H56" s="789">
        <v>0.80740000000000001</v>
      </c>
      <c r="I56" s="789">
        <v>0.64590000000000003</v>
      </c>
      <c r="J56" s="789">
        <v>0.64590000000000003</v>
      </c>
      <c r="K56" s="789">
        <v>0.64590000000000003</v>
      </c>
      <c r="L56" s="789">
        <v>0.64590000000000003</v>
      </c>
      <c r="M56" s="789">
        <v>0.64590000000000003</v>
      </c>
    </row>
    <row r="57" spans="1:13">
      <c r="A57" s="785">
        <v>5.5</v>
      </c>
      <c r="B57" s="789">
        <v>0.91200000000000003</v>
      </c>
      <c r="C57" s="789">
        <v>0.91200000000000003</v>
      </c>
      <c r="D57" s="789">
        <v>0.80420000000000003</v>
      </c>
      <c r="E57" s="789">
        <v>0.80420000000000003</v>
      </c>
      <c r="F57" s="789">
        <v>0.80420000000000003</v>
      </c>
      <c r="G57" s="789">
        <v>0.80420000000000003</v>
      </c>
      <c r="H57" s="789">
        <v>0.80420000000000003</v>
      </c>
      <c r="I57" s="789">
        <v>0.64180000000000004</v>
      </c>
      <c r="J57" s="789">
        <v>0.64180000000000004</v>
      </c>
      <c r="K57" s="789">
        <v>0.64180000000000004</v>
      </c>
      <c r="L57" s="789">
        <v>0.64180000000000004</v>
      </c>
      <c r="M57" s="789">
        <v>0.64180000000000004</v>
      </c>
    </row>
    <row r="58" spans="1:13">
      <c r="A58" s="785">
        <v>5.6</v>
      </c>
      <c r="B58" s="789">
        <v>0.90910000000000002</v>
      </c>
      <c r="C58" s="789">
        <v>0.90910000000000002</v>
      </c>
      <c r="D58" s="789">
        <v>0.80120000000000002</v>
      </c>
      <c r="E58" s="789">
        <v>0.80120000000000002</v>
      </c>
      <c r="F58" s="789">
        <v>0.80120000000000002</v>
      </c>
      <c r="G58" s="789">
        <v>0.80120000000000002</v>
      </c>
      <c r="H58" s="789">
        <v>0.80120000000000002</v>
      </c>
      <c r="I58" s="789">
        <v>0.63790000000000002</v>
      </c>
      <c r="J58" s="789">
        <v>0.63790000000000002</v>
      </c>
      <c r="K58" s="789">
        <v>0.63790000000000002</v>
      </c>
      <c r="L58" s="789">
        <v>0.63790000000000002</v>
      </c>
      <c r="M58" s="789">
        <v>0.63790000000000002</v>
      </c>
    </row>
    <row r="59" spans="1:13">
      <c r="A59" s="791">
        <v>5.7</v>
      </c>
      <c r="B59" s="789">
        <v>0.90639999999999998</v>
      </c>
      <c r="C59" s="789">
        <v>0.90639999999999998</v>
      </c>
      <c r="D59" s="789">
        <v>0.79820000000000002</v>
      </c>
      <c r="E59" s="789">
        <v>0.79820000000000002</v>
      </c>
      <c r="F59" s="789">
        <v>0.79820000000000002</v>
      </c>
      <c r="G59" s="789">
        <v>0.79820000000000002</v>
      </c>
      <c r="H59" s="789">
        <v>0.79820000000000002</v>
      </c>
      <c r="I59" s="789">
        <v>0.6341</v>
      </c>
      <c r="J59" s="789">
        <v>0.6341</v>
      </c>
      <c r="K59" s="789">
        <v>0.6341</v>
      </c>
      <c r="L59" s="789">
        <v>0.6341</v>
      </c>
      <c r="M59" s="789">
        <v>0.6341</v>
      </c>
    </row>
    <row r="60" spans="1:13">
      <c r="A60" s="785">
        <v>5.8</v>
      </c>
      <c r="B60" s="789">
        <v>0.90380000000000005</v>
      </c>
      <c r="C60" s="789">
        <v>0.90380000000000005</v>
      </c>
      <c r="D60" s="789">
        <v>0.7954</v>
      </c>
      <c r="E60" s="789">
        <v>0.7954</v>
      </c>
      <c r="F60" s="789">
        <v>0.7954</v>
      </c>
      <c r="G60" s="789">
        <v>0.7954</v>
      </c>
      <c r="H60" s="789">
        <v>0.7954</v>
      </c>
      <c r="I60" s="789">
        <v>0.63039999999999996</v>
      </c>
      <c r="J60" s="789">
        <v>0.63039999999999996</v>
      </c>
      <c r="K60" s="789">
        <v>0.63039999999999996</v>
      </c>
      <c r="L60" s="789">
        <v>0.63039999999999996</v>
      </c>
      <c r="M60" s="789">
        <v>0.63039999999999996</v>
      </c>
    </row>
    <row r="61" spans="1:13">
      <c r="A61" s="785">
        <v>5.9</v>
      </c>
      <c r="B61" s="789">
        <v>0.90129999999999999</v>
      </c>
      <c r="C61" s="789">
        <v>0.90129999999999999</v>
      </c>
      <c r="D61" s="789">
        <v>0.79269999999999996</v>
      </c>
      <c r="E61" s="789">
        <v>0.79269999999999996</v>
      </c>
      <c r="F61" s="789">
        <v>0.79269999999999996</v>
      </c>
      <c r="G61" s="789">
        <v>0.79269999999999996</v>
      </c>
      <c r="H61" s="789">
        <v>0.79269999999999996</v>
      </c>
      <c r="I61" s="789">
        <v>0.62690000000000001</v>
      </c>
      <c r="J61" s="789">
        <v>0.62690000000000001</v>
      </c>
      <c r="K61" s="789">
        <v>0.62690000000000001</v>
      </c>
      <c r="L61" s="789">
        <v>0.62690000000000001</v>
      </c>
      <c r="M61" s="789">
        <v>0.62690000000000001</v>
      </c>
    </row>
    <row r="62" spans="1:13">
      <c r="A62" s="785">
        <v>6</v>
      </c>
      <c r="B62" s="789">
        <v>0.89890000000000003</v>
      </c>
      <c r="C62" s="789">
        <v>0.89890000000000003</v>
      </c>
      <c r="D62" s="789">
        <v>0.79020000000000001</v>
      </c>
      <c r="E62" s="789">
        <v>0.79020000000000001</v>
      </c>
      <c r="F62" s="789">
        <v>0.79020000000000001</v>
      </c>
      <c r="G62" s="789">
        <v>0.79020000000000001</v>
      </c>
      <c r="H62" s="789">
        <v>0.79020000000000001</v>
      </c>
      <c r="I62" s="789">
        <v>0.62350000000000005</v>
      </c>
      <c r="J62" s="789">
        <v>0.62350000000000005</v>
      </c>
      <c r="K62" s="789">
        <v>0.62350000000000005</v>
      </c>
      <c r="L62" s="789">
        <v>0.62350000000000005</v>
      </c>
      <c r="M62" s="789">
        <v>0.62350000000000005</v>
      </c>
    </row>
    <row r="63" spans="1:13">
      <c r="A63" s="785">
        <v>6.1</v>
      </c>
      <c r="B63" s="789">
        <v>0.89649999999999996</v>
      </c>
      <c r="C63" s="789">
        <v>0.89649999999999996</v>
      </c>
      <c r="D63" s="789">
        <v>0.78769999999999996</v>
      </c>
      <c r="E63" s="789">
        <v>0.78769999999999996</v>
      </c>
      <c r="F63" s="789">
        <v>0.78769999999999996</v>
      </c>
      <c r="G63" s="789">
        <v>0.78769999999999996</v>
      </c>
      <c r="H63" s="789">
        <v>0.78769999999999996</v>
      </c>
      <c r="I63" s="789">
        <v>0.62029999999999996</v>
      </c>
      <c r="J63" s="789">
        <v>0.62029999999999996</v>
      </c>
      <c r="K63" s="789">
        <v>0.62029999999999996</v>
      </c>
      <c r="L63" s="789">
        <v>0.62029999999999996</v>
      </c>
      <c r="M63" s="789">
        <v>0.62029999999999996</v>
      </c>
    </row>
    <row r="64" spans="1:13">
      <c r="A64" s="785">
        <v>6.2</v>
      </c>
      <c r="B64" s="789">
        <v>0.89429999999999998</v>
      </c>
      <c r="C64" s="789">
        <v>0.89429999999999998</v>
      </c>
      <c r="D64" s="789">
        <v>0.78520000000000001</v>
      </c>
      <c r="E64" s="789">
        <v>0.78520000000000001</v>
      </c>
      <c r="F64" s="789">
        <v>0.78520000000000001</v>
      </c>
      <c r="G64" s="789">
        <v>0.78520000000000001</v>
      </c>
      <c r="H64" s="789">
        <v>0.78520000000000001</v>
      </c>
      <c r="I64" s="789">
        <v>0.61719999999999997</v>
      </c>
      <c r="J64" s="789">
        <v>0.61719999999999997</v>
      </c>
      <c r="K64" s="789">
        <v>0.61719999999999997</v>
      </c>
      <c r="L64" s="789">
        <v>0.61719999999999997</v>
      </c>
      <c r="M64" s="789">
        <v>0.61719999999999997</v>
      </c>
    </row>
    <row r="65" spans="1:13">
      <c r="A65" s="785">
        <v>6.3</v>
      </c>
      <c r="B65" s="789">
        <v>0.89200000000000002</v>
      </c>
      <c r="C65" s="789">
        <v>0.89200000000000002</v>
      </c>
      <c r="D65" s="789">
        <v>0.78280000000000005</v>
      </c>
      <c r="E65" s="789">
        <v>0.78280000000000005</v>
      </c>
      <c r="F65" s="789">
        <v>0.78280000000000005</v>
      </c>
      <c r="G65" s="789">
        <v>0.78280000000000005</v>
      </c>
      <c r="H65" s="789">
        <v>0.78280000000000005</v>
      </c>
      <c r="I65" s="789">
        <v>0.61409999999999998</v>
      </c>
      <c r="J65" s="789">
        <v>0.61409999999999998</v>
      </c>
      <c r="K65" s="789">
        <v>0.61409999999999998</v>
      </c>
      <c r="L65" s="789">
        <v>0.61409999999999998</v>
      </c>
      <c r="M65" s="789">
        <v>0.61409999999999998</v>
      </c>
    </row>
    <row r="66" spans="1:13">
      <c r="A66" s="785">
        <v>6.4</v>
      </c>
      <c r="B66" s="789">
        <v>0.88990000000000002</v>
      </c>
      <c r="C66" s="789">
        <v>0.88990000000000002</v>
      </c>
      <c r="D66" s="789">
        <v>0.78039999999999998</v>
      </c>
      <c r="E66" s="789">
        <v>0.78039999999999998</v>
      </c>
      <c r="F66" s="789">
        <v>0.78039999999999998</v>
      </c>
      <c r="G66" s="789">
        <v>0.78039999999999998</v>
      </c>
      <c r="H66" s="789">
        <v>0.78039999999999998</v>
      </c>
      <c r="I66" s="789">
        <v>0.61099999999999999</v>
      </c>
      <c r="J66" s="789">
        <v>0.61099999999999999</v>
      </c>
      <c r="K66" s="789">
        <v>0.61099999999999999</v>
      </c>
      <c r="L66" s="789">
        <v>0.61099999999999999</v>
      </c>
      <c r="M66" s="789">
        <v>0.61099999999999999</v>
      </c>
    </row>
    <row r="67" spans="1:13">
      <c r="A67" s="785">
        <v>6.5</v>
      </c>
      <c r="B67" s="789">
        <v>0.88780000000000003</v>
      </c>
      <c r="C67" s="789">
        <v>0.88780000000000003</v>
      </c>
      <c r="D67" s="789">
        <v>0.77810000000000001</v>
      </c>
      <c r="E67" s="789">
        <v>0.77810000000000001</v>
      </c>
      <c r="F67" s="789">
        <v>0.77810000000000001</v>
      </c>
      <c r="G67" s="789">
        <v>0.77810000000000001</v>
      </c>
      <c r="H67" s="789">
        <v>0.77810000000000001</v>
      </c>
      <c r="I67" s="789">
        <v>0.60799999999999998</v>
      </c>
      <c r="J67" s="789">
        <v>0.60799999999999998</v>
      </c>
      <c r="K67" s="789">
        <v>0.60799999999999998</v>
      </c>
      <c r="L67" s="789">
        <v>0.60799999999999998</v>
      </c>
      <c r="M67" s="789">
        <v>0.60799999999999998</v>
      </c>
    </row>
    <row r="68" spans="1:13">
      <c r="A68" s="785">
        <v>6.6</v>
      </c>
      <c r="B68" s="789">
        <v>0.88580000000000003</v>
      </c>
      <c r="C68" s="789">
        <v>0.88580000000000003</v>
      </c>
      <c r="D68" s="789">
        <v>0.77580000000000005</v>
      </c>
      <c r="E68" s="789">
        <v>0.77580000000000005</v>
      </c>
      <c r="F68" s="789">
        <v>0.77580000000000005</v>
      </c>
      <c r="G68" s="789">
        <v>0.77580000000000005</v>
      </c>
      <c r="H68" s="789">
        <v>0.77580000000000005</v>
      </c>
      <c r="I68" s="789">
        <v>0.60499999999999998</v>
      </c>
      <c r="J68" s="789">
        <v>0.60499999999999998</v>
      </c>
      <c r="K68" s="789">
        <v>0.60499999999999998</v>
      </c>
      <c r="L68" s="789">
        <v>0.60499999999999998</v>
      </c>
      <c r="M68" s="789">
        <v>0.60499999999999998</v>
      </c>
    </row>
    <row r="69" spans="1:13">
      <c r="A69" s="785">
        <v>6.7</v>
      </c>
      <c r="B69" s="789">
        <v>0.88380000000000003</v>
      </c>
      <c r="C69" s="789">
        <v>0.88380000000000003</v>
      </c>
      <c r="D69" s="789">
        <v>0.77359999999999995</v>
      </c>
      <c r="E69" s="789">
        <v>0.77359999999999995</v>
      </c>
      <c r="F69" s="789">
        <v>0.77359999999999995</v>
      </c>
      <c r="G69" s="789">
        <v>0.77359999999999995</v>
      </c>
      <c r="H69" s="789">
        <v>0.77359999999999995</v>
      </c>
      <c r="I69" s="789">
        <v>0.60209999999999997</v>
      </c>
      <c r="J69" s="789">
        <v>0.60209999999999997</v>
      </c>
      <c r="K69" s="789">
        <v>0.60209999999999997</v>
      </c>
      <c r="L69" s="789">
        <v>0.60209999999999997</v>
      </c>
      <c r="M69" s="789">
        <v>0.60209999999999997</v>
      </c>
    </row>
    <row r="70" spans="1:13">
      <c r="A70" s="785">
        <v>6.8</v>
      </c>
      <c r="B70" s="789">
        <v>0.88190000000000002</v>
      </c>
      <c r="C70" s="789">
        <v>0.88190000000000002</v>
      </c>
      <c r="D70" s="789">
        <v>0.77159999999999995</v>
      </c>
      <c r="E70" s="789">
        <v>0.77159999999999995</v>
      </c>
      <c r="F70" s="789">
        <v>0.77159999999999995</v>
      </c>
      <c r="G70" s="789">
        <v>0.77159999999999995</v>
      </c>
      <c r="H70" s="789">
        <v>0.77159999999999995</v>
      </c>
      <c r="I70" s="789">
        <v>0.59930000000000005</v>
      </c>
      <c r="J70" s="789">
        <v>0.59930000000000005</v>
      </c>
      <c r="K70" s="789">
        <v>0.59930000000000005</v>
      </c>
      <c r="L70" s="789">
        <v>0.59930000000000005</v>
      </c>
      <c r="M70" s="789">
        <v>0.59930000000000005</v>
      </c>
    </row>
    <row r="71" spans="1:13">
      <c r="A71" s="785">
        <v>6.9</v>
      </c>
      <c r="B71" s="789">
        <v>0.88</v>
      </c>
      <c r="C71" s="789">
        <v>0.88</v>
      </c>
      <c r="D71" s="789">
        <v>0.76949999999999996</v>
      </c>
      <c r="E71" s="789">
        <v>0.76949999999999996</v>
      </c>
      <c r="F71" s="789">
        <v>0.76949999999999996</v>
      </c>
      <c r="G71" s="789">
        <v>0.76949999999999996</v>
      </c>
      <c r="H71" s="789">
        <v>0.76949999999999996</v>
      </c>
      <c r="I71" s="789">
        <v>0.59640000000000004</v>
      </c>
      <c r="J71" s="789">
        <v>0.59640000000000004</v>
      </c>
      <c r="K71" s="789">
        <v>0.59640000000000004</v>
      </c>
      <c r="L71" s="789">
        <v>0.59640000000000004</v>
      </c>
      <c r="M71" s="789">
        <v>0.59640000000000004</v>
      </c>
    </row>
    <row r="72" spans="1:13">
      <c r="A72" s="785">
        <v>7</v>
      </c>
      <c r="B72" s="789">
        <v>0.87819999999999998</v>
      </c>
      <c r="C72" s="789">
        <v>0.87819999999999998</v>
      </c>
      <c r="D72" s="789">
        <v>0.76749999999999996</v>
      </c>
      <c r="E72" s="789">
        <v>0.76749999999999996</v>
      </c>
      <c r="F72" s="789">
        <v>0.76749999999999996</v>
      </c>
      <c r="G72" s="789">
        <v>0.76749999999999996</v>
      </c>
      <c r="H72" s="789">
        <v>0.76749999999999996</v>
      </c>
      <c r="I72" s="789">
        <v>0.59360000000000002</v>
      </c>
      <c r="J72" s="789">
        <v>0.59360000000000002</v>
      </c>
      <c r="K72" s="789">
        <v>0.59360000000000002</v>
      </c>
      <c r="L72" s="789">
        <v>0.59360000000000002</v>
      </c>
      <c r="M72" s="789">
        <v>0.59360000000000002</v>
      </c>
    </row>
    <row r="73" spans="1:13">
      <c r="A73" s="785">
        <v>7.1</v>
      </c>
      <c r="B73" s="789">
        <v>0.87660000000000005</v>
      </c>
      <c r="C73" s="789">
        <v>0.87660000000000005</v>
      </c>
      <c r="D73" s="789">
        <v>0.76570000000000005</v>
      </c>
      <c r="E73" s="789">
        <v>0.76570000000000005</v>
      </c>
      <c r="F73" s="789">
        <v>0.76570000000000005</v>
      </c>
      <c r="G73" s="789">
        <v>0.76570000000000005</v>
      </c>
      <c r="H73" s="789">
        <v>0.76570000000000005</v>
      </c>
      <c r="I73" s="789">
        <v>0.59109999999999996</v>
      </c>
      <c r="J73" s="789">
        <v>0.59109999999999996</v>
      </c>
      <c r="K73" s="789">
        <v>0.59109999999999996</v>
      </c>
      <c r="L73" s="789">
        <v>0.59109999999999996</v>
      </c>
      <c r="M73" s="789">
        <v>0.59109999999999996</v>
      </c>
    </row>
    <row r="74" spans="1:13">
      <c r="A74" s="785">
        <v>7.2</v>
      </c>
      <c r="B74" s="789">
        <v>0.87490000000000001</v>
      </c>
      <c r="C74" s="789">
        <v>0.87490000000000001</v>
      </c>
      <c r="D74" s="789">
        <v>0.76380000000000003</v>
      </c>
      <c r="E74" s="789">
        <v>0.76380000000000003</v>
      </c>
      <c r="F74" s="789">
        <v>0.76380000000000003</v>
      </c>
      <c r="G74" s="789">
        <v>0.76380000000000003</v>
      </c>
      <c r="H74" s="789">
        <v>0.76380000000000003</v>
      </c>
      <c r="I74" s="789">
        <v>0.58860000000000001</v>
      </c>
      <c r="J74" s="789">
        <v>0.58860000000000001</v>
      </c>
      <c r="K74" s="789">
        <v>0.58860000000000001</v>
      </c>
      <c r="L74" s="789">
        <v>0.58860000000000001</v>
      </c>
      <c r="M74" s="789">
        <v>0.58860000000000001</v>
      </c>
    </row>
    <row r="75" spans="1:13">
      <c r="A75" s="785">
        <v>7.3</v>
      </c>
      <c r="B75" s="789">
        <v>0.87329999999999997</v>
      </c>
      <c r="C75" s="789">
        <v>0.87329999999999997</v>
      </c>
      <c r="D75" s="789">
        <v>0.76200000000000001</v>
      </c>
      <c r="E75" s="789">
        <v>0.76200000000000001</v>
      </c>
      <c r="F75" s="789">
        <v>0.76200000000000001</v>
      </c>
      <c r="G75" s="789">
        <v>0.76200000000000001</v>
      </c>
      <c r="H75" s="789">
        <v>0.76200000000000001</v>
      </c>
      <c r="I75" s="789">
        <v>0.58620000000000005</v>
      </c>
      <c r="J75" s="789">
        <v>0.58620000000000005</v>
      </c>
      <c r="K75" s="789">
        <v>0.58620000000000005</v>
      </c>
      <c r="L75" s="789">
        <v>0.58620000000000005</v>
      </c>
      <c r="M75" s="789">
        <v>0.58620000000000005</v>
      </c>
    </row>
    <row r="76" spans="1:13">
      <c r="A76" s="785">
        <v>7.4</v>
      </c>
      <c r="B76" s="789">
        <v>0.87160000000000004</v>
      </c>
      <c r="C76" s="789">
        <v>0.87160000000000004</v>
      </c>
      <c r="D76" s="789">
        <v>0.76029999999999998</v>
      </c>
      <c r="E76" s="789">
        <v>0.76029999999999998</v>
      </c>
      <c r="F76" s="789">
        <v>0.76029999999999998</v>
      </c>
      <c r="G76" s="789">
        <v>0.76029999999999998</v>
      </c>
      <c r="H76" s="789">
        <v>0.76029999999999998</v>
      </c>
      <c r="I76" s="789">
        <v>0.58379999999999999</v>
      </c>
      <c r="J76" s="789">
        <v>0.58379999999999999</v>
      </c>
      <c r="K76" s="789">
        <v>0.58379999999999999</v>
      </c>
      <c r="L76" s="789">
        <v>0.58379999999999999</v>
      </c>
      <c r="M76" s="789">
        <v>0.58379999999999999</v>
      </c>
    </row>
    <row r="77" spans="1:13">
      <c r="A77" s="785">
        <v>7.5</v>
      </c>
      <c r="B77" s="789">
        <v>0.87</v>
      </c>
      <c r="C77" s="789">
        <v>0.87</v>
      </c>
      <c r="D77" s="789">
        <v>0.75849999999999995</v>
      </c>
      <c r="E77" s="789">
        <v>0.75849999999999995</v>
      </c>
      <c r="F77" s="789">
        <v>0.75849999999999995</v>
      </c>
      <c r="G77" s="789">
        <v>0.75849999999999995</v>
      </c>
      <c r="H77" s="789">
        <v>0.75849999999999995</v>
      </c>
      <c r="I77" s="789">
        <v>0.58140000000000003</v>
      </c>
      <c r="J77" s="789">
        <v>0.58140000000000003</v>
      </c>
      <c r="K77" s="789">
        <v>0.58140000000000003</v>
      </c>
      <c r="L77" s="789">
        <v>0.58140000000000003</v>
      </c>
      <c r="M77" s="789">
        <v>0.58140000000000003</v>
      </c>
    </row>
    <row r="78" spans="1:13">
      <c r="A78" s="785">
        <v>7.6</v>
      </c>
      <c r="B78" s="789">
        <v>0.86839999999999995</v>
      </c>
      <c r="C78" s="789">
        <v>0.86839999999999995</v>
      </c>
      <c r="D78" s="789">
        <v>0.75680000000000003</v>
      </c>
      <c r="E78" s="789">
        <v>0.75680000000000003</v>
      </c>
      <c r="F78" s="789">
        <v>0.75680000000000003</v>
      </c>
      <c r="G78" s="789">
        <v>0.75680000000000003</v>
      </c>
      <c r="H78" s="789">
        <v>0.75680000000000003</v>
      </c>
      <c r="I78" s="789">
        <v>0.57899999999999996</v>
      </c>
      <c r="J78" s="789">
        <v>0.57899999999999996</v>
      </c>
      <c r="K78" s="789">
        <v>0.57899999999999996</v>
      </c>
      <c r="L78" s="789">
        <v>0.57899999999999996</v>
      </c>
      <c r="M78" s="789">
        <v>0.57899999999999996</v>
      </c>
    </row>
    <row r="79" spans="1:13">
      <c r="A79" s="785">
        <v>7.7</v>
      </c>
      <c r="B79" s="789">
        <v>0.8669</v>
      </c>
      <c r="C79" s="789">
        <v>0.8669</v>
      </c>
      <c r="D79" s="789">
        <v>0.755</v>
      </c>
      <c r="E79" s="789">
        <v>0.755</v>
      </c>
      <c r="F79" s="789">
        <v>0.755</v>
      </c>
      <c r="G79" s="789">
        <v>0.755</v>
      </c>
      <c r="H79" s="789">
        <v>0.755</v>
      </c>
      <c r="I79" s="789">
        <v>0.57669999999999999</v>
      </c>
      <c r="J79" s="789">
        <v>0.57669999999999999</v>
      </c>
      <c r="K79" s="789">
        <v>0.57669999999999999</v>
      </c>
      <c r="L79" s="789">
        <v>0.57669999999999999</v>
      </c>
      <c r="M79" s="789">
        <v>0.57669999999999999</v>
      </c>
    </row>
    <row r="80" spans="1:13">
      <c r="A80" s="785">
        <v>7.8</v>
      </c>
      <c r="B80" s="789">
        <v>0.86539999999999995</v>
      </c>
      <c r="C80" s="789">
        <v>0.86539999999999995</v>
      </c>
      <c r="D80" s="789">
        <v>0.75329999999999997</v>
      </c>
      <c r="E80" s="789">
        <v>0.75329999999999997</v>
      </c>
      <c r="F80" s="789">
        <v>0.75329999999999997</v>
      </c>
      <c r="G80" s="789">
        <v>0.75329999999999997</v>
      </c>
      <c r="H80" s="789">
        <v>0.75329999999999997</v>
      </c>
      <c r="I80" s="789">
        <v>0.57450000000000001</v>
      </c>
      <c r="J80" s="789">
        <v>0.57450000000000001</v>
      </c>
      <c r="K80" s="789">
        <v>0.57450000000000001</v>
      </c>
      <c r="L80" s="789">
        <v>0.57450000000000001</v>
      </c>
      <c r="M80" s="789">
        <v>0.57450000000000001</v>
      </c>
    </row>
    <row r="81" spans="1:13">
      <c r="A81" s="785">
        <v>7.9</v>
      </c>
      <c r="B81" s="789">
        <v>0.86380000000000001</v>
      </c>
      <c r="C81" s="789">
        <v>0.86380000000000001</v>
      </c>
      <c r="D81" s="789">
        <v>0.75170000000000003</v>
      </c>
      <c r="E81" s="789">
        <v>0.75170000000000003</v>
      </c>
      <c r="F81" s="789">
        <v>0.75170000000000003</v>
      </c>
      <c r="G81" s="789">
        <v>0.75170000000000003</v>
      </c>
      <c r="H81" s="789">
        <v>0.75170000000000003</v>
      </c>
      <c r="I81" s="789">
        <v>0.57220000000000004</v>
      </c>
      <c r="J81" s="789">
        <v>0.57220000000000004</v>
      </c>
      <c r="K81" s="789">
        <v>0.57220000000000004</v>
      </c>
      <c r="L81" s="789">
        <v>0.57220000000000004</v>
      </c>
      <c r="M81" s="789">
        <v>0.57220000000000004</v>
      </c>
    </row>
    <row r="82" spans="1:13">
      <c r="A82" s="785">
        <v>8</v>
      </c>
      <c r="B82" s="789">
        <v>0.86240000000000006</v>
      </c>
      <c r="C82" s="789">
        <v>0.86240000000000006</v>
      </c>
      <c r="D82" s="789">
        <v>0.75</v>
      </c>
      <c r="E82" s="789">
        <v>0.75</v>
      </c>
      <c r="F82" s="789">
        <v>0.75</v>
      </c>
      <c r="G82" s="789">
        <v>0.75</v>
      </c>
      <c r="H82" s="789">
        <v>0.75</v>
      </c>
      <c r="I82" s="789">
        <v>0.56989999999999996</v>
      </c>
      <c r="J82" s="789">
        <v>0.56989999999999996</v>
      </c>
      <c r="K82" s="789">
        <v>0.56989999999999996</v>
      </c>
      <c r="L82" s="789">
        <v>0.56989999999999996</v>
      </c>
      <c r="M82" s="789">
        <v>0.56989999999999996</v>
      </c>
    </row>
    <row r="83" spans="1:13">
      <c r="A83" s="785">
        <v>8.1</v>
      </c>
      <c r="B83" s="789">
        <v>0.86099999999999999</v>
      </c>
      <c r="C83" s="789">
        <v>0.86099999999999999</v>
      </c>
      <c r="D83" s="789">
        <v>0.74850000000000005</v>
      </c>
      <c r="E83" s="789">
        <v>0.74850000000000005</v>
      </c>
      <c r="F83" s="789">
        <v>0.74850000000000005</v>
      </c>
      <c r="G83" s="789">
        <v>0.74850000000000005</v>
      </c>
      <c r="H83" s="789">
        <v>0.74850000000000005</v>
      </c>
      <c r="I83" s="789">
        <v>0.56779999999999997</v>
      </c>
      <c r="J83" s="789">
        <v>0.56779999999999997</v>
      </c>
      <c r="K83" s="789">
        <v>0.56779999999999997</v>
      </c>
      <c r="L83" s="789">
        <v>0.56779999999999997</v>
      </c>
      <c r="M83" s="789">
        <v>0.56779999999999997</v>
      </c>
    </row>
    <row r="84" spans="1:13">
      <c r="A84" s="785">
        <v>8.1999999999999993</v>
      </c>
      <c r="B84" s="789">
        <v>0.85970000000000002</v>
      </c>
      <c r="C84" s="789">
        <v>0.85970000000000002</v>
      </c>
      <c r="D84" s="789">
        <v>0.747</v>
      </c>
      <c r="E84" s="789">
        <v>0.747</v>
      </c>
      <c r="F84" s="789">
        <v>0.747</v>
      </c>
      <c r="G84" s="789">
        <v>0.747</v>
      </c>
      <c r="H84" s="789">
        <v>0.747</v>
      </c>
      <c r="I84" s="789">
        <v>0.56589999999999996</v>
      </c>
      <c r="J84" s="789">
        <v>0.56589999999999996</v>
      </c>
      <c r="K84" s="789">
        <v>0.56589999999999996</v>
      </c>
      <c r="L84" s="789">
        <v>0.56589999999999996</v>
      </c>
      <c r="M84" s="789">
        <v>0.56589999999999996</v>
      </c>
    </row>
    <row r="85" spans="1:13">
      <c r="A85" s="785">
        <v>8.3000000000000007</v>
      </c>
      <c r="B85" s="789">
        <v>0.85840000000000005</v>
      </c>
      <c r="C85" s="789">
        <v>0.85840000000000005</v>
      </c>
      <c r="D85" s="789">
        <v>0.74560000000000004</v>
      </c>
      <c r="E85" s="789">
        <v>0.74560000000000004</v>
      </c>
      <c r="F85" s="789">
        <v>0.74560000000000004</v>
      </c>
      <c r="G85" s="789">
        <v>0.74560000000000004</v>
      </c>
      <c r="H85" s="789">
        <v>0.74560000000000004</v>
      </c>
      <c r="I85" s="789">
        <v>0.56389999999999996</v>
      </c>
      <c r="J85" s="789">
        <v>0.56389999999999996</v>
      </c>
      <c r="K85" s="789">
        <v>0.56389999999999996</v>
      </c>
      <c r="L85" s="789">
        <v>0.56389999999999996</v>
      </c>
      <c r="M85" s="789">
        <v>0.56389999999999996</v>
      </c>
    </row>
    <row r="86" spans="1:13">
      <c r="A86" s="785">
        <v>8.4</v>
      </c>
      <c r="B86" s="789">
        <v>0.85709999999999997</v>
      </c>
      <c r="C86" s="789">
        <v>0.85709999999999997</v>
      </c>
      <c r="D86" s="789">
        <v>0.74419999999999997</v>
      </c>
      <c r="E86" s="789">
        <v>0.74419999999999997</v>
      </c>
      <c r="F86" s="789">
        <v>0.74419999999999997</v>
      </c>
      <c r="G86" s="789">
        <v>0.74419999999999997</v>
      </c>
      <c r="H86" s="789">
        <v>0.74419999999999997</v>
      </c>
      <c r="I86" s="789">
        <v>0.56189999999999996</v>
      </c>
      <c r="J86" s="789">
        <v>0.56189999999999996</v>
      </c>
      <c r="K86" s="789">
        <v>0.56189999999999996</v>
      </c>
      <c r="L86" s="789">
        <v>0.56189999999999996</v>
      </c>
      <c r="M86" s="789">
        <v>0.56189999999999996</v>
      </c>
    </row>
    <row r="87" spans="1:13">
      <c r="A87" s="785">
        <v>8.5</v>
      </c>
      <c r="B87" s="789">
        <v>0.85580000000000001</v>
      </c>
      <c r="C87" s="789">
        <v>0.85580000000000001</v>
      </c>
      <c r="D87" s="789">
        <v>0.74270000000000003</v>
      </c>
      <c r="E87" s="789">
        <v>0.74270000000000003</v>
      </c>
      <c r="F87" s="789">
        <v>0.74270000000000003</v>
      </c>
      <c r="G87" s="789">
        <v>0.74270000000000003</v>
      </c>
      <c r="H87" s="789">
        <v>0.74270000000000003</v>
      </c>
      <c r="I87" s="789">
        <v>0.55989999999999995</v>
      </c>
      <c r="J87" s="789">
        <v>0.55989999999999995</v>
      </c>
      <c r="K87" s="789">
        <v>0.55989999999999995</v>
      </c>
      <c r="L87" s="789">
        <v>0.55989999999999995</v>
      </c>
      <c r="M87" s="789">
        <v>0.55989999999999995</v>
      </c>
    </row>
    <row r="88" spans="1:13">
      <c r="A88" s="785">
        <v>8.6</v>
      </c>
      <c r="B88" s="789">
        <v>0.85450000000000004</v>
      </c>
      <c r="C88" s="789">
        <v>0.85450000000000004</v>
      </c>
      <c r="D88" s="789">
        <v>0.74129999999999996</v>
      </c>
      <c r="E88" s="789">
        <v>0.74129999999999996</v>
      </c>
      <c r="F88" s="789">
        <v>0.74129999999999996</v>
      </c>
      <c r="G88" s="789">
        <v>0.74129999999999996</v>
      </c>
      <c r="H88" s="789">
        <v>0.74129999999999996</v>
      </c>
      <c r="I88" s="789">
        <v>0.55800000000000005</v>
      </c>
      <c r="J88" s="789">
        <v>0.55800000000000005</v>
      </c>
      <c r="K88" s="789">
        <v>0.55800000000000005</v>
      </c>
      <c r="L88" s="789">
        <v>0.55800000000000005</v>
      </c>
      <c r="M88" s="789">
        <v>0.55800000000000005</v>
      </c>
    </row>
    <row r="89" spans="1:13">
      <c r="A89" s="785">
        <v>8.6999999999999993</v>
      </c>
      <c r="B89" s="789">
        <v>0.85329999999999995</v>
      </c>
      <c r="C89" s="789">
        <v>0.85329999999999995</v>
      </c>
      <c r="D89" s="789">
        <v>0.7399</v>
      </c>
      <c r="E89" s="789">
        <v>0.7399</v>
      </c>
      <c r="F89" s="789">
        <v>0.7399</v>
      </c>
      <c r="G89" s="789">
        <v>0.7399</v>
      </c>
      <c r="H89" s="789">
        <v>0.7399</v>
      </c>
      <c r="I89" s="789">
        <v>0.55600000000000005</v>
      </c>
      <c r="J89" s="789">
        <v>0.55600000000000005</v>
      </c>
      <c r="K89" s="789">
        <v>0.55600000000000005</v>
      </c>
      <c r="L89" s="789">
        <v>0.55600000000000005</v>
      </c>
      <c r="M89" s="789">
        <v>0.55600000000000005</v>
      </c>
    </row>
    <row r="90" spans="1:13">
      <c r="A90" s="785">
        <v>8.8000000000000007</v>
      </c>
      <c r="B90" s="789">
        <v>0.85209999999999997</v>
      </c>
      <c r="C90" s="789">
        <v>0.85209999999999997</v>
      </c>
      <c r="D90" s="789">
        <v>0.73850000000000005</v>
      </c>
      <c r="E90" s="789">
        <v>0.73850000000000005</v>
      </c>
      <c r="F90" s="789">
        <v>0.73850000000000005</v>
      </c>
      <c r="G90" s="789">
        <v>0.73850000000000005</v>
      </c>
      <c r="H90" s="789">
        <v>0.73850000000000005</v>
      </c>
      <c r="I90" s="789">
        <v>0.55420000000000003</v>
      </c>
      <c r="J90" s="789">
        <v>0.55420000000000003</v>
      </c>
      <c r="K90" s="789">
        <v>0.55420000000000003</v>
      </c>
      <c r="L90" s="789">
        <v>0.55420000000000003</v>
      </c>
      <c r="M90" s="789">
        <v>0.55420000000000003</v>
      </c>
    </row>
    <row r="91" spans="1:13">
      <c r="A91" s="785">
        <v>8.9</v>
      </c>
      <c r="B91" s="789">
        <v>0.85099999999999998</v>
      </c>
      <c r="C91" s="789">
        <v>0.85099999999999998</v>
      </c>
      <c r="D91" s="789">
        <v>0.73719999999999997</v>
      </c>
      <c r="E91" s="789">
        <v>0.73719999999999997</v>
      </c>
      <c r="F91" s="789">
        <v>0.73719999999999997</v>
      </c>
      <c r="G91" s="789">
        <v>0.73719999999999997</v>
      </c>
      <c r="H91" s="789">
        <v>0.73719999999999997</v>
      </c>
      <c r="I91" s="789">
        <v>0.55230000000000001</v>
      </c>
      <c r="J91" s="789">
        <v>0.55230000000000001</v>
      </c>
      <c r="K91" s="789">
        <v>0.55230000000000001</v>
      </c>
      <c r="L91" s="789">
        <v>0.55230000000000001</v>
      </c>
      <c r="M91" s="789">
        <v>0.55230000000000001</v>
      </c>
    </row>
    <row r="92" spans="1:13">
      <c r="A92" s="791">
        <v>9</v>
      </c>
      <c r="B92" s="789">
        <v>0.8498</v>
      </c>
      <c r="C92" s="789">
        <v>0.8498</v>
      </c>
      <c r="D92" s="789">
        <v>0.7359</v>
      </c>
      <c r="E92" s="789">
        <v>0.7359</v>
      </c>
      <c r="F92" s="789">
        <v>0.7359</v>
      </c>
      <c r="G92" s="789">
        <v>0.7359</v>
      </c>
      <c r="H92" s="789">
        <v>0.7359</v>
      </c>
      <c r="I92" s="789">
        <v>0.55049999999999999</v>
      </c>
      <c r="J92" s="789">
        <v>0.55049999999999999</v>
      </c>
      <c r="K92" s="789">
        <v>0.55049999999999999</v>
      </c>
      <c r="L92" s="789">
        <v>0.55049999999999999</v>
      </c>
      <c r="M92" s="789">
        <v>0.55049999999999999</v>
      </c>
    </row>
    <row r="93" spans="1:13">
      <c r="A93" s="791">
        <v>9.1</v>
      </c>
      <c r="B93" s="789">
        <v>0.84870000000000001</v>
      </c>
      <c r="C93" s="789">
        <v>0.84870000000000001</v>
      </c>
      <c r="D93" s="789">
        <v>0.73470000000000002</v>
      </c>
      <c r="E93" s="789">
        <v>0.73470000000000002</v>
      </c>
      <c r="F93" s="789">
        <v>0.73470000000000002</v>
      </c>
      <c r="G93" s="789">
        <v>0.73470000000000002</v>
      </c>
      <c r="H93" s="789">
        <v>0.73470000000000002</v>
      </c>
      <c r="I93" s="789">
        <v>0.54879999999999995</v>
      </c>
      <c r="J93" s="789">
        <v>0.54879999999999995</v>
      </c>
      <c r="K93" s="789">
        <v>0.54879999999999995</v>
      </c>
      <c r="L93" s="789">
        <v>0.54879999999999995</v>
      </c>
      <c r="M93" s="789">
        <v>0.54879999999999995</v>
      </c>
    </row>
    <row r="94" spans="1:13">
      <c r="A94" s="791">
        <v>9.1999999999999993</v>
      </c>
      <c r="B94" s="789">
        <v>0.84770000000000001</v>
      </c>
      <c r="C94" s="789">
        <v>0.84770000000000001</v>
      </c>
      <c r="D94" s="789">
        <v>0.73350000000000004</v>
      </c>
      <c r="E94" s="789">
        <v>0.73350000000000004</v>
      </c>
      <c r="F94" s="789">
        <v>0.73350000000000004</v>
      </c>
      <c r="G94" s="789">
        <v>0.73350000000000004</v>
      </c>
      <c r="H94" s="789">
        <v>0.73350000000000004</v>
      </c>
      <c r="I94" s="789">
        <v>0.54710000000000003</v>
      </c>
      <c r="J94" s="789">
        <v>0.54710000000000003</v>
      </c>
      <c r="K94" s="789">
        <v>0.54710000000000003</v>
      </c>
      <c r="L94" s="789">
        <v>0.54710000000000003</v>
      </c>
      <c r="M94" s="789">
        <v>0.54710000000000003</v>
      </c>
    </row>
    <row r="95" spans="1:13">
      <c r="A95" s="791">
        <v>9.3000000000000007</v>
      </c>
      <c r="B95" s="789">
        <v>0.84660000000000002</v>
      </c>
      <c r="C95" s="789">
        <v>0.84660000000000002</v>
      </c>
      <c r="D95" s="789">
        <v>0.73229999999999995</v>
      </c>
      <c r="E95" s="789">
        <v>0.73229999999999995</v>
      </c>
      <c r="F95" s="789">
        <v>0.73229999999999995</v>
      </c>
      <c r="G95" s="789">
        <v>0.73229999999999995</v>
      </c>
      <c r="H95" s="789">
        <v>0.73229999999999995</v>
      </c>
      <c r="I95" s="789">
        <v>0.5454</v>
      </c>
      <c r="J95" s="789">
        <v>0.5454</v>
      </c>
      <c r="K95" s="789">
        <v>0.5454</v>
      </c>
      <c r="L95" s="789">
        <v>0.5454</v>
      </c>
      <c r="M95" s="789">
        <v>0.5454</v>
      </c>
    </row>
    <row r="96" spans="1:13">
      <c r="A96" s="791">
        <v>9.4</v>
      </c>
      <c r="B96" s="789">
        <v>0.84550000000000003</v>
      </c>
      <c r="C96" s="789">
        <v>0.84550000000000003</v>
      </c>
      <c r="D96" s="789">
        <v>0.73109999999999997</v>
      </c>
      <c r="E96" s="789">
        <v>0.73109999999999997</v>
      </c>
      <c r="F96" s="789">
        <v>0.73109999999999997</v>
      </c>
      <c r="G96" s="789">
        <v>0.73109999999999997</v>
      </c>
      <c r="H96" s="789">
        <v>0.73109999999999997</v>
      </c>
      <c r="I96" s="789">
        <v>0.54369999999999996</v>
      </c>
      <c r="J96" s="789">
        <v>0.54369999999999996</v>
      </c>
      <c r="K96" s="789">
        <v>0.54369999999999996</v>
      </c>
      <c r="L96" s="789">
        <v>0.54369999999999996</v>
      </c>
      <c r="M96" s="789">
        <v>0.54369999999999996</v>
      </c>
    </row>
    <row r="97" spans="1:14">
      <c r="A97" s="791">
        <v>9.5</v>
      </c>
      <c r="B97" s="789">
        <v>0.84450000000000003</v>
      </c>
      <c r="C97" s="789">
        <v>0.84450000000000003</v>
      </c>
      <c r="D97" s="789">
        <v>0.72989999999999999</v>
      </c>
      <c r="E97" s="789">
        <v>0.72989999999999999</v>
      </c>
      <c r="F97" s="789">
        <v>0.72989999999999999</v>
      </c>
      <c r="G97" s="789">
        <v>0.72989999999999999</v>
      </c>
      <c r="H97" s="789">
        <v>0.72989999999999999</v>
      </c>
      <c r="I97" s="789">
        <v>0.54200000000000004</v>
      </c>
      <c r="J97" s="789">
        <v>0.54200000000000004</v>
      </c>
      <c r="K97" s="789">
        <v>0.54200000000000004</v>
      </c>
      <c r="L97" s="789">
        <v>0.54200000000000004</v>
      </c>
      <c r="M97" s="789">
        <v>0.54200000000000004</v>
      </c>
    </row>
    <row r="98" spans="1:14">
      <c r="A98" s="791">
        <v>9.6</v>
      </c>
      <c r="B98" s="789">
        <v>0.84340000000000004</v>
      </c>
      <c r="C98" s="789">
        <v>0.84340000000000004</v>
      </c>
      <c r="D98" s="789">
        <v>0.72870000000000001</v>
      </c>
      <c r="E98" s="789">
        <v>0.72870000000000001</v>
      </c>
      <c r="F98" s="789">
        <v>0.72870000000000001</v>
      </c>
      <c r="G98" s="789">
        <v>0.72870000000000001</v>
      </c>
      <c r="H98" s="789">
        <v>0.72870000000000001</v>
      </c>
      <c r="I98" s="789">
        <v>0.5403</v>
      </c>
      <c r="J98" s="789">
        <v>0.5403</v>
      </c>
      <c r="K98" s="789">
        <v>0.5403</v>
      </c>
      <c r="L98" s="789">
        <v>0.5403</v>
      </c>
      <c r="M98" s="789">
        <v>0.5403</v>
      </c>
    </row>
    <row r="99" spans="1:14">
      <c r="A99" s="791">
        <v>9.6999999999999993</v>
      </c>
      <c r="B99" s="789">
        <v>0.84230000000000005</v>
      </c>
      <c r="C99" s="789">
        <v>0.84230000000000005</v>
      </c>
      <c r="D99" s="789">
        <v>0.72750000000000004</v>
      </c>
      <c r="E99" s="789">
        <v>0.72750000000000004</v>
      </c>
      <c r="F99" s="789">
        <v>0.72750000000000004</v>
      </c>
      <c r="G99" s="789">
        <v>0.72750000000000004</v>
      </c>
      <c r="H99" s="789">
        <v>0.72750000000000004</v>
      </c>
      <c r="I99" s="789">
        <v>0.53859999999999997</v>
      </c>
      <c r="J99" s="789">
        <v>0.53859999999999997</v>
      </c>
      <c r="K99" s="789">
        <v>0.53859999999999997</v>
      </c>
      <c r="L99" s="789">
        <v>0.53859999999999997</v>
      </c>
      <c r="M99" s="789">
        <v>0.53859999999999997</v>
      </c>
    </row>
    <row r="100" spans="1:14">
      <c r="A100" s="791">
        <v>9.8000000000000007</v>
      </c>
      <c r="B100" s="789">
        <v>0.84140000000000004</v>
      </c>
      <c r="C100" s="789">
        <v>0.84140000000000004</v>
      </c>
      <c r="D100" s="789">
        <v>0.72629999999999995</v>
      </c>
      <c r="E100" s="789">
        <v>0.72629999999999995</v>
      </c>
      <c r="F100" s="789">
        <v>0.72629999999999995</v>
      </c>
      <c r="G100" s="789">
        <v>0.72629999999999995</v>
      </c>
      <c r="H100" s="789">
        <v>0.72629999999999995</v>
      </c>
      <c r="I100" s="789">
        <v>0.53710000000000002</v>
      </c>
      <c r="J100" s="789">
        <v>0.53710000000000002</v>
      </c>
      <c r="K100" s="789">
        <v>0.53710000000000002</v>
      </c>
      <c r="L100" s="789">
        <v>0.53710000000000002</v>
      </c>
      <c r="M100" s="789">
        <v>0.53710000000000002</v>
      </c>
    </row>
    <row r="101" spans="1:14">
      <c r="A101" s="791">
        <v>9.9</v>
      </c>
      <c r="B101" s="789">
        <v>0.84050000000000002</v>
      </c>
      <c r="C101" s="789">
        <v>0.84050000000000002</v>
      </c>
      <c r="D101" s="789">
        <v>0.72519999999999996</v>
      </c>
      <c r="E101" s="789">
        <v>0.72519999999999996</v>
      </c>
      <c r="F101" s="789">
        <v>0.72519999999999996</v>
      </c>
      <c r="G101" s="789">
        <v>0.72519999999999996</v>
      </c>
      <c r="H101" s="789">
        <v>0.72519999999999996</v>
      </c>
      <c r="I101" s="789">
        <v>0.53549999999999998</v>
      </c>
      <c r="J101" s="789">
        <v>0.53549999999999998</v>
      </c>
      <c r="K101" s="789">
        <v>0.53549999999999998</v>
      </c>
      <c r="L101" s="789">
        <v>0.53549999999999998</v>
      </c>
      <c r="M101" s="789">
        <v>0.53549999999999998</v>
      </c>
    </row>
    <row r="102" spans="1:14">
      <c r="A102" s="791">
        <v>10</v>
      </c>
      <c r="B102" s="789">
        <v>0.83950000000000002</v>
      </c>
      <c r="C102" s="789">
        <v>0.83950000000000002</v>
      </c>
      <c r="D102" s="789">
        <v>0.72409999999999997</v>
      </c>
      <c r="E102" s="789">
        <v>0.72409999999999997</v>
      </c>
      <c r="F102" s="789">
        <v>0.72409999999999997</v>
      </c>
      <c r="G102" s="789">
        <v>0.72409999999999997</v>
      </c>
      <c r="H102" s="789">
        <v>0.72409999999999997</v>
      </c>
      <c r="I102" s="789">
        <v>0.53400000000000003</v>
      </c>
      <c r="J102" s="789">
        <v>0.53400000000000003</v>
      </c>
      <c r="K102" s="789">
        <v>0.53400000000000003</v>
      </c>
      <c r="L102" s="789">
        <v>0.53400000000000003</v>
      </c>
      <c r="M102" s="789">
        <v>0.53400000000000003</v>
      </c>
    </row>
    <row r="103" spans="1:14" ht="14.25">
      <c r="A103" s="782" t="s">
        <v>705</v>
      </c>
      <c r="B103" s="783"/>
      <c r="C103" s="783"/>
      <c r="D103" s="783"/>
      <c r="E103" s="783"/>
      <c r="F103" s="783"/>
      <c r="G103" s="783"/>
      <c r="H103" s="783"/>
      <c r="I103" s="783"/>
      <c r="J103" s="783"/>
      <c r="K103" s="783"/>
      <c r="L103" s="783"/>
      <c r="M103" s="783"/>
      <c r="N103" s="783"/>
    </row>
    <row r="104" spans="1:14" ht="14.25">
      <c r="A104" s="785" t="s">
        <v>703</v>
      </c>
      <c r="B104" s="786" t="s">
        <v>106</v>
      </c>
      <c r="C104" s="786" t="s">
        <v>107</v>
      </c>
      <c r="D104" s="786" t="s">
        <v>108</v>
      </c>
      <c r="E104" s="786" t="s">
        <v>109</v>
      </c>
      <c r="F104" s="786" t="s">
        <v>110</v>
      </c>
      <c r="G104" s="786" t="s">
        <v>111</v>
      </c>
      <c r="H104" s="787" t="s">
        <v>112</v>
      </c>
      <c r="I104" s="787" t="s">
        <v>113</v>
      </c>
      <c r="J104" s="788" t="s">
        <v>114</v>
      </c>
      <c r="K104" s="788" t="s">
        <v>115</v>
      </c>
      <c r="L104" s="788" t="s">
        <v>116</v>
      </c>
      <c r="M104" s="788" t="s">
        <v>117</v>
      </c>
      <c r="N104" s="783">
        <f>SUMPRODUCT((A105:A204=ROUNDDOWN(基准地价修正!G3,1))*(B104:M104=基准地价修正!G2)*(B105:M204))</f>
        <v>0.94299999999999995</v>
      </c>
    </row>
    <row r="105" spans="1:14">
      <c r="A105" s="785">
        <v>0.1</v>
      </c>
      <c r="B105" s="789">
        <v>13.733000000000001</v>
      </c>
      <c r="C105" s="789">
        <v>13.733000000000001</v>
      </c>
      <c r="D105" s="789">
        <v>12.787000000000001</v>
      </c>
      <c r="E105" s="789">
        <v>12.787000000000001</v>
      </c>
      <c r="F105" s="789">
        <v>12.787000000000001</v>
      </c>
      <c r="G105" s="789">
        <v>12.787000000000001</v>
      </c>
      <c r="H105" s="789">
        <v>12.787000000000001</v>
      </c>
      <c r="I105" s="789">
        <v>12.384</v>
      </c>
      <c r="J105" s="789">
        <v>12.384</v>
      </c>
      <c r="K105" s="789">
        <v>12.384</v>
      </c>
      <c r="L105" s="789">
        <v>12.384</v>
      </c>
      <c r="M105" s="789">
        <v>12.384</v>
      </c>
    </row>
    <row r="106" spans="1:14">
      <c r="A106" s="785">
        <v>0.2</v>
      </c>
      <c r="B106" s="789">
        <v>6.8665000000000003</v>
      </c>
      <c r="C106" s="789">
        <v>6.8665000000000003</v>
      </c>
      <c r="D106" s="789">
        <v>6.3935000000000004</v>
      </c>
      <c r="E106" s="789">
        <v>6.3935000000000004</v>
      </c>
      <c r="F106" s="789">
        <v>6.3935000000000004</v>
      </c>
      <c r="G106" s="789">
        <v>6.3935000000000004</v>
      </c>
      <c r="H106" s="789">
        <v>6.3935000000000004</v>
      </c>
      <c r="I106" s="789">
        <v>6.1920000000000002</v>
      </c>
      <c r="J106" s="789">
        <v>6.1920000000000002</v>
      </c>
      <c r="K106" s="789">
        <v>6.1920000000000002</v>
      </c>
      <c r="L106" s="789">
        <v>6.1920000000000002</v>
      </c>
      <c r="M106" s="789">
        <v>6.1920000000000002</v>
      </c>
    </row>
    <row r="107" spans="1:14">
      <c r="A107" s="785">
        <v>0.3</v>
      </c>
      <c r="B107" s="789">
        <v>4.5777000000000001</v>
      </c>
      <c r="C107" s="789">
        <v>4.5777000000000001</v>
      </c>
      <c r="D107" s="789">
        <v>4.2622999999999998</v>
      </c>
      <c r="E107" s="789">
        <v>4.2622999999999998</v>
      </c>
      <c r="F107" s="789">
        <v>4.2622999999999998</v>
      </c>
      <c r="G107" s="789">
        <v>4.2622999999999998</v>
      </c>
      <c r="H107" s="789">
        <v>4.2622999999999998</v>
      </c>
      <c r="I107" s="789">
        <v>4.1280000000000001</v>
      </c>
      <c r="J107" s="789">
        <v>4.1280000000000001</v>
      </c>
      <c r="K107" s="789">
        <v>4.1280000000000001</v>
      </c>
      <c r="L107" s="789">
        <v>4.1280000000000001</v>
      </c>
      <c r="M107" s="789">
        <v>4.1280000000000001</v>
      </c>
    </row>
    <row r="108" spans="1:14">
      <c r="A108" s="785">
        <v>0.4</v>
      </c>
      <c r="B108" s="789">
        <v>3.4333</v>
      </c>
      <c r="C108" s="789">
        <v>3.4333</v>
      </c>
      <c r="D108" s="789">
        <v>3.1968000000000001</v>
      </c>
      <c r="E108" s="789">
        <v>3.1968000000000001</v>
      </c>
      <c r="F108" s="789">
        <v>3.1968000000000001</v>
      </c>
      <c r="G108" s="789">
        <v>3.1968000000000001</v>
      </c>
      <c r="H108" s="789">
        <v>3.1968000000000001</v>
      </c>
      <c r="I108" s="789">
        <v>3.0960000000000001</v>
      </c>
      <c r="J108" s="789">
        <v>3.0960000000000001</v>
      </c>
      <c r="K108" s="789">
        <v>3.0960000000000001</v>
      </c>
      <c r="L108" s="789">
        <v>3.0960000000000001</v>
      </c>
      <c r="M108" s="789">
        <v>3.0960000000000001</v>
      </c>
    </row>
    <row r="109" spans="1:14">
      <c r="A109" s="785">
        <v>0.5</v>
      </c>
      <c r="B109" s="789">
        <v>2.7465999999999999</v>
      </c>
      <c r="C109" s="789">
        <v>2.7465999999999999</v>
      </c>
      <c r="D109" s="789">
        <v>2.5573999999999999</v>
      </c>
      <c r="E109" s="789">
        <v>2.5573999999999999</v>
      </c>
      <c r="F109" s="789">
        <v>2.5573999999999999</v>
      </c>
      <c r="G109" s="789">
        <v>2.5573999999999999</v>
      </c>
      <c r="H109" s="789">
        <v>2.5573999999999999</v>
      </c>
      <c r="I109" s="789">
        <v>2.4767999999999999</v>
      </c>
      <c r="J109" s="789">
        <v>2.4767999999999999</v>
      </c>
      <c r="K109" s="789">
        <v>2.4767999999999999</v>
      </c>
      <c r="L109" s="789">
        <v>2.4767999999999999</v>
      </c>
      <c r="M109" s="789">
        <v>2.4767999999999999</v>
      </c>
    </row>
    <row r="110" spans="1:14">
      <c r="A110" s="785">
        <v>0.6</v>
      </c>
      <c r="B110" s="789">
        <v>2.2888000000000002</v>
      </c>
      <c r="C110" s="789">
        <v>2.2888000000000002</v>
      </c>
      <c r="D110" s="789">
        <v>2.1312000000000002</v>
      </c>
      <c r="E110" s="789">
        <v>2.1312000000000002</v>
      </c>
      <c r="F110" s="789">
        <v>2.1312000000000002</v>
      </c>
      <c r="G110" s="789">
        <v>2.1312000000000002</v>
      </c>
      <c r="H110" s="789">
        <v>2.1312000000000002</v>
      </c>
      <c r="I110" s="789">
        <v>2.0640000000000001</v>
      </c>
      <c r="J110" s="789">
        <v>2.0640000000000001</v>
      </c>
      <c r="K110" s="789">
        <v>2.0640000000000001</v>
      </c>
      <c r="L110" s="789">
        <v>2.0640000000000001</v>
      </c>
      <c r="M110" s="789">
        <v>2.0640000000000001</v>
      </c>
    </row>
    <row r="111" spans="1:14">
      <c r="A111" s="785">
        <v>0.7</v>
      </c>
      <c r="B111" s="789">
        <v>1.9619</v>
      </c>
      <c r="C111" s="789">
        <v>1.9619</v>
      </c>
      <c r="D111" s="789">
        <v>1.8267</v>
      </c>
      <c r="E111" s="789">
        <v>1.8267</v>
      </c>
      <c r="F111" s="789">
        <v>1.8267</v>
      </c>
      <c r="G111" s="789">
        <v>1.8267</v>
      </c>
      <c r="H111" s="789">
        <v>1.8267</v>
      </c>
      <c r="I111" s="789">
        <v>1.7690999999999999</v>
      </c>
      <c r="J111" s="789">
        <v>1.7690999999999999</v>
      </c>
      <c r="K111" s="789">
        <v>1.7690999999999999</v>
      </c>
      <c r="L111" s="789">
        <v>1.7690999999999999</v>
      </c>
      <c r="M111" s="789">
        <v>1.7690999999999999</v>
      </c>
    </row>
    <row r="112" spans="1:14">
      <c r="A112" s="785">
        <v>0.8</v>
      </c>
      <c r="B112" s="789">
        <v>1.7165999999999999</v>
      </c>
      <c r="C112" s="789">
        <v>1.7165999999999999</v>
      </c>
      <c r="D112" s="789">
        <v>1.5984</v>
      </c>
      <c r="E112" s="789">
        <v>1.5984</v>
      </c>
      <c r="F112" s="789">
        <v>1.5984</v>
      </c>
      <c r="G112" s="789">
        <v>1.5984</v>
      </c>
      <c r="H112" s="789">
        <v>1.5984</v>
      </c>
      <c r="I112" s="789">
        <v>1.548</v>
      </c>
      <c r="J112" s="789">
        <v>1.548</v>
      </c>
      <c r="K112" s="789">
        <v>1.548</v>
      </c>
      <c r="L112" s="789">
        <v>1.548</v>
      </c>
      <c r="M112" s="789">
        <v>1.548</v>
      </c>
    </row>
    <row r="113" spans="1:13">
      <c r="A113" s="785">
        <v>0.9</v>
      </c>
      <c r="B113" s="789">
        <v>1.5259</v>
      </c>
      <c r="C113" s="789">
        <v>1.5259</v>
      </c>
      <c r="D113" s="789">
        <v>1.4208000000000001</v>
      </c>
      <c r="E113" s="789">
        <v>1.4208000000000001</v>
      </c>
      <c r="F113" s="789">
        <v>1.4208000000000001</v>
      </c>
      <c r="G113" s="789">
        <v>1.4208000000000001</v>
      </c>
      <c r="H113" s="789">
        <v>1.4208000000000001</v>
      </c>
      <c r="I113" s="789">
        <v>1.3759999999999999</v>
      </c>
      <c r="J113" s="789">
        <v>1.3759999999999999</v>
      </c>
      <c r="K113" s="789">
        <v>1.3759999999999999</v>
      </c>
      <c r="L113" s="789">
        <v>1.3759999999999999</v>
      </c>
      <c r="M113" s="789">
        <v>1.3759999999999999</v>
      </c>
    </row>
    <row r="114" spans="1:13">
      <c r="A114" s="785">
        <v>1</v>
      </c>
      <c r="B114" s="789">
        <v>1.3733</v>
      </c>
      <c r="C114" s="789">
        <v>1.3733</v>
      </c>
      <c r="D114" s="789">
        <v>1.2786999999999999</v>
      </c>
      <c r="E114" s="789">
        <v>1.2786999999999999</v>
      </c>
      <c r="F114" s="789">
        <v>1.2786999999999999</v>
      </c>
      <c r="G114" s="789">
        <v>1.2786999999999999</v>
      </c>
      <c r="H114" s="789">
        <v>1.2786999999999999</v>
      </c>
      <c r="I114" s="789">
        <v>1.2383999999999999</v>
      </c>
      <c r="J114" s="789">
        <v>1.2383999999999999</v>
      </c>
      <c r="K114" s="789">
        <v>1.2383999999999999</v>
      </c>
      <c r="L114" s="789">
        <v>1.2383999999999999</v>
      </c>
      <c r="M114" s="789">
        <v>1.2383999999999999</v>
      </c>
    </row>
    <row r="115" spans="1:13">
      <c r="A115" s="785">
        <v>1.1000000000000001</v>
      </c>
      <c r="B115" s="789">
        <v>1.3489</v>
      </c>
      <c r="C115" s="789">
        <v>1.3489</v>
      </c>
      <c r="D115" s="789">
        <v>1.2542</v>
      </c>
      <c r="E115" s="789">
        <v>1.2542</v>
      </c>
      <c r="F115" s="789">
        <v>1.2542</v>
      </c>
      <c r="G115" s="789">
        <v>1.2542</v>
      </c>
      <c r="H115" s="789">
        <v>1.2542</v>
      </c>
      <c r="I115" s="789">
        <v>1.2050000000000001</v>
      </c>
      <c r="J115" s="789">
        <v>1.2050000000000001</v>
      </c>
      <c r="K115" s="789">
        <v>1.2050000000000001</v>
      </c>
      <c r="L115" s="789">
        <v>1.2050000000000001</v>
      </c>
      <c r="M115" s="789">
        <v>1.2050000000000001</v>
      </c>
    </row>
    <row r="116" spans="1:13">
      <c r="A116" s="785">
        <v>1.2</v>
      </c>
      <c r="B116" s="789">
        <v>1.3255999999999999</v>
      </c>
      <c r="C116" s="789">
        <v>1.3255999999999999</v>
      </c>
      <c r="D116" s="789">
        <v>1.2305999999999999</v>
      </c>
      <c r="E116" s="789">
        <v>1.2305999999999999</v>
      </c>
      <c r="F116" s="789">
        <v>1.2305999999999999</v>
      </c>
      <c r="G116" s="789">
        <v>1.2305999999999999</v>
      </c>
      <c r="H116" s="789">
        <v>1.2305999999999999</v>
      </c>
      <c r="I116" s="789">
        <v>1.1741999999999999</v>
      </c>
      <c r="J116" s="789">
        <v>1.1741999999999999</v>
      </c>
      <c r="K116" s="789">
        <v>1.1741999999999999</v>
      </c>
      <c r="L116" s="789">
        <v>1.1741999999999999</v>
      </c>
      <c r="M116" s="789">
        <v>1.1741999999999999</v>
      </c>
    </row>
    <row r="117" spans="1:13">
      <c r="A117" s="785">
        <v>1.3</v>
      </c>
      <c r="B117" s="789">
        <v>1.3032999999999999</v>
      </c>
      <c r="C117" s="789">
        <v>1.3032999999999999</v>
      </c>
      <c r="D117" s="789">
        <v>1.2079</v>
      </c>
      <c r="E117" s="789">
        <v>1.2079</v>
      </c>
      <c r="F117" s="789">
        <v>1.2079</v>
      </c>
      <c r="G117" s="789">
        <v>1.2079</v>
      </c>
      <c r="H117" s="789">
        <v>1.2079</v>
      </c>
      <c r="I117" s="789">
        <v>1.1459999999999999</v>
      </c>
      <c r="J117" s="789">
        <v>1.1459999999999999</v>
      </c>
      <c r="K117" s="789">
        <v>1.1459999999999999</v>
      </c>
      <c r="L117" s="789">
        <v>1.1459999999999999</v>
      </c>
      <c r="M117" s="789">
        <v>1.1459999999999999</v>
      </c>
    </row>
    <row r="118" spans="1:13">
      <c r="A118" s="785">
        <v>1.4</v>
      </c>
      <c r="B118" s="789">
        <v>1.282</v>
      </c>
      <c r="C118" s="789">
        <v>1.282</v>
      </c>
      <c r="D118" s="789">
        <v>1.1861999999999999</v>
      </c>
      <c r="E118" s="789">
        <v>1.1861999999999999</v>
      </c>
      <c r="F118" s="789">
        <v>1.1861999999999999</v>
      </c>
      <c r="G118" s="789">
        <v>1.1861999999999999</v>
      </c>
      <c r="H118" s="789">
        <v>1.1861999999999999</v>
      </c>
      <c r="I118" s="789">
        <v>1.1200000000000001</v>
      </c>
      <c r="J118" s="789">
        <v>1.1200000000000001</v>
      </c>
      <c r="K118" s="789">
        <v>1.1200000000000001</v>
      </c>
      <c r="L118" s="789">
        <v>1.1200000000000001</v>
      </c>
      <c r="M118" s="789">
        <v>1.1200000000000001</v>
      </c>
    </row>
    <row r="119" spans="1:13">
      <c r="A119" s="785">
        <v>1.5</v>
      </c>
      <c r="B119" s="789">
        <v>1.2617</v>
      </c>
      <c r="C119" s="789">
        <v>1.2617</v>
      </c>
      <c r="D119" s="789">
        <v>1.1653</v>
      </c>
      <c r="E119" s="789">
        <v>1.1653</v>
      </c>
      <c r="F119" s="789">
        <v>1.1653</v>
      </c>
      <c r="G119" s="789">
        <v>1.1653</v>
      </c>
      <c r="H119" s="789">
        <v>1.1653</v>
      </c>
      <c r="I119" s="789">
        <v>1.0961000000000001</v>
      </c>
      <c r="J119" s="789">
        <v>1.0961000000000001</v>
      </c>
      <c r="K119" s="789">
        <v>1.0961000000000001</v>
      </c>
      <c r="L119" s="789">
        <v>1.0961000000000001</v>
      </c>
      <c r="M119" s="789">
        <v>1.0961000000000001</v>
      </c>
    </row>
    <row r="120" spans="1:13">
      <c r="A120" s="785">
        <v>1.6</v>
      </c>
      <c r="B120" s="789">
        <v>1.2423</v>
      </c>
      <c r="C120" s="789">
        <v>1.2423</v>
      </c>
      <c r="D120" s="789">
        <v>1.1453</v>
      </c>
      <c r="E120" s="789">
        <v>1.1453</v>
      </c>
      <c r="F120" s="789">
        <v>1.1453</v>
      </c>
      <c r="G120" s="789">
        <v>1.1453</v>
      </c>
      <c r="H120" s="789">
        <v>1.1453</v>
      </c>
      <c r="I120" s="789">
        <v>1.0740000000000001</v>
      </c>
      <c r="J120" s="789">
        <v>1.0740000000000001</v>
      </c>
      <c r="K120" s="789">
        <v>1.0740000000000001</v>
      </c>
      <c r="L120" s="789">
        <v>1.0740000000000001</v>
      </c>
      <c r="M120" s="789">
        <v>1.0740000000000001</v>
      </c>
    </row>
    <row r="121" spans="1:13">
      <c r="A121" s="785">
        <v>1.7</v>
      </c>
      <c r="B121" s="789">
        <v>1.2237</v>
      </c>
      <c r="C121" s="789">
        <v>1.2237</v>
      </c>
      <c r="D121" s="789">
        <v>1.1261000000000001</v>
      </c>
      <c r="E121" s="789">
        <v>1.1261000000000001</v>
      </c>
      <c r="F121" s="789">
        <v>1.1261000000000001</v>
      </c>
      <c r="G121" s="789">
        <v>1.1261000000000001</v>
      </c>
      <c r="H121" s="789">
        <v>1.1261000000000001</v>
      </c>
      <c r="I121" s="789">
        <v>1.0535000000000001</v>
      </c>
      <c r="J121" s="789">
        <v>1.0535000000000001</v>
      </c>
      <c r="K121" s="789">
        <v>1.0535000000000001</v>
      </c>
      <c r="L121" s="789">
        <v>1.0535000000000001</v>
      </c>
      <c r="M121" s="789">
        <v>1.0535000000000001</v>
      </c>
    </row>
    <row r="122" spans="1:13">
      <c r="A122" s="785">
        <v>1.8</v>
      </c>
      <c r="B122" s="789">
        <v>1.206</v>
      </c>
      <c r="C122" s="789">
        <v>1.206</v>
      </c>
      <c r="D122" s="789">
        <v>1.1076999999999999</v>
      </c>
      <c r="E122" s="789">
        <v>1.1076999999999999</v>
      </c>
      <c r="F122" s="789">
        <v>1.1076999999999999</v>
      </c>
      <c r="G122" s="789">
        <v>1.1076999999999999</v>
      </c>
      <c r="H122" s="789">
        <v>1.1076999999999999</v>
      </c>
      <c r="I122" s="789">
        <v>1.0345</v>
      </c>
      <c r="J122" s="789">
        <v>1.0345</v>
      </c>
      <c r="K122" s="789">
        <v>1.0345</v>
      </c>
      <c r="L122" s="789">
        <v>1.0345</v>
      </c>
      <c r="M122" s="789">
        <v>1.0345</v>
      </c>
    </row>
    <row r="123" spans="1:13">
      <c r="A123" s="785">
        <v>1.9</v>
      </c>
      <c r="B123" s="789">
        <v>1.1891</v>
      </c>
      <c r="C123" s="789">
        <v>1.1891</v>
      </c>
      <c r="D123" s="789">
        <v>1.0901000000000001</v>
      </c>
      <c r="E123" s="789">
        <v>1.0901000000000001</v>
      </c>
      <c r="F123" s="789">
        <v>1.0901000000000001</v>
      </c>
      <c r="G123" s="789">
        <v>1.0901000000000001</v>
      </c>
      <c r="H123" s="789">
        <v>1.0901000000000001</v>
      </c>
      <c r="I123" s="789">
        <v>1.0166999999999999</v>
      </c>
      <c r="J123" s="789">
        <v>1.0166999999999999</v>
      </c>
      <c r="K123" s="789">
        <v>1.0166999999999999</v>
      </c>
      <c r="L123" s="789">
        <v>1.0166999999999999</v>
      </c>
      <c r="M123" s="789">
        <v>1.0166999999999999</v>
      </c>
    </row>
    <row r="124" spans="1:13">
      <c r="A124" s="785">
        <v>2</v>
      </c>
      <c r="B124" s="789">
        <v>1.1729000000000001</v>
      </c>
      <c r="C124" s="789">
        <v>1.1729000000000001</v>
      </c>
      <c r="D124" s="789">
        <v>1.0732999999999999</v>
      </c>
      <c r="E124" s="789">
        <v>1.0732999999999999</v>
      </c>
      <c r="F124" s="789">
        <v>1.0732999999999999</v>
      </c>
      <c r="G124" s="789">
        <v>1.0732999999999999</v>
      </c>
      <c r="H124" s="789">
        <v>1.0732999999999999</v>
      </c>
      <c r="I124" s="789">
        <v>1</v>
      </c>
      <c r="J124" s="789">
        <v>1</v>
      </c>
      <c r="K124" s="789">
        <v>1</v>
      </c>
      <c r="L124" s="789">
        <v>1</v>
      </c>
      <c r="M124" s="789">
        <v>1</v>
      </c>
    </row>
    <row r="125" spans="1:13">
      <c r="A125" s="791">
        <v>2.1</v>
      </c>
      <c r="B125" s="789">
        <v>1.1574</v>
      </c>
      <c r="C125" s="789">
        <v>1.1574</v>
      </c>
      <c r="D125" s="789">
        <v>1.0571999999999999</v>
      </c>
      <c r="E125" s="789">
        <v>1.0571999999999999</v>
      </c>
      <c r="F125" s="789">
        <v>1.0571999999999999</v>
      </c>
      <c r="G125" s="789">
        <v>1.0571999999999999</v>
      </c>
      <c r="H125" s="789">
        <v>1.0571999999999999</v>
      </c>
      <c r="I125" s="789">
        <v>0.98409999999999997</v>
      </c>
      <c r="J125" s="789">
        <v>0.98409999999999997</v>
      </c>
      <c r="K125" s="789">
        <v>0.98409999999999997</v>
      </c>
      <c r="L125" s="789">
        <v>0.98409999999999997</v>
      </c>
      <c r="M125" s="789">
        <v>0.98409999999999997</v>
      </c>
    </row>
    <row r="126" spans="1:13">
      <c r="A126" s="791">
        <v>2.2000000000000002</v>
      </c>
      <c r="B126" s="789">
        <v>1.1426000000000001</v>
      </c>
      <c r="C126" s="789">
        <v>1.1426000000000001</v>
      </c>
      <c r="D126" s="789">
        <v>1.0419</v>
      </c>
      <c r="E126" s="789">
        <v>1.0419</v>
      </c>
      <c r="F126" s="789">
        <v>1.0419</v>
      </c>
      <c r="G126" s="789">
        <v>1.0419</v>
      </c>
      <c r="H126" s="789">
        <v>1.0419</v>
      </c>
      <c r="I126" s="789">
        <v>0.96889999999999998</v>
      </c>
      <c r="J126" s="789">
        <v>0.96889999999999998</v>
      </c>
      <c r="K126" s="789">
        <v>0.96889999999999998</v>
      </c>
      <c r="L126" s="789">
        <v>0.96889999999999998</v>
      </c>
      <c r="M126" s="789">
        <v>0.96889999999999998</v>
      </c>
    </row>
    <row r="127" spans="1:13">
      <c r="A127" s="791">
        <v>2.2999999999999998</v>
      </c>
      <c r="B127" s="789">
        <v>1.1285000000000001</v>
      </c>
      <c r="C127" s="789">
        <v>1.1285000000000001</v>
      </c>
      <c r="D127" s="789">
        <v>1.0271999999999999</v>
      </c>
      <c r="E127" s="789">
        <v>1.0271999999999999</v>
      </c>
      <c r="F127" s="789">
        <v>1.0271999999999999</v>
      </c>
      <c r="G127" s="789">
        <v>1.0271999999999999</v>
      </c>
      <c r="H127" s="789">
        <v>1.0271999999999999</v>
      </c>
      <c r="I127" s="789">
        <v>0.95440000000000003</v>
      </c>
      <c r="J127" s="789">
        <v>0.95440000000000003</v>
      </c>
      <c r="K127" s="789">
        <v>0.95440000000000003</v>
      </c>
      <c r="L127" s="789">
        <v>0.95440000000000003</v>
      </c>
      <c r="M127" s="789">
        <v>0.95440000000000003</v>
      </c>
    </row>
    <row r="128" spans="1:13">
      <c r="A128" s="791">
        <v>2.4</v>
      </c>
      <c r="B128" s="789">
        <v>1.1149</v>
      </c>
      <c r="C128" s="789">
        <v>1.1149</v>
      </c>
      <c r="D128" s="789">
        <v>1.0133000000000001</v>
      </c>
      <c r="E128" s="789">
        <v>1.0133000000000001</v>
      </c>
      <c r="F128" s="789">
        <v>1.0133000000000001</v>
      </c>
      <c r="G128" s="789">
        <v>1.0133000000000001</v>
      </c>
      <c r="H128" s="789">
        <v>1.0133000000000001</v>
      </c>
      <c r="I128" s="789">
        <v>0.9405</v>
      </c>
      <c r="J128" s="789">
        <v>0.9405</v>
      </c>
      <c r="K128" s="789">
        <v>0.9405</v>
      </c>
      <c r="L128" s="789">
        <v>0.9405</v>
      </c>
      <c r="M128" s="789">
        <v>0.9405</v>
      </c>
    </row>
    <row r="129" spans="1:13">
      <c r="A129" s="791">
        <v>2.5</v>
      </c>
      <c r="B129" s="789">
        <v>1.1020000000000001</v>
      </c>
      <c r="C129" s="789">
        <v>1.1020000000000001</v>
      </c>
      <c r="D129" s="789">
        <v>1</v>
      </c>
      <c r="E129" s="789">
        <v>1</v>
      </c>
      <c r="F129" s="789">
        <v>1</v>
      </c>
      <c r="G129" s="789">
        <v>1</v>
      </c>
      <c r="H129" s="789">
        <v>1</v>
      </c>
      <c r="I129" s="789">
        <v>0.92730000000000001</v>
      </c>
      <c r="J129" s="789">
        <v>0.92730000000000001</v>
      </c>
      <c r="K129" s="789">
        <v>0.92730000000000001</v>
      </c>
      <c r="L129" s="789">
        <v>0.92730000000000001</v>
      </c>
      <c r="M129" s="789">
        <v>0.92730000000000001</v>
      </c>
    </row>
    <row r="130" spans="1:13">
      <c r="A130" s="791">
        <v>2.6</v>
      </c>
      <c r="B130" s="789">
        <v>1.0895999999999999</v>
      </c>
      <c r="C130" s="789">
        <v>1.0895999999999999</v>
      </c>
      <c r="D130" s="789">
        <v>0.98740000000000006</v>
      </c>
      <c r="E130" s="789">
        <v>0.98740000000000006</v>
      </c>
      <c r="F130" s="789">
        <v>0.98740000000000006</v>
      </c>
      <c r="G130" s="789">
        <v>0.98740000000000006</v>
      </c>
      <c r="H130" s="789">
        <v>0.98740000000000006</v>
      </c>
      <c r="I130" s="789">
        <v>0.91469999999999996</v>
      </c>
      <c r="J130" s="789">
        <v>0.91469999999999996</v>
      </c>
      <c r="K130" s="789">
        <v>0.91469999999999996</v>
      </c>
      <c r="L130" s="789">
        <v>0.91469999999999996</v>
      </c>
      <c r="M130" s="789">
        <v>0.91469999999999996</v>
      </c>
    </row>
    <row r="131" spans="1:13">
      <c r="A131" s="791">
        <v>2.7</v>
      </c>
      <c r="B131" s="789">
        <v>1.0778000000000001</v>
      </c>
      <c r="C131" s="789">
        <v>1.0778000000000001</v>
      </c>
      <c r="D131" s="789">
        <v>0.97540000000000004</v>
      </c>
      <c r="E131" s="789">
        <v>0.97540000000000004</v>
      </c>
      <c r="F131" s="789">
        <v>0.97540000000000004</v>
      </c>
      <c r="G131" s="789">
        <v>0.97540000000000004</v>
      </c>
      <c r="H131" s="789">
        <v>0.97540000000000004</v>
      </c>
      <c r="I131" s="789">
        <v>0.90269999999999995</v>
      </c>
      <c r="J131" s="789">
        <v>0.90269999999999995</v>
      </c>
      <c r="K131" s="789">
        <v>0.90269999999999995</v>
      </c>
      <c r="L131" s="789">
        <v>0.90269999999999995</v>
      </c>
      <c r="M131" s="789">
        <v>0.90269999999999995</v>
      </c>
    </row>
    <row r="132" spans="1:13">
      <c r="A132" s="791">
        <v>2.8</v>
      </c>
      <c r="B132" s="789">
        <v>1.0665</v>
      </c>
      <c r="C132" s="789">
        <v>1.0665</v>
      </c>
      <c r="D132" s="789">
        <v>0.96399999999999997</v>
      </c>
      <c r="E132" s="789">
        <v>0.96399999999999997</v>
      </c>
      <c r="F132" s="789">
        <v>0.96399999999999997</v>
      </c>
      <c r="G132" s="789">
        <v>0.96399999999999997</v>
      </c>
      <c r="H132" s="789">
        <v>0.96399999999999997</v>
      </c>
      <c r="I132" s="789">
        <v>0.89119999999999999</v>
      </c>
      <c r="J132" s="789">
        <v>0.89119999999999999</v>
      </c>
      <c r="K132" s="789">
        <v>0.89119999999999999</v>
      </c>
      <c r="L132" s="789">
        <v>0.89119999999999999</v>
      </c>
      <c r="M132" s="789">
        <v>0.89119999999999999</v>
      </c>
    </row>
    <row r="133" spans="1:13">
      <c r="A133" s="791">
        <v>2.9</v>
      </c>
      <c r="B133" s="789">
        <v>1.0556000000000001</v>
      </c>
      <c r="C133" s="789">
        <v>1.0556000000000001</v>
      </c>
      <c r="D133" s="789">
        <v>0.95330000000000004</v>
      </c>
      <c r="E133" s="789">
        <v>0.95330000000000004</v>
      </c>
      <c r="F133" s="789">
        <v>0.95330000000000004</v>
      </c>
      <c r="G133" s="789">
        <v>0.95330000000000004</v>
      </c>
      <c r="H133" s="789">
        <v>0.95330000000000004</v>
      </c>
      <c r="I133" s="789">
        <v>0.88019999999999998</v>
      </c>
      <c r="J133" s="789">
        <v>0.88019999999999998</v>
      </c>
      <c r="K133" s="789">
        <v>0.88019999999999998</v>
      </c>
      <c r="L133" s="789">
        <v>0.88019999999999998</v>
      </c>
      <c r="M133" s="789">
        <v>0.88019999999999998</v>
      </c>
    </row>
    <row r="134" spans="1:13">
      <c r="A134" s="791">
        <v>3</v>
      </c>
      <c r="B134" s="789">
        <v>1.0452999999999999</v>
      </c>
      <c r="C134" s="789">
        <v>1.0452999999999999</v>
      </c>
      <c r="D134" s="789">
        <v>0.94299999999999995</v>
      </c>
      <c r="E134" s="789">
        <v>0.94299999999999995</v>
      </c>
      <c r="F134" s="789">
        <v>0.94299999999999995</v>
      </c>
      <c r="G134" s="789">
        <v>0.94299999999999995</v>
      </c>
      <c r="H134" s="789">
        <v>0.94299999999999995</v>
      </c>
      <c r="I134" s="789">
        <v>0.86970000000000003</v>
      </c>
      <c r="J134" s="789">
        <v>0.86970000000000003</v>
      </c>
      <c r="K134" s="789">
        <v>0.86970000000000003</v>
      </c>
      <c r="L134" s="789">
        <v>0.86970000000000003</v>
      </c>
      <c r="M134" s="789">
        <v>0.86970000000000003</v>
      </c>
    </row>
    <row r="135" spans="1:13">
      <c r="A135" s="791">
        <v>3.1</v>
      </c>
      <c r="B135" s="789">
        <v>1.0354000000000001</v>
      </c>
      <c r="C135" s="789">
        <v>1.0354000000000001</v>
      </c>
      <c r="D135" s="789">
        <v>0.93330000000000002</v>
      </c>
      <c r="E135" s="789">
        <v>0.93330000000000002</v>
      </c>
      <c r="F135" s="789">
        <v>0.93330000000000002</v>
      </c>
      <c r="G135" s="789">
        <v>0.93330000000000002</v>
      </c>
      <c r="H135" s="789">
        <v>0.93330000000000002</v>
      </c>
      <c r="I135" s="789">
        <v>0.85970000000000002</v>
      </c>
      <c r="J135" s="789">
        <v>0.85970000000000002</v>
      </c>
      <c r="K135" s="789">
        <v>0.85970000000000002</v>
      </c>
      <c r="L135" s="789">
        <v>0.85970000000000002</v>
      </c>
      <c r="M135" s="789">
        <v>0.85970000000000002</v>
      </c>
    </row>
    <row r="136" spans="1:13">
      <c r="A136" s="791">
        <v>3.2</v>
      </c>
      <c r="B136" s="789">
        <v>1.0259</v>
      </c>
      <c r="C136" s="789">
        <v>1.0259</v>
      </c>
      <c r="D136" s="789">
        <v>0.92410000000000003</v>
      </c>
      <c r="E136" s="789">
        <v>0.92410000000000003</v>
      </c>
      <c r="F136" s="789">
        <v>0.92410000000000003</v>
      </c>
      <c r="G136" s="789">
        <v>0.92410000000000003</v>
      </c>
      <c r="H136" s="789">
        <v>0.92410000000000003</v>
      </c>
      <c r="I136" s="789">
        <v>0.85019999999999996</v>
      </c>
      <c r="J136" s="789">
        <v>0.85019999999999996</v>
      </c>
      <c r="K136" s="789">
        <v>0.85019999999999996</v>
      </c>
      <c r="L136" s="789">
        <v>0.85019999999999996</v>
      </c>
      <c r="M136" s="789">
        <v>0.85019999999999996</v>
      </c>
    </row>
    <row r="137" spans="1:13">
      <c r="A137" s="791">
        <v>3.3</v>
      </c>
      <c r="B137" s="789">
        <v>1.0168999999999999</v>
      </c>
      <c r="C137" s="789">
        <v>1.0168999999999999</v>
      </c>
      <c r="D137" s="789">
        <v>0.91539999999999999</v>
      </c>
      <c r="E137" s="789">
        <v>0.91539999999999999</v>
      </c>
      <c r="F137" s="789">
        <v>0.91539999999999999</v>
      </c>
      <c r="G137" s="789">
        <v>0.91539999999999999</v>
      </c>
      <c r="H137" s="789">
        <v>0.91539999999999999</v>
      </c>
      <c r="I137" s="789">
        <v>0.84109999999999996</v>
      </c>
      <c r="J137" s="789">
        <v>0.84109999999999996</v>
      </c>
      <c r="K137" s="789">
        <v>0.84109999999999996</v>
      </c>
      <c r="L137" s="789">
        <v>0.84109999999999996</v>
      </c>
      <c r="M137" s="789">
        <v>0.84109999999999996</v>
      </c>
    </row>
    <row r="138" spans="1:13">
      <c r="A138" s="791">
        <v>3.4</v>
      </c>
      <c r="B138" s="789">
        <v>1.0082</v>
      </c>
      <c r="C138" s="789">
        <v>1.0082</v>
      </c>
      <c r="D138" s="789">
        <v>0.90710000000000002</v>
      </c>
      <c r="E138" s="789">
        <v>0.90710000000000002</v>
      </c>
      <c r="F138" s="789">
        <v>0.90710000000000002</v>
      </c>
      <c r="G138" s="789">
        <v>0.90710000000000002</v>
      </c>
      <c r="H138" s="789">
        <v>0.90710000000000002</v>
      </c>
      <c r="I138" s="789">
        <v>0.83240000000000003</v>
      </c>
      <c r="J138" s="789">
        <v>0.83240000000000003</v>
      </c>
      <c r="K138" s="789">
        <v>0.83240000000000003</v>
      </c>
      <c r="L138" s="789">
        <v>0.83240000000000003</v>
      </c>
      <c r="M138" s="789">
        <v>0.83240000000000003</v>
      </c>
    </row>
    <row r="139" spans="1:13">
      <c r="A139" s="791">
        <v>3.5</v>
      </c>
      <c r="B139" s="789">
        <v>1</v>
      </c>
      <c r="C139" s="789">
        <v>1</v>
      </c>
      <c r="D139" s="789">
        <v>0.89929999999999999</v>
      </c>
      <c r="E139" s="789">
        <v>0.89929999999999999</v>
      </c>
      <c r="F139" s="789">
        <v>0.89929999999999999</v>
      </c>
      <c r="G139" s="789">
        <v>0.89929999999999999</v>
      </c>
      <c r="H139" s="789">
        <v>0.89929999999999999</v>
      </c>
      <c r="I139" s="789">
        <v>0.82410000000000005</v>
      </c>
      <c r="J139" s="789">
        <v>0.82410000000000005</v>
      </c>
      <c r="K139" s="789">
        <v>0.82410000000000005</v>
      </c>
      <c r="L139" s="789">
        <v>0.82410000000000005</v>
      </c>
      <c r="M139" s="789">
        <v>0.82410000000000005</v>
      </c>
    </row>
    <row r="140" spans="1:13">
      <c r="A140" s="791">
        <v>3.6</v>
      </c>
      <c r="B140" s="789">
        <v>0.99219999999999997</v>
      </c>
      <c r="C140" s="789">
        <v>0.99219999999999997</v>
      </c>
      <c r="D140" s="789">
        <v>0.89190000000000003</v>
      </c>
      <c r="E140" s="789">
        <v>0.89190000000000003</v>
      </c>
      <c r="F140" s="789">
        <v>0.89190000000000003</v>
      </c>
      <c r="G140" s="789">
        <v>0.89190000000000003</v>
      </c>
      <c r="H140" s="789">
        <v>0.89190000000000003</v>
      </c>
      <c r="I140" s="789">
        <v>0.81620000000000004</v>
      </c>
      <c r="J140" s="789">
        <v>0.81620000000000004</v>
      </c>
      <c r="K140" s="789">
        <v>0.81620000000000004</v>
      </c>
      <c r="L140" s="789">
        <v>0.81620000000000004</v>
      </c>
      <c r="M140" s="789">
        <v>0.81620000000000004</v>
      </c>
    </row>
    <row r="141" spans="1:13">
      <c r="A141" s="791">
        <v>3.7</v>
      </c>
      <c r="B141" s="789">
        <v>0.98480000000000001</v>
      </c>
      <c r="C141" s="789">
        <v>0.98480000000000001</v>
      </c>
      <c r="D141" s="789">
        <v>0.88480000000000003</v>
      </c>
      <c r="E141" s="789">
        <v>0.88480000000000003</v>
      </c>
      <c r="F141" s="789">
        <v>0.88480000000000003</v>
      </c>
      <c r="G141" s="789">
        <v>0.88480000000000003</v>
      </c>
      <c r="H141" s="789">
        <v>0.88480000000000003</v>
      </c>
      <c r="I141" s="789">
        <v>0.80869999999999997</v>
      </c>
      <c r="J141" s="789">
        <v>0.80869999999999997</v>
      </c>
      <c r="K141" s="789">
        <v>0.80869999999999997</v>
      </c>
      <c r="L141" s="789">
        <v>0.80869999999999997</v>
      </c>
      <c r="M141" s="789">
        <v>0.80869999999999997</v>
      </c>
    </row>
    <row r="142" spans="1:13">
      <c r="A142" s="791">
        <v>3.8</v>
      </c>
      <c r="B142" s="789">
        <v>0.9778</v>
      </c>
      <c r="C142" s="789">
        <v>0.9778</v>
      </c>
      <c r="D142" s="789">
        <v>0.87809999999999999</v>
      </c>
      <c r="E142" s="789">
        <v>0.87809999999999999</v>
      </c>
      <c r="F142" s="789">
        <v>0.87809999999999999</v>
      </c>
      <c r="G142" s="789">
        <v>0.87809999999999999</v>
      </c>
      <c r="H142" s="789">
        <v>0.87809999999999999</v>
      </c>
      <c r="I142" s="789">
        <v>0.80159999999999998</v>
      </c>
      <c r="J142" s="789">
        <v>0.80159999999999998</v>
      </c>
      <c r="K142" s="789">
        <v>0.80159999999999998</v>
      </c>
      <c r="L142" s="789">
        <v>0.80159999999999998</v>
      </c>
      <c r="M142" s="789">
        <v>0.80159999999999998</v>
      </c>
    </row>
    <row r="143" spans="1:13">
      <c r="A143" s="791">
        <v>3.9</v>
      </c>
      <c r="B143" s="789">
        <v>0.97119999999999995</v>
      </c>
      <c r="C143" s="789">
        <v>0.97119999999999995</v>
      </c>
      <c r="D143" s="789">
        <v>0.87180000000000002</v>
      </c>
      <c r="E143" s="789">
        <v>0.87180000000000002</v>
      </c>
      <c r="F143" s="789">
        <v>0.87180000000000002</v>
      </c>
      <c r="G143" s="789">
        <v>0.87180000000000002</v>
      </c>
      <c r="H143" s="789">
        <v>0.87180000000000002</v>
      </c>
      <c r="I143" s="789">
        <v>0.79479999999999995</v>
      </c>
      <c r="J143" s="789">
        <v>0.79479999999999995</v>
      </c>
      <c r="K143" s="789">
        <v>0.79479999999999995</v>
      </c>
      <c r="L143" s="789">
        <v>0.79479999999999995</v>
      </c>
      <c r="M143" s="789">
        <v>0.79479999999999995</v>
      </c>
    </row>
    <row r="144" spans="1:13">
      <c r="A144" s="791">
        <v>4</v>
      </c>
      <c r="B144" s="789">
        <v>0.96499999999999997</v>
      </c>
      <c r="C144" s="789">
        <v>0.96499999999999997</v>
      </c>
      <c r="D144" s="789">
        <v>0.86580000000000001</v>
      </c>
      <c r="E144" s="789">
        <v>0.86580000000000001</v>
      </c>
      <c r="F144" s="789">
        <v>0.86580000000000001</v>
      </c>
      <c r="G144" s="789">
        <v>0.86580000000000001</v>
      </c>
      <c r="H144" s="789">
        <v>0.86580000000000001</v>
      </c>
      <c r="I144" s="789">
        <v>0.7883</v>
      </c>
      <c r="J144" s="789">
        <v>0.7883</v>
      </c>
      <c r="K144" s="789">
        <v>0.7883</v>
      </c>
      <c r="L144" s="789">
        <v>0.7883</v>
      </c>
      <c r="M144" s="789">
        <v>0.7883</v>
      </c>
    </row>
    <row r="145" spans="1:13">
      <c r="A145" s="791">
        <v>4.0999999999999996</v>
      </c>
      <c r="B145" s="789">
        <v>0.95909999999999995</v>
      </c>
      <c r="C145" s="789">
        <v>0.95909999999999995</v>
      </c>
      <c r="D145" s="789">
        <v>0.86009999999999998</v>
      </c>
      <c r="E145" s="789">
        <v>0.86009999999999998</v>
      </c>
      <c r="F145" s="789">
        <v>0.86009999999999998</v>
      </c>
      <c r="G145" s="789">
        <v>0.86009999999999998</v>
      </c>
      <c r="H145" s="789">
        <v>0.86009999999999998</v>
      </c>
      <c r="I145" s="789">
        <v>0.78200000000000003</v>
      </c>
      <c r="J145" s="789">
        <v>0.78200000000000003</v>
      </c>
      <c r="K145" s="789">
        <v>0.78200000000000003</v>
      </c>
      <c r="L145" s="789">
        <v>0.78200000000000003</v>
      </c>
      <c r="M145" s="789">
        <v>0.78200000000000003</v>
      </c>
    </row>
    <row r="146" spans="1:13">
      <c r="A146" s="791">
        <v>4.2</v>
      </c>
      <c r="B146" s="789">
        <v>0.95350000000000001</v>
      </c>
      <c r="C146" s="789">
        <v>0.95350000000000001</v>
      </c>
      <c r="D146" s="789">
        <v>0.85470000000000002</v>
      </c>
      <c r="E146" s="789">
        <v>0.85470000000000002</v>
      </c>
      <c r="F146" s="789">
        <v>0.85470000000000002</v>
      </c>
      <c r="G146" s="789">
        <v>0.85470000000000002</v>
      </c>
      <c r="H146" s="789">
        <v>0.85470000000000002</v>
      </c>
      <c r="I146" s="789">
        <v>0.77600000000000002</v>
      </c>
      <c r="J146" s="789">
        <v>0.77600000000000002</v>
      </c>
      <c r="K146" s="789">
        <v>0.77600000000000002</v>
      </c>
      <c r="L146" s="789">
        <v>0.77600000000000002</v>
      </c>
      <c r="M146" s="789">
        <v>0.77600000000000002</v>
      </c>
    </row>
    <row r="147" spans="1:13">
      <c r="A147" s="791">
        <v>4.3</v>
      </c>
      <c r="B147" s="789">
        <v>0.94820000000000004</v>
      </c>
      <c r="C147" s="789">
        <v>0.94820000000000004</v>
      </c>
      <c r="D147" s="789">
        <v>0.84960000000000002</v>
      </c>
      <c r="E147" s="789">
        <v>0.84960000000000002</v>
      </c>
      <c r="F147" s="789">
        <v>0.84960000000000002</v>
      </c>
      <c r="G147" s="789">
        <v>0.84960000000000002</v>
      </c>
      <c r="H147" s="789">
        <v>0.84960000000000002</v>
      </c>
      <c r="I147" s="789">
        <v>0.77029999999999998</v>
      </c>
      <c r="J147" s="789">
        <v>0.77029999999999998</v>
      </c>
      <c r="K147" s="789">
        <v>0.77029999999999998</v>
      </c>
      <c r="L147" s="789">
        <v>0.77029999999999998</v>
      </c>
      <c r="M147" s="789">
        <v>0.77029999999999998</v>
      </c>
    </row>
    <row r="148" spans="1:13">
      <c r="A148" s="791">
        <v>4.4000000000000004</v>
      </c>
      <c r="B148" s="789">
        <v>0.94320000000000004</v>
      </c>
      <c r="C148" s="789">
        <v>0.94320000000000004</v>
      </c>
      <c r="D148" s="789">
        <v>0.8448</v>
      </c>
      <c r="E148" s="789">
        <v>0.8448</v>
      </c>
      <c r="F148" s="789">
        <v>0.8448</v>
      </c>
      <c r="G148" s="789">
        <v>0.8448</v>
      </c>
      <c r="H148" s="789">
        <v>0.8448</v>
      </c>
      <c r="I148" s="789">
        <v>0.76490000000000002</v>
      </c>
      <c r="J148" s="789">
        <v>0.76490000000000002</v>
      </c>
      <c r="K148" s="789">
        <v>0.76490000000000002</v>
      </c>
      <c r="L148" s="789">
        <v>0.76490000000000002</v>
      </c>
      <c r="M148" s="789">
        <v>0.76490000000000002</v>
      </c>
    </row>
    <row r="149" spans="1:13">
      <c r="A149" s="791">
        <v>4.5</v>
      </c>
      <c r="B149" s="789">
        <v>0.9385</v>
      </c>
      <c r="C149" s="789">
        <v>0.9385</v>
      </c>
      <c r="D149" s="789">
        <v>0.84019999999999995</v>
      </c>
      <c r="E149" s="789">
        <v>0.84019999999999995</v>
      </c>
      <c r="F149" s="789">
        <v>0.84019999999999995</v>
      </c>
      <c r="G149" s="789">
        <v>0.84019999999999995</v>
      </c>
      <c r="H149" s="789">
        <v>0.84019999999999995</v>
      </c>
      <c r="I149" s="789">
        <v>0.75970000000000004</v>
      </c>
      <c r="J149" s="789">
        <v>0.75970000000000004</v>
      </c>
      <c r="K149" s="789">
        <v>0.75970000000000004</v>
      </c>
      <c r="L149" s="789">
        <v>0.75970000000000004</v>
      </c>
      <c r="M149" s="789">
        <v>0.75970000000000004</v>
      </c>
    </row>
    <row r="150" spans="1:13">
      <c r="A150" s="791">
        <v>4.5999999999999996</v>
      </c>
      <c r="B150" s="789">
        <v>0.93410000000000004</v>
      </c>
      <c r="C150" s="789">
        <v>0.93410000000000004</v>
      </c>
      <c r="D150" s="789">
        <v>0.83579999999999999</v>
      </c>
      <c r="E150" s="789">
        <v>0.83579999999999999</v>
      </c>
      <c r="F150" s="789">
        <v>0.83579999999999999</v>
      </c>
      <c r="G150" s="789">
        <v>0.83579999999999999</v>
      </c>
      <c r="H150" s="789">
        <v>0.83579999999999999</v>
      </c>
      <c r="I150" s="789">
        <v>0.75470000000000004</v>
      </c>
      <c r="J150" s="789">
        <v>0.75470000000000004</v>
      </c>
      <c r="K150" s="789">
        <v>0.75470000000000004</v>
      </c>
      <c r="L150" s="789">
        <v>0.75470000000000004</v>
      </c>
      <c r="M150" s="789">
        <v>0.75470000000000004</v>
      </c>
    </row>
    <row r="151" spans="1:13">
      <c r="A151" s="791">
        <v>4.7</v>
      </c>
      <c r="B151" s="789">
        <v>0.92989999999999995</v>
      </c>
      <c r="C151" s="789">
        <v>0.92989999999999995</v>
      </c>
      <c r="D151" s="789">
        <v>0.83160000000000001</v>
      </c>
      <c r="E151" s="789">
        <v>0.83160000000000001</v>
      </c>
      <c r="F151" s="789">
        <v>0.83160000000000001</v>
      </c>
      <c r="G151" s="789">
        <v>0.83160000000000001</v>
      </c>
      <c r="H151" s="789">
        <v>0.83160000000000001</v>
      </c>
      <c r="I151" s="789">
        <v>0.74990000000000001</v>
      </c>
      <c r="J151" s="789">
        <v>0.74990000000000001</v>
      </c>
      <c r="K151" s="789">
        <v>0.74990000000000001</v>
      </c>
      <c r="L151" s="789">
        <v>0.74990000000000001</v>
      </c>
      <c r="M151" s="789">
        <v>0.74990000000000001</v>
      </c>
    </row>
    <row r="152" spans="1:13">
      <c r="A152" s="791">
        <v>4.8</v>
      </c>
      <c r="B152" s="789">
        <v>0.92589999999999995</v>
      </c>
      <c r="C152" s="789">
        <v>0.92589999999999995</v>
      </c>
      <c r="D152" s="789">
        <v>0.82769999999999999</v>
      </c>
      <c r="E152" s="789">
        <v>0.82769999999999999</v>
      </c>
      <c r="F152" s="789">
        <v>0.82769999999999999</v>
      </c>
      <c r="G152" s="789">
        <v>0.82769999999999999</v>
      </c>
      <c r="H152" s="789">
        <v>0.82769999999999999</v>
      </c>
      <c r="I152" s="789">
        <v>0.74529999999999996</v>
      </c>
      <c r="J152" s="789">
        <v>0.74529999999999996</v>
      </c>
      <c r="K152" s="789">
        <v>0.74529999999999996</v>
      </c>
      <c r="L152" s="789">
        <v>0.74529999999999996</v>
      </c>
      <c r="M152" s="789">
        <v>0.74529999999999996</v>
      </c>
    </row>
    <row r="153" spans="1:13">
      <c r="A153" s="791">
        <v>4.9000000000000004</v>
      </c>
      <c r="B153" s="789">
        <v>0.92210000000000003</v>
      </c>
      <c r="C153" s="789">
        <v>0.92210000000000003</v>
      </c>
      <c r="D153" s="789">
        <v>0.82389999999999997</v>
      </c>
      <c r="E153" s="789">
        <v>0.82389999999999997</v>
      </c>
      <c r="F153" s="789">
        <v>0.82389999999999997</v>
      </c>
      <c r="G153" s="789">
        <v>0.82389999999999997</v>
      </c>
      <c r="H153" s="789">
        <v>0.82389999999999997</v>
      </c>
      <c r="I153" s="789">
        <v>0.7409</v>
      </c>
      <c r="J153" s="789">
        <v>0.7409</v>
      </c>
      <c r="K153" s="789">
        <v>0.7409</v>
      </c>
      <c r="L153" s="789">
        <v>0.7409</v>
      </c>
      <c r="M153" s="789">
        <v>0.7409</v>
      </c>
    </row>
    <row r="154" spans="1:13">
      <c r="A154" s="791">
        <v>5</v>
      </c>
      <c r="B154" s="789">
        <v>0.91849999999999998</v>
      </c>
      <c r="C154" s="789">
        <v>0.91849999999999998</v>
      </c>
      <c r="D154" s="789">
        <v>0.82030000000000003</v>
      </c>
      <c r="E154" s="789">
        <v>0.82030000000000003</v>
      </c>
      <c r="F154" s="789">
        <v>0.82030000000000003</v>
      </c>
      <c r="G154" s="789">
        <v>0.82030000000000003</v>
      </c>
      <c r="H154" s="789">
        <v>0.82030000000000003</v>
      </c>
      <c r="I154" s="789">
        <v>0.73670000000000002</v>
      </c>
      <c r="J154" s="789">
        <v>0.73670000000000002</v>
      </c>
      <c r="K154" s="789">
        <v>0.73670000000000002</v>
      </c>
      <c r="L154" s="789">
        <v>0.73670000000000002</v>
      </c>
      <c r="M154" s="789">
        <v>0.73670000000000002</v>
      </c>
    </row>
    <row r="155" spans="1:13">
      <c r="A155" s="785">
        <v>5.0999999999999996</v>
      </c>
      <c r="B155" s="789">
        <v>0.91510000000000002</v>
      </c>
      <c r="C155" s="789">
        <v>0.91510000000000002</v>
      </c>
      <c r="D155" s="789">
        <v>0.81689999999999996</v>
      </c>
      <c r="E155" s="789">
        <v>0.81689999999999996</v>
      </c>
      <c r="F155" s="789">
        <v>0.81689999999999996</v>
      </c>
      <c r="G155" s="789">
        <v>0.81689999999999996</v>
      </c>
      <c r="H155" s="789">
        <v>0.81689999999999996</v>
      </c>
      <c r="I155" s="789">
        <v>0.73270000000000002</v>
      </c>
      <c r="J155" s="789">
        <v>0.73270000000000002</v>
      </c>
      <c r="K155" s="789">
        <v>0.73270000000000002</v>
      </c>
      <c r="L155" s="789">
        <v>0.73270000000000002</v>
      </c>
      <c r="M155" s="789">
        <v>0.73270000000000002</v>
      </c>
    </row>
    <row r="156" spans="1:13">
      <c r="A156" s="785">
        <v>5.2</v>
      </c>
      <c r="B156" s="789">
        <v>0.91190000000000004</v>
      </c>
      <c r="C156" s="789">
        <v>0.91190000000000004</v>
      </c>
      <c r="D156" s="789">
        <v>0.81359999999999999</v>
      </c>
      <c r="E156" s="789">
        <v>0.81359999999999999</v>
      </c>
      <c r="F156" s="789">
        <v>0.81359999999999999</v>
      </c>
      <c r="G156" s="789">
        <v>0.81359999999999999</v>
      </c>
      <c r="H156" s="789">
        <v>0.81359999999999999</v>
      </c>
      <c r="I156" s="789">
        <v>0.72889999999999999</v>
      </c>
      <c r="J156" s="789">
        <v>0.72889999999999999</v>
      </c>
      <c r="K156" s="789">
        <v>0.72889999999999999</v>
      </c>
      <c r="L156" s="789">
        <v>0.72889999999999999</v>
      </c>
      <c r="M156" s="789">
        <v>0.72889999999999999</v>
      </c>
    </row>
    <row r="157" spans="1:13">
      <c r="A157" s="785">
        <v>5.3</v>
      </c>
      <c r="B157" s="789">
        <v>0.90880000000000005</v>
      </c>
      <c r="C157" s="789">
        <v>0.90880000000000005</v>
      </c>
      <c r="D157" s="789">
        <v>0.8105</v>
      </c>
      <c r="E157" s="789">
        <v>0.8105</v>
      </c>
      <c r="F157" s="789">
        <v>0.8105</v>
      </c>
      <c r="G157" s="789">
        <v>0.8105</v>
      </c>
      <c r="H157" s="789">
        <v>0.8105</v>
      </c>
      <c r="I157" s="789">
        <v>0.72529999999999994</v>
      </c>
      <c r="J157" s="789">
        <v>0.72529999999999994</v>
      </c>
      <c r="K157" s="789">
        <v>0.72529999999999994</v>
      </c>
      <c r="L157" s="789">
        <v>0.72529999999999994</v>
      </c>
      <c r="M157" s="789">
        <v>0.72529999999999994</v>
      </c>
    </row>
    <row r="158" spans="1:13">
      <c r="A158" s="785">
        <v>5.4</v>
      </c>
      <c r="B158" s="789">
        <v>0.90580000000000005</v>
      </c>
      <c r="C158" s="789">
        <v>0.90580000000000005</v>
      </c>
      <c r="D158" s="789">
        <v>0.8075</v>
      </c>
      <c r="E158" s="789">
        <v>0.8075</v>
      </c>
      <c r="F158" s="789">
        <v>0.8075</v>
      </c>
      <c r="G158" s="789">
        <v>0.8075</v>
      </c>
      <c r="H158" s="789">
        <v>0.8075</v>
      </c>
      <c r="I158" s="789">
        <v>0.7218</v>
      </c>
      <c r="J158" s="789">
        <v>0.7218</v>
      </c>
      <c r="K158" s="789">
        <v>0.7218</v>
      </c>
      <c r="L158" s="789">
        <v>0.7218</v>
      </c>
      <c r="M158" s="789">
        <v>0.7218</v>
      </c>
    </row>
    <row r="159" spans="1:13">
      <c r="A159" s="785">
        <v>5.5</v>
      </c>
      <c r="B159" s="789">
        <v>0.90290000000000004</v>
      </c>
      <c r="C159" s="789">
        <v>0.90290000000000004</v>
      </c>
      <c r="D159" s="789">
        <v>0.80469999999999997</v>
      </c>
      <c r="E159" s="789">
        <v>0.80469999999999997</v>
      </c>
      <c r="F159" s="789">
        <v>0.80469999999999997</v>
      </c>
      <c r="G159" s="789">
        <v>0.80469999999999997</v>
      </c>
      <c r="H159" s="789">
        <v>0.80469999999999997</v>
      </c>
      <c r="I159" s="789">
        <v>0.71840000000000004</v>
      </c>
      <c r="J159" s="789">
        <v>0.71840000000000004</v>
      </c>
      <c r="K159" s="789">
        <v>0.71840000000000004</v>
      </c>
      <c r="L159" s="789">
        <v>0.71840000000000004</v>
      </c>
      <c r="M159" s="789">
        <v>0.71840000000000004</v>
      </c>
    </row>
    <row r="160" spans="1:13">
      <c r="A160" s="785">
        <v>5.6</v>
      </c>
      <c r="B160" s="789">
        <v>0.90010000000000001</v>
      </c>
      <c r="C160" s="789">
        <v>0.90010000000000001</v>
      </c>
      <c r="D160" s="789">
        <v>0.80200000000000005</v>
      </c>
      <c r="E160" s="789">
        <v>0.80200000000000005</v>
      </c>
      <c r="F160" s="789">
        <v>0.80200000000000005</v>
      </c>
      <c r="G160" s="789">
        <v>0.80200000000000005</v>
      </c>
      <c r="H160" s="789">
        <v>0.80200000000000005</v>
      </c>
      <c r="I160" s="789">
        <v>0.71509999999999996</v>
      </c>
      <c r="J160" s="789">
        <v>0.71509999999999996</v>
      </c>
      <c r="K160" s="789">
        <v>0.71509999999999996</v>
      </c>
      <c r="L160" s="789">
        <v>0.71509999999999996</v>
      </c>
      <c r="M160" s="789">
        <v>0.71509999999999996</v>
      </c>
    </row>
    <row r="161" spans="1:13">
      <c r="A161" s="791">
        <v>5.7</v>
      </c>
      <c r="B161" s="789">
        <v>0.89749999999999996</v>
      </c>
      <c r="C161" s="789">
        <v>0.89749999999999996</v>
      </c>
      <c r="D161" s="789">
        <v>0.79930000000000001</v>
      </c>
      <c r="E161" s="789">
        <v>0.79930000000000001</v>
      </c>
      <c r="F161" s="789">
        <v>0.79930000000000001</v>
      </c>
      <c r="G161" s="789">
        <v>0.79930000000000001</v>
      </c>
      <c r="H161" s="789">
        <v>0.79930000000000001</v>
      </c>
      <c r="I161" s="789">
        <v>0.71189999999999998</v>
      </c>
      <c r="J161" s="789">
        <v>0.71189999999999998</v>
      </c>
      <c r="K161" s="789">
        <v>0.71189999999999998</v>
      </c>
      <c r="L161" s="789">
        <v>0.71189999999999998</v>
      </c>
      <c r="M161" s="789">
        <v>0.71189999999999998</v>
      </c>
    </row>
    <row r="162" spans="1:13">
      <c r="A162" s="785">
        <v>5.8</v>
      </c>
      <c r="B162" s="789">
        <v>0.89500000000000002</v>
      </c>
      <c r="C162" s="789">
        <v>0.89500000000000002</v>
      </c>
      <c r="D162" s="789">
        <v>0.79679999999999995</v>
      </c>
      <c r="E162" s="789">
        <v>0.79679999999999995</v>
      </c>
      <c r="F162" s="789">
        <v>0.79679999999999995</v>
      </c>
      <c r="G162" s="789">
        <v>0.79679999999999995</v>
      </c>
      <c r="H162" s="789">
        <v>0.79679999999999995</v>
      </c>
      <c r="I162" s="789">
        <v>0.70879999999999999</v>
      </c>
      <c r="J162" s="789">
        <v>0.70879999999999999</v>
      </c>
      <c r="K162" s="789">
        <v>0.70879999999999999</v>
      </c>
      <c r="L162" s="789">
        <v>0.70879999999999999</v>
      </c>
      <c r="M162" s="789">
        <v>0.70879999999999999</v>
      </c>
    </row>
    <row r="163" spans="1:13">
      <c r="A163" s="785">
        <v>5.9</v>
      </c>
      <c r="B163" s="789">
        <v>0.89259999999999995</v>
      </c>
      <c r="C163" s="789">
        <v>0.89259999999999995</v>
      </c>
      <c r="D163" s="789">
        <v>0.7944</v>
      </c>
      <c r="E163" s="789">
        <v>0.7944</v>
      </c>
      <c r="F163" s="789">
        <v>0.7944</v>
      </c>
      <c r="G163" s="789">
        <v>0.7944</v>
      </c>
      <c r="H163" s="789">
        <v>0.7944</v>
      </c>
      <c r="I163" s="789">
        <v>0.70579999999999998</v>
      </c>
      <c r="J163" s="789">
        <v>0.70579999999999998</v>
      </c>
      <c r="K163" s="789">
        <v>0.70579999999999998</v>
      </c>
      <c r="L163" s="789">
        <v>0.70579999999999998</v>
      </c>
      <c r="M163" s="789">
        <v>0.70579999999999998</v>
      </c>
    </row>
    <row r="164" spans="1:13">
      <c r="A164" s="785">
        <v>6</v>
      </c>
      <c r="B164" s="789">
        <v>0.89029999999999998</v>
      </c>
      <c r="C164" s="789">
        <v>0.89029999999999998</v>
      </c>
      <c r="D164" s="789">
        <v>0.79200000000000004</v>
      </c>
      <c r="E164" s="789">
        <v>0.79200000000000004</v>
      </c>
      <c r="F164" s="789">
        <v>0.79200000000000004</v>
      </c>
      <c r="G164" s="789">
        <v>0.79200000000000004</v>
      </c>
      <c r="H164" s="789">
        <v>0.79200000000000004</v>
      </c>
      <c r="I164" s="789">
        <v>0.70289999999999997</v>
      </c>
      <c r="J164" s="789">
        <v>0.70289999999999997</v>
      </c>
      <c r="K164" s="789">
        <v>0.70289999999999997</v>
      </c>
      <c r="L164" s="789">
        <v>0.70289999999999997</v>
      </c>
      <c r="M164" s="789">
        <v>0.70289999999999997</v>
      </c>
    </row>
    <row r="165" spans="1:13">
      <c r="A165" s="785">
        <v>6.1</v>
      </c>
      <c r="B165" s="789">
        <v>0.8881</v>
      </c>
      <c r="C165" s="789">
        <v>0.8881</v>
      </c>
      <c r="D165" s="789">
        <v>0.78979999999999995</v>
      </c>
      <c r="E165" s="789">
        <v>0.78979999999999995</v>
      </c>
      <c r="F165" s="789">
        <v>0.78979999999999995</v>
      </c>
      <c r="G165" s="789">
        <v>0.78979999999999995</v>
      </c>
      <c r="H165" s="789">
        <v>0.78979999999999995</v>
      </c>
      <c r="I165" s="789">
        <v>0.70009999999999994</v>
      </c>
      <c r="J165" s="789">
        <v>0.70009999999999994</v>
      </c>
      <c r="K165" s="789">
        <v>0.70009999999999994</v>
      </c>
      <c r="L165" s="789">
        <v>0.70009999999999994</v>
      </c>
      <c r="M165" s="789">
        <v>0.70009999999999994</v>
      </c>
    </row>
    <row r="166" spans="1:13">
      <c r="A166" s="785">
        <v>6.2</v>
      </c>
      <c r="B166" s="789">
        <v>0.88600000000000001</v>
      </c>
      <c r="C166" s="789">
        <v>0.88600000000000001</v>
      </c>
      <c r="D166" s="789">
        <v>0.78759999999999997</v>
      </c>
      <c r="E166" s="789">
        <v>0.78759999999999997</v>
      </c>
      <c r="F166" s="789">
        <v>0.78759999999999997</v>
      </c>
      <c r="G166" s="789">
        <v>0.78759999999999997</v>
      </c>
      <c r="H166" s="789">
        <v>0.78759999999999997</v>
      </c>
      <c r="I166" s="789">
        <v>0.69740000000000002</v>
      </c>
      <c r="J166" s="789">
        <v>0.69740000000000002</v>
      </c>
      <c r="K166" s="789">
        <v>0.69740000000000002</v>
      </c>
      <c r="L166" s="789">
        <v>0.69740000000000002</v>
      </c>
      <c r="M166" s="789">
        <v>0.69740000000000002</v>
      </c>
    </row>
    <row r="167" spans="1:13">
      <c r="A167" s="785">
        <v>6.3</v>
      </c>
      <c r="B167" s="789">
        <v>0.88390000000000002</v>
      </c>
      <c r="C167" s="789">
        <v>0.88390000000000002</v>
      </c>
      <c r="D167" s="789">
        <v>0.78549999999999998</v>
      </c>
      <c r="E167" s="789">
        <v>0.78549999999999998</v>
      </c>
      <c r="F167" s="789">
        <v>0.78549999999999998</v>
      </c>
      <c r="G167" s="789">
        <v>0.78549999999999998</v>
      </c>
      <c r="H167" s="789">
        <v>0.78549999999999998</v>
      </c>
      <c r="I167" s="789">
        <v>0.69479999999999997</v>
      </c>
      <c r="J167" s="789">
        <v>0.69479999999999997</v>
      </c>
      <c r="K167" s="789">
        <v>0.69479999999999997</v>
      </c>
      <c r="L167" s="789">
        <v>0.69479999999999997</v>
      </c>
      <c r="M167" s="789">
        <v>0.69479999999999997</v>
      </c>
    </row>
    <row r="168" spans="1:13">
      <c r="A168" s="785">
        <v>6.4</v>
      </c>
      <c r="B168" s="789">
        <v>0.88190000000000002</v>
      </c>
      <c r="C168" s="789">
        <v>0.88190000000000002</v>
      </c>
      <c r="D168" s="789">
        <v>0.78339999999999999</v>
      </c>
      <c r="E168" s="789">
        <v>0.78339999999999999</v>
      </c>
      <c r="F168" s="789">
        <v>0.78339999999999999</v>
      </c>
      <c r="G168" s="789">
        <v>0.78339999999999999</v>
      </c>
      <c r="H168" s="789">
        <v>0.78339999999999999</v>
      </c>
      <c r="I168" s="789">
        <v>0.69230000000000003</v>
      </c>
      <c r="J168" s="789">
        <v>0.69230000000000003</v>
      </c>
      <c r="K168" s="789">
        <v>0.69230000000000003</v>
      </c>
      <c r="L168" s="789">
        <v>0.69230000000000003</v>
      </c>
      <c r="M168" s="789">
        <v>0.69230000000000003</v>
      </c>
    </row>
    <row r="169" spans="1:13">
      <c r="A169" s="785">
        <v>6.5</v>
      </c>
      <c r="B169" s="789">
        <v>0.88</v>
      </c>
      <c r="C169" s="789">
        <v>0.88</v>
      </c>
      <c r="D169" s="789">
        <v>0.78139999999999998</v>
      </c>
      <c r="E169" s="789">
        <v>0.78139999999999998</v>
      </c>
      <c r="F169" s="789">
        <v>0.78139999999999998</v>
      </c>
      <c r="G169" s="789">
        <v>0.78139999999999998</v>
      </c>
      <c r="H169" s="789">
        <v>0.78139999999999998</v>
      </c>
      <c r="I169" s="789">
        <v>0.68989999999999996</v>
      </c>
      <c r="J169" s="789">
        <v>0.68989999999999996</v>
      </c>
      <c r="K169" s="789">
        <v>0.68989999999999996</v>
      </c>
      <c r="L169" s="789">
        <v>0.68989999999999996</v>
      </c>
      <c r="M169" s="789">
        <v>0.68989999999999996</v>
      </c>
    </row>
    <row r="170" spans="1:13">
      <c r="A170" s="785">
        <v>6.6</v>
      </c>
      <c r="B170" s="789">
        <v>0.87809999999999999</v>
      </c>
      <c r="C170" s="789">
        <v>0.87809999999999999</v>
      </c>
      <c r="D170" s="789">
        <v>0.77949999999999997</v>
      </c>
      <c r="E170" s="789">
        <v>0.77949999999999997</v>
      </c>
      <c r="F170" s="789">
        <v>0.77949999999999997</v>
      </c>
      <c r="G170" s="789">
        <v>0.77949999999999997</v>
      </c>
      <c r="H170" s="789">
        <v>0.77949999999999997</v>
      </c>
      <c r="I170" s="789">
        <v>0.68759999999999999</v>
      </c>
      <c r="J170" s="789">
        <v>0.68759999999999999</v>
      </c>
      <c r="K170" s="789">
        <v>0.68759999999999999</v>
      </c>
      <c r="L170" s="789">
        <v>0.68759999999999999</v>
      </c>
      <c r="M170" s="789">
        <v>0.68759999999999999</v>
      </c>
    </row>
    <row r="171" spans="1:13">
      <c r="A171" s="785">
        <v>6.7</v>
      </c>
      <c r="B171" s="789">
        <v>0.87629999999999997</v>
      </c>
      <c r="C171" s="789">
        <v>0.87629999999999997</v>
      </c>
      <c r="D171" s="789">
        <v>0.77759999999999996</v>
      </c>
      <c r="E171" s="789">
        <v>0.77759999999999996</v>
      </c>
      <c r="F171" s="789">
        <v>0.77759999999999996</v>
      </c>
      <c r="G171" s="789">
        <v>0.77759999999999996</v>
      </c>
      <c r="H171" s="789">
        <v>0.77759999999999996</v>
      </c>
      <c r="I171" s="789">
        <v>0.68530000000000002</v>
      </c>
      <c r="J171" s="789">
        <v>0.68530000000000002</v>
      </c>
      <c r="K171" s="789">
        <v>0.68530000000000002</v>
      </c>
      <c r="L171" s="789">
        <v>0.68530000000000002</v>
      </c>
      <c r="M171" s="789">
        <v>0.68530000000000002</v>
      </c>
    </row>
    <row r="172" spans="1:13">
      <c r="A172" s="785">
        <v>6.8</v>
      </c>
      <c r="B172" s="789">
        <v>0.87450000000000006</v>
      </c>
      <c r="C172" s="789">
        <v>0.87450000000000006</v>
      </c>
      <c r="D172" s="789">
        <v>0.77569999999999995</v>
      </c>
      <c r="E172" s="789">
        <v>0.77569999999999995</v>
      </c>
      <c r="F172" s="789">
        <v>0.77569999999999995</v>
      </c>
      <c r="G172" s="789">
        <v>0.77569999999999995</v>
      </c>
      <c r="H172" s="789">
        <v>0.77569999999999995</v>
      </c>
      <c r="I172" s="789">
        <v>0.68310000000000004</v>
      </c>
      <c r="J172" s="789">
        <v>0.68310000000000004</v>
      </c>
      <c r="K172" s="789">
        <v>0.68310000000000004</v>
      </c>
      <c r="L172" s="789">
        <v>0.68310000000000004</v>
      </c>
      <c r="M172" s="789">
        <v>0.68310000000000004</v>
      </c>
    </row>
    <row r="173" spans="1:13">
      <c r="A173" s="785">
        <v>6.9</v>
      </c>
      <c r="B173" s="789">
        <v>0.87280000000000002</v>
      </c>
      <c r="C173" s="789">
        <v>0.87280000000000002</v>
      </c>
      <c r="D173" s="789">
        <v>0.77390000000000003</v>
      </c>
      <c r="E173" s="789">
        <v>0.77390000000000003</v>
      </c>
      <c r="F173" s="789">
        <v>0.77390000000000003</v>
      </c>
      <c r="G173" s="789">
        <v>0.77390000000000003</v>
      </c>
      <c r="H173" s="789">
        <v>0.77390000000000003</v>
      </c>
      <c r="I173" s="789">
        <v>0.68089999999999995</v>
      </c>
      <c r="J173" s="789">
        <v>0.68089999999999995</v>
      </c>
      <c r="K173" s="789">
        <v>0.68089999999999995</v>
      </c>
      <c r="L173" s="789">
        <v>0.68089999999999995</v>
      </c>
      <c r="M173" s="789">
        <v>0.68089999999999995</v>
      </c>
    </row>
    <row r="174" spans="1:13">
      <c r="A174" s="785">
        <v>7</v>
      </c>
      <c r="B174" s="789">
        <v>0.87109999999999999</v>
      </c>
      <c r="C174" s="789">
        <v>0.87109999999999999</v>
      </c>
      <c r="D174" s="789">
        <v>0.77210000000000001</v>
      </c>
      <c r="E174" s="789">
        <v>0.77210000000000001</v>
      </c>
      <c r="F174" s="789">
        <v>0.77210000000000001</v>
      </c>
      <c r="G174" s="789">
        <v>0.77210000000000001</v>
      </c>
      <c r="H174" s="789">
        <v>0.77210000000000001</v>
      </c>
      <c r="I174" s="789">
        <v>0.67879999999999996</v>
      </c>
      <c r="J174" s="789">
        <v>0.67879999999999996</v>
      </c>
      <c r="K174" s="789">
        <v>0.67879999999999996</v>
      </c>
      <c r="L174" s="789">
        <v>0.67879999999999996</v>
      </c>
      <c r="M174" s="789">
        <v>0.67879999999999996</v>
      </c>
    </row>
    <row r="175" spans="1:13">
      <c r="A175" s="785">
        <v>7.1</v>
      </c>
      <c r="B175" s="789">
        <v>0.86939999999999995</v>
      </c>
      <c r="C175" s="789">
        <v>0.86939999999999995</v>
      </c>
      <c r="D175" s="789">
        <v>0.77039999999999997</v>
      </c>
      <c r="E175" s="789">
        <v>0.77039999999999997</v>
      </c>
      <c r="F175" s="789">
        <v>0.77039999999999997</v>
      </c>
      <c r="G175" s="789">
        <v>0.77039999999999997</v>
      </c>
      <c r="H175" s="789">
        <v>0.77039999999999997</v>
      </c>
      <c r="I175" s="789">
        <v>0.67669999999999997</v>
      </c>
      <c r="J175" s="789">
        <v>0.67669999999999997</v>
      </c>
      <c r="K175" s="789">
        <v>0.67669999999999997</v>
      </c>
      <c r="L175" s="789">
        <v>0.67669999999999997</v>
      </c>
      <c r="M175" s="789">
        <v>0.67669999999999997</v>
      </c>
    </row>
    <row r="176" spans="1:13">
      <c r="A176" s="785">
        <v>7.2</v>
      </c>
      <c r="B176" s="789">
        <v>0.86770000000000003</v>
      </c>
      <c r="C176" s="789">
        <v>0.86770000000000003</v>
      </c>
      <c r="D176" s="789">
        <v>0.76870000000000005</v>
      </c>
      <c r="E176" s="789">
        <v>0.76870000000000005</v>
      </c>
      <c r="F176" s="789">
        <v>0.76870000000000005</v>
      </c>
      <c r="G176" s="789">
        <v>0.76870000000000005</v>
      </c>
      <c r="H176" s="789">
        <v>0.76870000000000005</v>
      </c>
      <c r="I176" s="789">
        <v>0.67469999999999997</v>
      </c>
      <c r="J176" s="789">
        <v>0.67469999999999997</v>
      </c>
      <c r="K176" s="789">
        <v>0.67469999999999997</v>
      </c>
      <c r="L176" s="789">
        <v>0.67469999999999997</v>
      </c>
      <c r="M176" s="789">
        <v>0.67469999999999997</v>
      </c>
    </row>
    <row r="177" spans="1:13">
      <c r="A177" s="785">
        <v>7.3</v>
      </c>
      <c r="B177" s="789">
        <v>0.86609999999999998</v>
      </c>
      <c r="C177" s="789">
        <v>0.86609999999999998</v>
      </c>
      <c r="D177" s="789">
        <v>0.76700000000000002</v>
      </c>
      <c r="E177" s="789">
        <v>0.76700000000000002</v>
      </c>
      <c r="F177" s="789">
        <v>0.76700000000000002</v>
      </c>
      <c r="G177" s="789">
        <v>0.76700000000000002</v>
      </c>
      <c r="H177" s="789">
        <v>0.76700000000000002</v>
      </c>
      <c r="I177" s="789">
        <v>0.67269999999999996</v>
      </c>
      <c r="J177" s="789">
        <v>0.67269999999999996</v>
      </c>
      <c r="K177" s="789">
        <v>0.67269999999999996</v>
      </c>
      <c r="L177" s="789">
        <v>0.67269999999999996</v>
      </c>
      <c r="M177" s="789">
        <v>0.67269999999999996</v>
      </c>
    </row>
    <row r="178" spans="1:13">
      <c r="A178" s="785">
        <v>7.4</v>
      </c>
      <c r="B178" s="789">
        <v>0.86450000000000005</v>
      </c>
      <c r="C178" s="789">
        <v>0.86450000000000005</v>
      </c>
      <c r="D178" s="789">
        <v>0.76529999999999998</v>
      </c>
      <c r="E178" s="789">
        <v>0.76529999999999998</v>
      </c>
      <c r="F178" s="789">
        <v>0.76529999999999998</v>
      </c>
      <c r="G178" s="789">
        <v>0.76529999999999998</v>
      </c>
      <c r="H178" s="789">
        <v>0.76529999999999998</v>
      </c>
      <c r="I178" s="789">
        <v>0.67079999999999995</v>
      </c>
      <c r="J178" s="789">
        <v>0.67079999999999995</v>
      </c>
      <c r="K178" s="789">
        <v>0.67079999999999995</v>
      </c>
      <c r="L178" s="789">
        <v>0.67079999999999995</v>
      </c>
      <c r="M178" s="789">
        <v>0.67079999999999995</v>
      </c>
    </row>
    <row r="179" spans="1:13">
      <c r="A179" s="785">
        <v>7.5</v>
      </c>
      <c r="B179" s="789">
        <v>0.86299999999999999</v>
      </c>
      <c r="C179" s="789">
        <v>0.86299999999999999</v>
      </c>
      <c r="D179" s="789">
        <v>0.76359999999999995</v>
      </c>
      <c r="E179" s="789">
        <v>0.76359999999999995</v>
      </c>
      <c r="F179" s="789">
        <v>0.76359999999999995</v>
      </c>
      <c r="G179" s="789">
        <v>0.76359999999999995</v>
      </c>
      <c r="H179" s="789">
        <v>0.76359999999999995</v>
      </c>
      <c r="I179" s="789">
        <v>0.66890000000000005</v>
      </c>
      <c r="J179" s="789">
        <v>0.66890000000000005</v>
      </c>
      <c r="K179" s="789">
        <v>0.66890000000000005</v>
      </c>
      <c r="L179" s="789">
        <v>0.66890000000000005</v>
      </c>
      <c r="M179" s="789">
        <v>0.66890000000000005</v>
      </c>
    </row>
    <row r="180" spans="1:13">
      <c r="A180" s="785">
        <v>7.6</v>
      </c>
      <c r="B180" s="789">
        <v>0.86150000000000004</v>
      </c>
      <c r="C180" s="789">
        <v>0.86150000000000004</v>
      </c>
      <c r="D180" s="789">
        <v>0.76200000000000001</v>
      </c>
      <c r="E180" s="789">
        <v>0.76200000000000001</v>
      </c>
      <c r="F180" s="789">
        <v>0.76200000000000001</v>
      </c>
      <c r="G180" s="789">
        <v>0.76200000000000001</v>
      </c>
      <c r="H180" s="789">
        <v>0.76200000000000001</v>
      </c>
      <c r="I180" s="789">
        <v>0.66700000000000004</v>
      </c>
      <c r="J180" s="789">
        <v>0.66700000000000004</v>
      </c>
      <c r="K180" s="789">
        <v>0.66700000000000004</v>
      </c>
      <c r="L180" s="789">
        <v>0.66700000000000004</v>
      </c>
      <c r="M180" s="789">
        <v>0.66700000000000004</v>
      </c>
    </row>
    <row r="181" spans="1:13">
      <c r="A181" s="785">
        <v>7.7</v>
      </c>
      <c r="B181" s="789">
        <v>0.86</v>
      </c>
      <c r="C181" s="789">
        <v>0.86</v>
      </c>
      <c r="D181" s="789">
        <v>0.76039999999999996</v>
      </c>
      <c r="E181" s="789">
        <v>0.76039999999999996</v>
      </c>
      <c r="F181" s="789">
        <v>0.76039999999999996</v>
      </c>
      <c r="G181" s="789">
        <v>0.76039999999999996</v>
      </c>
      <c r="H181" s="789">
        <v>0.76039999999999996</v>
      </c>
      <c r="I181" s="789">
        <v>0.66510000000000002</v>
      </c>
      <c r="J181" s="789">
        <v>0.66510000000000002</v>
      </c>
      <c r="K181" s="789">
        <v>0.66510000000000002</v>
      </c>
      <c r="L181" s="789">
        <v>0.66510000000000002</v>
      </c>
      <c r="M181" s="789">
        <v>0.66510000000000002</v>
      </c>
    </row>
    <row r="182" spans="1:13">
      <c r="A182" s="785">
        <v>7.8</v>
      </c>
      <c r="B182" s="789">
        <v>0.85850000000000004</v>
      </c>
      <c r="C182" s="789">
        <v>0.85850000000000004</v>
      </c>
      <c r="D182" s="789">
        <v>0.75880000000000003</v>
      </c>
      <c r="E182" s="789">
        <v>0.75880000000000003</v>
      </c>
      <c r="F182" s="789">
        <v>0.75880000000000003</v>
      </c>
      <c r="G182" s="789">
        <v>0.75880000000000003</v>
      </c>
      <c r="H182" s="789">
        <v>0.75880000000000003</v>
      </c>
      <c r="I182" s="789">
        <v>0.6633</v>
      </c>
      <c r="J182" s="789">
        <v>0.6633</v>
      </c>
      <c r="K182" s="789">
        <v>0.6633</v>
      </c>
      <c r="L182" s="789">
        <v>0.6633</v>
      </c>
      <c r="M182" s="789">
        <v>0.6633</v>
      </c>
    </row>
    <row r="183" spans="1:13">
      <c r="A183" s="785">
        <v>7.9</v>
      </c>
      <c r="B183" s="789">
        <v>0.85699999999999998</v>
      </c>
      <c r="C183" s="789">
        <v>0.85699999999999998</v>
      </c>
      <c r="D183" s="789">
        <v>0.75719999999999998</v>
      </c>
      <c r="E183" s="789">
        <v>0.75719999999999998</v>
      </c>
      <c r="F183" s="789">
        <v>0.75719999999999998</v>
      </c>
      <c r="G183" s="789">
        <v>0.75719999999999998</v>
      </c>
      <c r="H183" s="789">
        <v>0.75719999999999998</v>
      </c>
      <c r="I183" s="789">
        <v>0.66149999999999998</v>
      </c>
      <c r="J183" s="789">
        <v>0.66149999999999998</v>
      </c>
      <c r="K183" s="789">
        <v>0.66149999999999998</v>
      </c>
      <c r="L183" s="789">
        <v>0.66149999999999998</v>
      </c>
      <c r="M183" s="789">
        <v>0.66149999999999998</v>
      </c>
    </row>
    <row r="184" spans="1:13">
      <c r="A184" s="785">
        <v>8</v>
      </c>
      <c r="B184" s="789">
        <v>0.85550000000000004</v>
      </c>
      <c r="C184" s="789">
        <v>0.85550000000000004</v>
      </c>
      <c r="D184" s="789">
        <v>0.75570000000000004</v>
      </c>
      <c r="E184" s="789">
        <v>0.75570000000000004</v>
      </c>
      <c r="F184" s="789">
        <v>0.75570000000000004</v>
      </c>
      <c r="G184" s="789">
        <v>0.75570000000000004</v>
      </c>
      <c r="H184" s="789">
        <v>0.75570000000000004</v>
      </c>
      <c r="I184" s="789">
        <v>0.65969999999999995</v>
      </c>
      <c r="J184" s="789">
        <v>0.65969999999999995</v>
      </c>
      <c r="K184" s="789">
        <v>0.65969999999999995</v>
      </c>
      <c r="L184" s="789">
        <v>0.65969999999999995</v>
      </c>
      <c r="M184" s="789">
        <v>0.65969999999999995</v>
      </c>
    </row>
    <row r="185" spans="1:13">
      <c r="A185" s="785">
        <v>8.1</v>
      </c>
      <c r="B185" s="789">
        <v>0.85399999999999998</v>
      </c>
      <c r="C185" s="789">
        <v>0.85399999999999998</v>
      </c>
      <c r="D185" s="789">
        <v>0.75419999999999998</v>
      </c>
      <c r="E185" s="789">
        <v>0.75419999999999998</v>
      </c>
      <c r="F185" s="789">
        <v>0.75419999999999998</v>
      </c>
      <c r="G185" s="789">
        <v>0.75419999999999998</v>
      </c>
      <c r="H185" s="789">
        <v>0.75419999999999998</v>
      </c>
      <c r="I185" s="789">
        <v>0.65800000000000003</v>
      </c>
      <c r="J185" s="789">
        <v>0.65800000000000003</v>
      </c>
      <c r="K185" s="789">
        <v>0.65800000000000003</v>
      </c>
      <c r="L185" s="789">
        <v>0.65800000000000003</v>
      </c>
      <c r="M185" s="789">
        <v>0.65800000000000003</v>
      </c>
    </row>
    <row r="186" spans="1:13">
      <c r="A186" s="785">
        <v>8.1999999999999993</v>
      </c>
      <c r="B186" s="789">
        <v>0.85250000000000004</v>
      </c>
      <c r="C186" s="789">
        <v>0.85250000000000004</v>
      </c>
      <c r="D186" s="789">
        <v>0.75270000000000004</v>
      </c>
      <c r="E186" s="789">
        <v>0.75270000000000004</v>
      </c>
      <c r="F186" s="789">
        <v>0.75270000000000004</v>
      </c>
      <c r="G186" s="789">
        <v>0.75270000000000004</v>
      </c>
      <c r="H186" s="789">
        <v>0.75270000000000004</v>
      </c>
      <c r="I186" s="789">
        <v>0.65629999999999999</v>
      </c>
      <c r="J186" s="789">
        <v>0.65629999999999999</v>
      </c>
      <c r="K186" s="789">
        <v>0.65629999999999999</v>
      </c>
      <c r="L186" s="789">
        <v>0.65629999999999999</v>
      </c>
      <c r="M186" s="789">
        <v>0.65629999999999999</v>
      </c>
    </row>
    <row r="187" spans="1:13">
      <c r="A187" s="785">
        <v>8.3000000000000007</v>
      </c>
      <c r="B187" s="789">
        <v>0.85109999999999997</v>
      </c>
      <c r="C187" s="789">
        <v>0.85109999999999997</v>
      </c>
      <c r="D187" s="789">
        <v>0.75119999999999998</v>
      </c>
      <c r="E187" s="789">
        <v>0.75119999999999998</v>
      </c>
      <c r="F187" s="789">
        <v>0.75119999999999998</v>
      </c>
      <c r="G187" s="789">
        <v>0.75119999999999998</v>
      </c>
      <c r="H187" s="789">
        <v>0.75119999999999998</v>
      </c>
      <c r="I187" s="789">
        <v>0.65459999999999996</v>
      </c>
      <c r="J187" s="789">
        <v>0.65459999999999996</v>
      </c>
      <c r="K187" s="789">
        <v>0.65459999999999996</v>
      </c>
      <c r="L187" s="789">
        <v>0.65459999999999996</v>
      </c>
      <c r="M187" s="789">
        <v>0.65459999999999996</v>
      </c>
    </row>
    <row r="188" spans="1:13">
      <c r="A188" s="785">
        <v>8.4</v>
      </c>
      <c r="B188" s="789">
        <v>0.84970000000000001</v>
      </c>
      <c r="C188" s="789">
        <v>0.84970000000000001</v>
      </c>
      <c r="D188" s="789">
        <v>0.74970000000000003</v>
      </c>
      <c r="E188" s="789">
        <v>0.74970000000000003</v>
      </c>
      <c r="F188" s="789">
        <v>0.74970000000000003</v>
      </c>
      <c r="G188" s="789">
        <v>0.74970000000000003</v>
      </c>
      <c r="H188" s="789">
        <v>0.74970000000000003</v>
      </c>
      <c r="I188" s="789">
        <v>0.65300000000000002</v>
      </c>
      <c r="J188" s="789">
        <v>0.65300000000000002</v>
      </c>
      <c r="K188" s="789">
        <v>0.65300000000000002</v>
      </c>
      <c r="L188" s="789">
        <v>0.65300000000000002</v>
      </c>
      <c r="M188" s="789">
        <v>0.65300000000000002</v>
      </c>
    </row>
    <row r="189" spans="1:13">
      <c r="A189" s="785">
        <v>8.5</v>
      </c>
      <c r="B189" s="789">
        <v>0.84830000000000005</v>
      </c>
      <c r="C189" s="789">
        <v>0.84830000000000005</v>
      </c>
      <c r="D189" s="789">
        <v>0.74819999999999998</v>
      </c>
      <c r="E189" s="789">
        <v>0.74819999999999998</v>
      </c>
      <c r="F189" s="789">
        <v>0.74819999999999998</v>
      </c>
      <c r="G189" s="789">
        <v>0.74819999999999998</v>
      </c>
      <c r="H189" s="789">
        <v>0.74819999999999998</v>
      </c>
      <c r="I189" s="789">
        <v>0.65139999999999998</v>
      </c>
      <c r="J189" s="789">
        <v>0.65139999999999998</v>
      </c>
      <c r="K189" s="789">
        <v>0.65139999999999998</v>
      </c>
      <c r="L189" s="789">
        <v>0.65139999999999998</v>
      </c>
      <c r="M189" s="789">
        <v>0.65139999999999998</v>
      </c>
    </row>
    <row r="190" spans="1:13">
      <c r="A190" s="785">
        <v>8.6</v>
      </c>
      <c r="B190" s="789">
        <v>0.84689999999999999</v>
      </c>
      <c r="C190" s="789">
        <v>0.84689999999999999</v>
      </c>
      <c r="D190" s="789">
        <v>0.74670000000000003</v>
      </c>
      <c r="E190" s="789">
        <v>0.74670000000000003</v>
      </c>
      <c r="F190" s="789">
        <v>0.74670000000000003</v>
      </c>
      <c r="G190" s="789">
        <v>0.74670000000000003</v>
      </c>
      <c r="H190" s="789">
        <v>0.74670000000000003</v>
      </c>
      <c r="I190" s="789">
        <v>0.64980000000000004</v>
      </c>
      <c r="J190" s="789">
        <v>0.64980000000000004</v>
      </c>
      <c r="K190" s="789">
        <v>0.64980000000000004</v>
      </c>
      <c r="L190" s="789">
        <v>0.64980000000000004</v>
      </c>
      <c r="M190" s="789">
        <v>0.64980000000000004</v>
      </c>
    </row>
    <row r="191" spans="1:13">
      <c r="A191" s="785">
        <v>8.6999999999999993</v>
      </c>
      <c r="B191" s="789">
        <v>0.84550000000000003</v>
      </c>
      <c r="C191" s="789">
        <v>0.84550000000000003</v>
      </c>
      <c r="D191" s="789">
        <v>0.74519999999999997</v>
      </c>
      <c r="E191" s="789">
        <v>0.74519999999999997</v>
      </c>
      <c r="F191" s="789">
        <v>0.74519999999999997</v>
      </c>
      <c r="G191" s="789">
        <v>0.74519999999999997</v>
      </c>
      <c r="H191" s="789">
        <v>0.74519999999999997</v>
      </c>
      <c r="I191" s="789">
        <v>0.6482</v>
      </c>
      <c r="J191" s="789">
        <v>0.6482</v>
      </c>
      <c r="K191" s="789">
        <v>0.6482</v>
      </c>
      <c r="L191" s="789">
        <v>0.6482</v>
      </c>
      <c r="M191" s="789">
        <v>0.6482</v>
      </c>
    </row>
    <row r="192" spans="1:13">
      <c r="A192" s="785">
        <v>8.8000000000000007</v>
      </c>
      <c r="B192" s="789">
        <v>0.84409999999999996</v>
      </c>
      <c r="C192" s="789">
        <v>0.84409999999999996</v>
      </c>
      <c r="D192" s="789">
        <v>0.74370000000000003</v>
      </c>
      <c r="E192" s="789">
        <v>0.74370000000000003</v>
      </c>
      <c r="F192" s="789">
        <v>0.74370000000000003</v>
      </c>
      <c r="G192" s="789">
        <v>0.74370000000000003</v>
      </c>
      <c r="H192" s="789">
        <v>0.74370000000000003</v>
      </c>
      <c r="I192" s="789">
        <v>0.64659999999999995</v>
      </c>
      <c r="J192" s="789">
        <v>0.64659999999999995</v>
      </c>
      <c r="K192" s="789">
        <v>0.64659999999999995</v>
      </c>
      <c r="L192" s="789">
        <v>0.64659999999999995</v>
      </c>
      <c r="M192" s="789">
        <v>0.64659999999999995</v>
      </c>
    </row>
    <row r="193" spans="1:13">
      <c r="A193" s="785">
        <v>8.9</v>
      </c>
      <c r="B193" s="789">
        <v>0.84279999999999999</v>
      </c>
      <c r="C193" s="789">
        <v>0.84279999999999999</v>
      </c>
      <c r="D193" s="789">
        <v>0.74219999999999997</v>
      </c>
      <c r="E193" s="789">
        <v>0.74219999999999997</v>
      </c>
      <c r="F193" s="789">
        <v>0.74219999999999997</v>
      </c>
      <c r="G193" s="789">
        <v>0.74219999999999997</v>
      </c>
      <c r="H193" s="789">
        <v>0.74219999999999997</v>
      </c>
      <c r="I193" s="789">
        <v>0.64500000000000002</v>
      </c>
      <c r="J193" s="789">
        <v>0.64500000000000002</v>
      </c>
      <c r="K193" s="789">
        <v>0.64500000000000002</v>
      </c>
      <c r="L193" s="789">
        <v>0.64500000000000002</v>
      </c>
      <c r="M193" s="789">
        <v>0.64500000000000002</v>
      </c>
    </row>
    <row r="194" spans="1:13">
      <c r="A194" s="791">
        <v>9</v>
      </c>
      <c r="B194" s="789">
        <v>0.84150000000000003</v>
      </c>
      <c r="C194" s="789">
        <v>0.84150000000000003</v>
      </c>
      <c r="D194" s="789">
        <v>0.74070000000000003</v>
      </c>
      <c r="E194" s="789">
        <v>0.74070000000000003</v>
      </c>
      <c r="F194" s="789">
        <v>0.74070000000000003</v>
      </c>
      <c r="G194" s="789">
        <v>0.74070000000000003</v>
      </c>
      <c r="H194" s="789">
        <v>0.74070000000000003</v>
      </c>
      <c r="I194" s="789">
        <v>0.64349999999999996</v>
      </c>
      <c r="J194" s="789">
        <v>0.64349999999999996</v>
      </c>
      <c r="K194" s="789">
        <v>0.64349999999999996</v>
      </c>
      <c r="L194" s="789">
        <v>0.64349999999999996</v>
      </c>
      <c r="M194" s="789">
        <v>0.64349999999999996</v>
      </c>
    </row>
    <row r="195" spans="1:13">
      <c r="A195" s="791">
        <v>9.1</v>
      </c>
      <c r="B195" s="789">
        <v>0.84019999999999995</v>
      </c>
      <c r="C195" s="789">
        <v>0.84019999999999995</v>
      </c>
      <c r="D195" s="789">
        <v>0.73919999999999997</v>
      </c>
      <c r="E195" s="789">
        <v>0.73919999999999997</v>
      </c>
      <c r="F195" s="789">
        <v>0.73919999999999997</v>
      </c>
      <c r="G195" s="789">
        <v>0.73919999999999997</v>
      </c>
      <c r="H195" s="789">
        <v>0.73919999999999997</v>
      </c>
      <c r="I195" s="789">
        <v>0.64200000000000002</v>
      </c>
      <c r="J195" s="789">
        <v>0.64200000000000002</v>
      </c>
      <c r="K195" s="789">
        <v>0.64200000000000002</v>
      </c>
      <c r="L195" s="789">
        <v>0.64200000000000002</v>
      </c>
      <c r="M195" s="789">
        <v>0.64200000000000002</v>
      </c>
    </row>
    <row r="196" spans="1:13">
      <c r="A196" s="791">
        <v>9.1999999999999993</v>
      </c>
      <c r="B196" s="789">
        <v>0.83889999999999998</v>
      </c>
      <c r="C196" s="789">
        <v>0.83889999999999998</v>
      </c>
      <c r="D196" s="789">
        <v>0.73770000000000002</v>
      </c>
      <c r="E196" s="789">
        <v>0.73770000000000002</v>
      </c>
      <c r="F196" s="789">
        <v>0.73770000000000002</v>
      </c>
      <c r="G196" s="789">
        <v>0.73770000000000002</v>
      </c>
      <c r="H196" s="789">
        <v>0.73770000000000002</v>
      </c>
      <c r="I196" s="789">
        <v>0.64059999999999995</v>
      </c>
      <c r="J196" s="789">
        <v>0.64059999999999995</v>
      </c>
      <c r="K196" s="789">
        <v>0.64059999999999995</v>
      </c>
      <c r="L196" s="789">
        <v>0.64059999999999995</v>
      </c>
      <c r="M196" s="789">
        <v>0.64059999999999995</v>
      </c>
    </row>
    <row r="197" spans="1:13">
      <c r="A197" s="791">
        <v>9.3000000000000007</v>
      </c>
      <c r="B197" s="789">
        <v>0.83760000000000001</v>
      </c>
      <c r="C197" s="789">
        <v>0.83760000000000001</v>
      </c>
      <c r="D197" s="789">
        <v>0.73629999999999995</v>
      </c>
      <c r="E197" s="789">
        <v>0.73629999999999995</v>
      </c>
      <c r="F197" s="789">
        <v>0.73629999999999995</v>
      </c>
      <c r="G197" s="789">
        <v>0.73629999999999995</v>
      </c>
      <c r="H197" s="789">
        <v>0.73629999999999995</v>
      </c>
      <c r="I197" s="789">
        <v>0.63919999999999999</v>
      </c>
      <c r="J197" s="789">
        <v>0.63919999999999999</v>
      </c>
      <c r="K197" s="789">
        <v>0.63919999999999999</v>
      </c>
      <c r="L197" s="789">
        <v>0.63919999999999999</v>
      </c>
      <c r="M197" s="789">
        <v>0.63919999999999999</v>
      </c>
    </row>
    <row r="198" spans="1:13">
      <c r="A198" s="791">
        <v>9.4</v>
      </c>
      <c r="B198" s="789">
        <v>0.83630000000000004</v>
      </c>
      <c r="C198" s="789">
        <v>0.83630000000000004</v>
      </c>
      <c r="D198" s="789">
        <v>0.7349</v>
      </c>
      <c r="E198" s="789">
        <v>0.7349</v>
      </c>
      <c r="F198" s="789">
        <v>0.7349</v>
      </c>
      <c r="G198" s="789">
        <v>0.7349</v>
      </c>
      <c r="H198" s="789">
        <v>0.7349</v>
      </c>
      <c r="I198" s="789">
        <v>0.63780000000000003</v>
      </c>
      <c r="J198" s="789">
        <v>0.63780000000000003</v>
      </c>
      <c r="K198" s="789">
        <v>0.63780000000000003</v>
      </c>
      <c r="L198" s="789">
        <v>0.63780000000000003</v>
      </c>
      <c r="M198" s="789">
        <v>0.63780000000000003</v>
      </c>
    </row>
    <row r="199" spans="1:13">
      <c r="A199" s="791">
        <v>9.5</v>
      </c>
      <c r="B199" s="789">
        <v>0.83499999999999996</v>
      </c>
      <c r="C199" s="789">
        <v>0.83499999999999996</v>
      </c>
      <c r="D199" s="789">
        <v>0.73350000000000004</v>
      </c>
      <c r="E199" s="789">
        <v>0.73350000000000004</v>
      </c>
      <c r="F199" s="789">
        <v>0.73350000000000004</v>
      </c>
      <c r="G199" s="789">
        <v>0.73350000000000004</v>
      </c>
      <c r="H199" s="789">
        <v>0.73350000000000004</v>
      </c>
      <c r="I199" s="789">
        <v>0.63639999999999997</v>
      </c>
      <c r="J199" s="789">
        <v>0.63639999999999997</v>
      </c>
      <c r="K199" s="789">
        <v>0.63639999999999997</v>
      </c>
      <c r="L199" s="789">
        <v>0.63639999999999997</v>
      </c>
      <c r="M199" s="789">
        <v>0.63639999999999997</v>
      </c>
    </row>
    <row r="200" spans="1:13">
      <c r="A200" s="791">
        <v>9.6</v>
      </c>
      <c r="B200" s="789">
        <v>0.83379999999999999</v>
      </c>
      <c r="C200" s="789">
        <v>0.83379999999999999</v>
      </c>
      <c r="D200" s="789">
        <v>0.73209999999999997</v>
      </c>
      <c r="E200" s="789">
        <v>0.73209999999999997</v>
      </c>
      <c r="F200" s="789">
        <v>0.73209999999999997</v>
      </c>
      <c r="G200" s="789">
        <v>0.73209999999999997</v>
      </c>
      <c r="H200" s="789">
        <v>0.73209999999999997</v>
      </c>
      <c r="I200" s="789">
        <v>0.63500000000000001</v>
      </c>
      <c r="J200" s="789">
        <v>0.63500000000000001</v>
      </c>
      <c r="K200" s="789">
        <v>0.63500000000000001</v>
      </c>
      <c r="L200" s="789">
        <v>0.63500000000000001</v>
      </c>
      <c r="M200" s="789">
        <v>0.63500000000000001</v>
      </c>
    </row>
    <row r="201" spans="1:13">
      <c r="A201" s="791">
        <v>9.6999999999999993</v>
      </c>
      <c r="B201" s="789">
        <v>0.83260000000000001</v>
      </c>
      <c r="C201" s="789">
        <v>0.83260000000000001</v>
      </c>
      <c r="D201" s="789">
        <v>0.73070000000000002</v>
      </c>
      <c r="E201" s="789">
        <v>0.73070000000000002</v>
      </c>
      <c r="F201" s="789">
        <v>0.73070000000000002</v>
      </c>
      <c r="G201" s="789">
        <v>0.73070000000000002</v>
      </c>
      <c r="H201" s="789">
        <v>0.73070000000000002</v>
      </c>
      <c r="I201" s="789">
        <v>0.63360000000000005</v>
      </c>
      <c r="J201" s="789">
        <v>0.63360000000000005</v>
      </c>
      <c r="K201" s="789">
        <v>0.63360000000000005</v>
      </c>
      <c r="L201" s="789">
        <v>0.63360000000000005</v>
      </c>
      <c r="M201" s="789">
        <v>0.63360000000000005</v>
      </c>
    </row>
    <row r="202" spans="1:13">
      <c r="A202" s="791">
        <v>9.8000000000000007</v>
      </c>
      <c r="B202" s="789">
        <v>0.83140000000000003</v>
      </c>
      <c r="C202" s="789">
        <v>0.83140000000000003</v>
      </c>
      <c r="D202" s="789">
        <v>0.72929999999999995</v>
      </c>
      <c r="E202" s="789">
        <v>0.72929999999999995</v>
      </c>
      <c r="F202" s="789">
        <v>0.72929999999999995</v>
      </c>
      <c r="G202" s="789">
        <v>0.72929999999999995</v>
      </c>
      <c r="H202" s="789">
        <v>0.72929999999999995</v>
      </c>
      <c r="I202" s="789">
        <v>0.63219999999999998</v>
      </c>
      <c r="J202" s="789">
        <v>0.63219999999999998</v>
      </c>
      <c r="K202" s="789">
        <v>0.63219999999999998</v>
      </c>
      <c r="L202" s="789">
        <v>0.63219999999999998</v>
      </c>
      <c r="M202" s="789">
        <v>0.63219999999999998</v>
      </c>
    </row>
    <row r="203" spans="1:13">
      <c r="A203" s="791">
        <v>9.9</v>
      </c>
      <c r="B203" s="789">
        <v>0.83020000000000005</v>
      </c>
      <c r="C203" s="789">
        <v>0.83020000000000005</v>
      </c>
      <c r="D203" s="789">
        <v>0.72799999999999998</v>
      </c>
      <c r="E203" s="789">
        <v>0.72799999999999998</v>
      </c>
      <c r="F203" s="789">
        <v>0.72799999999999998</v>
      </c>
      <c r="G203" s="789">
        <v>0.72799999999999998</v>
      </c>
      <c r="H203" s="789">
        <v>0.72799999999999998</v>
      </c>
      <c r="I203" s="789">
        <v>0.63080000000000003</v>
      </c>
      <c r="J203" s="789">
        <v>0.63080000000000003</v>
      </c>
      <c r="K203" s="789">
        <v>0.63080000000000003</v>
      </c>
      <c r="L203" s="789">
        <v>0.63080000000000003</v>
      </c>
      <c r="M203" s="789">
        <v>0.63080000000000003</v>
      </c>
    </row>
    <row r="204" spans="1:13">
      <c r="A204" s="791">
        <v>10</v>
      </c>
      <c r="B204" s="789">
        <v>0.82899999999999996</v>
      </c>
      <c r="C204" s="789">
        <v>0.82899999999999996</v>
      </c>
      <c r="D204" s="789">
        <v>0.72670000000000001</v>
      </c>
      <c r="E204" s="789">
        <v>0.72670000000000001</v>
      </c>
      <c r="F204" s="789">
        <v>0.72670000000000001</v>
      </c>
      <c r="G204" s="789">
        <v>0.72670000000000001</v>
      </c>
      <c r="H204" s="789">
        <v>0.72670000000000001</v>
      </c>
      <c r="I204" s="789">
        <v>0.62939999999999996</v>
      </c>
      <c r="J204" s="789">
        <v>0.62939999999999996</v>
      </c>
      <c r="K204" s="789">
        <v>0.62939999999999996</v>
      </c>
      <c r="L204" s="789">
        <v>0.62939999999999996</v>
      </c>
      <c r="M204" s="789">
        <v>0.62939999999999996</v>
      </c>
    </row>
    <row r="205" spans="1:13" ht="14.25">
      <c r="A205" s="782" t="s">
        <v>706</v>
      </c>
      <c r="B205" s="783"/>
      <c r="C205" s="783"/>
      <c r="D205" s="783"/>
      <c r="E205" s="783"/>
      <c r="F205" s="783"/>
      <c r="G205" s="783"/>
      <c r="H205" s="783"/>
      <c r="I205" s="783"/>
      <c r="J205" s="783"/>
      <c r="K205" s="783"/>
      <c r="L205" s="783"/>
      <c r="M205" s="783"/>
    </row>
    <row r="206" spans="1:13">
      <c r="A206" s="785" t="s">
        <v>703</v>
      </c>
      <c r="B206" s="786" t="s">
        <v>106</v>
      </c>
      <c r="C206" s="786" t="s">
        <v>107</v>
      </c>
      <c r="D206" s="786" t="s">
        <v>108</v>
      </c>
      <c r="E206" s="786" t="s">
        <v>109</v>
      </c>
      <c r="F206" s="786" t="s">
        <v>110</v>
      </c>
      <c r="G206" s="786" t="s">
        <v>111</v>
      </c>
      <c r="H206" s="787" t="s">
        <v>112</v>
      </c>
      <c r="I206" s="787" t="s">
        <v>113</v>
      </c>
      <c r="J206" s="788" t="s">
        <v>114</v>
      </c>
      <c r="K206" s="788" t="s">
        <v>115</v>
      </c>
      <c r="L206" s="788" t="s">
        <v>116</v>
      </c>
      <c r="M206" s="788" t="s">
        <v>117</v>
      </c>
    </row>
    <row r="207" spans="1:13">
      <c r="A207" s="785">
        <v>0.1</v>
      </c>
      <c r="B207" s="789">
        <v>12.172000000000001</v>
      </c>
      <c r="C207" s="789">
        <v>12.172000000000001</v>
      </c>
      <c r="D207" s="789">
        <v>12.375999999999999</v>
      </c>
      <c r="E207" s="789">
        <v>12.375999999999999</v>
      </c>
      <c r="F207" s="789">
        <v>12.375999999999999</v>
      </c>
      <c r="G207" s="789">
        <v>12.375999999999999</v>
      </c>
      <c r="H207" s="789">
        <v>12.375999999999999</v>
      </c>
      <c r="I207" s="789">
        <v>11.071999999999999</v>
      </c>
      <c r="J207" s="789">
        <v>11.071999999999999</v>
      </c>
      <c r="K207" s="789">
        <v>11.071999999999999</v>
      </c>
      <c r="L207" s="789">
        <v>11.071999999999999</v>
      </c>
      <c r="M207" s="789">
        <v>11.071999999999999</v>
      </c>
    </row>
    <row r="208" spans="1:13">
      <c r="A208" s="785">
        <v>0.2</v>
      </c>
      <c r="B208" s="789">
        <v>6.0860000000000003</v>
      </c>
      <c r="C208" s="789">
        <v>6.0860000000000003</v>
      </c>
      <c r="D208" s="789">
        <v>6.1879999999999997</v>
      </c>
      <c r="E208" s="789">
        <v>6.1879999999999997</v>
      </c>
      <c r="F208" s="789">
        <v>6.1879999999999997</v>
      </c>
      <c r="G208" s="789">
        <v>6.1879999999999997</v>
      </c>
      <c r="H208" s="789">
        <v>6.1879999999999997</v>
      </c>
      <c r="I208" s="789">
        <v>5.5359999999999996</v>
      </c>
      <c r="J208" s="789">
        <v>5.5359999999999996</v>
      </c>
      <c r="K208" s="789">
        <v>5.5359999999999996</v>
      </c>
      <c r="L208" s="789">
        <v>5.5359999999999996</v>
      </c>
      <c r="M208" s="789">
        <v>5.5359999999999996</v>
      </c>
    </row>
    <row r="209" spans="1:13">
      <c r="A209" s="785">
        <v>0.3</v>
      </c>
      <c r="B209" s="789">
        <v>4.0572999999999997</v>
      </c>
      <c r="C209" s="789">
        <v>4.0572999999999997</v>
      </c>
      <c r="D209" s="789">
        <v>4.1253000000000002</v>
      </c>
      <c r="E209" s="789">
        <v>4.1253000000000002</v>
      </c>
      <c r="F209" s="789">
        <v>4.1253000000000002</v>
      </c>
      <c r="G209" s="789">
        <v>4.1253000000000002</v>
      </c>
      <c r="H209" s="789">
        <v>4.1253000000000002</v>
      </c>
      <c r="I209" s="789">
        <v>3.6907000000000001</v>
      </c>
      <c r="J209" s="789">
        <v>3.6907000000000001</v>
      </c>
      <c r="K209" s="789">
        <v>3.6907000000000001</v>
      </c>
      <c r="L209" s="789">
        <v>3.6907000000000001</v>
      </c>
      <c r="M209" s="789">
        <v>3.6907000000000001</v>
      </c>
    </row>
    <row r="210" spans="1:13">
      <c r="A210" s="785">
        <v>0.4</v>
      </c>
      <c r="B210" s="789">
        <v>3.0430000000000001</v>
      </c>
      <c r="C210" s="789">
        <v>3.0430000000000001</v>
      </c>
      <c r="D210" s="789">
        <v>3.0939999999999999</v>
      </c>
      <c r="E210" s="789">
        <v>3.0939999999999999</v>
      </c>
      <c r="F210" s="789">
        <v>3.0939999999999999</v>
      </c>
      <c r="G210" s="789">
        <v>3.0939999999999999</v>
      </c>
      <c r="H210" s="789">
        <v>3.0939999999999999</v>
      </c>
      <c r="I210" s="789">
        <v>2.7679999999999998</v>
      </c>
      <c r="J210" s="789">
        <v>2.7679999999999998</v>
      </c>
      <c r="K210" s="789">
        <v>2.7679999999999998</v>
      </c>
      <c r="L210" s="789">
        <v>2.7679999999999998</v>
      </c>
      <c r="M210" s="789">
        <v>2.7679999999999998</v>
      </c>
    </row>
    <row r="211" spans="1:13">
      <c r="A211" s="785">
        <v>0.5</v>
      </c>
      <c r="B211" s="789">
        <v>2.4344000000000001</v>
      </c>
      <c r="C211" s="789">
        <v>2.4344000000000001</v>
      </c>
      <c r="D211" s="789">
        <v>2.4752000000000001</v>
      </c>
      <c r="E211" s="789">
        <v>2.4752000000000001</v>
      </c>
      <c r="F211" s="789">
        <v>2.4752000000000001</v>
      </c>
      <c r="G211" s="789">
        <v>2.4752000000000001</v>
      </c>
      <c r="H211" s="789">
        <v>2.4752000000000001</v>
      </c>
      <c r="I211" s="789">
        <v>2.2143999999999999</v>
      </c>
      <c r="J211" s="789">
        <v>2.2143999999999999</v>
      </c>
      <c r="K211" s="789">
        <v>2.2143999999999999</v>
      </c>
      <c r="L211" s="789">
        <v>2.2143999999999999</v>
      </c>
      <c r="M211" s="789">
        <v>2.2143999999999999</v>
      </c>
    </row>
    <row r="212" spans="1:13">
      <c r="A212" s="785">
        <v>0.6</v>
      </c>
      <c r="B212" s="789">
        <v>2.0287000000000002</v>
      </c>
      <c r="C212" s="789">
        <v>2.0287000000000002</v>
      </c>
      <c r="D212" s="789">
        <v>2.0627</v>
      </c>
      <c r="E212" s="789">
        <v>2.0627</v>
      </c>
      <c r="F212" s="789">
        <v>2.0627</v>
      </c>
      <c r="G212" s="789">
        <v>2.0627</v>
      </c>
      <c r="H212" s="789">
        <v>2.0627</v>
      </c>
      <c r="I212" s="789">
        <v>1.8452999999999999</v>
      </c>
      <c r="J212" s="789">
        <v>1.8452999999999999</v>
      </c>
      <c r="K212" s="789">
        <v>1.8452999999999999</v>
      </c>
      <c r="L212" s="789">
        <v>1.8452999999999999</v>
      </c>
      <c r="M212" s="789">
        <v>1.8452999999999999</v>
      </c>
    </row>
    <row r="213" spans="1:13">
      <c r="A213" s="785">
        <v>0.7</v>
      </c>
      <c r="B213" s="789">
        <v>1.7388999999999999</v>
      </c>
      <c r="C213" s="789">
        <v>1.7388999999999999</v>
      </c>
      <c r="D213" s="789">
        <v>1.768</v>
      </c>
      <c r="E213" s="789">
        <v>1.768</v>
      </c>
      <c r="F213" s="789">
        <v>1.768</v>
      </c>
      <c r="G213" s="789">
        <v>1.768</v>
      </c>
      <c r="H213" s="789">
        <v>1.768</v>
      </c>
      <c r="I213" s="789">
        <v>1.5817000000000001</v>
      </c>
      <c r="J213" s="789">
        <v>1.5817000000000001</v>
      </c>
      <c r="K213" s="789">
        <v>1.5817000000000001</v>
      </c>
      <c r="L213" s="789">
        <v>1.5817000000000001</v>
      </c>
      <c r="M213" s="789">
        <v>1.5817000000000001</v>
      </c>
    </row>
    <row r="214" spans="1:13">
      <c r="A214" s="785">
        <v>0.8</v>
      </c>
      <c r="B214" s="789">
        <v>1.5215000000000001</v>
      </c>
      <c r="C214" s="789">
        <v>1.5215000000000001</v>
      </c>
      <c r="D214" s="789">
        <v>1.5469999999999999</v>
      </c>
      <c r="E214" s="789">
        <v>1.5469999999999999</v>
      </c>
      <c r="F214" s="789">
        <v>1.5469999999999999</v>
      </c>
      <c r="G214" s="789">
        <v>1.5469999999999999</v>
      </c>
      <c r="H214" s="789">
        <v>1.5469999999999999</v>
      </c>
      <c r="I214" s="789">
        <v>1.3839999999999999</v>
      </c>
      <c r="J214" s="789">
        <v>1.3839999999999999</v>
      </c>
      <c r="K214" s="789">
        <v>1.3839999999999999</v>
      </c>
      <c r="L214" s="789">
        <v>1.3839999999999999</v>
      </c>
      <c r="M214" s="789">
        <v>1.3839999999999999</v>
      </c>
    </row>
    <row r="215" spans="1:13">
      <c r="A215" s="785">
        <v>0.9</v>
      </c>
      <c r="B215" s="789">
        <v>1.3524</v>
      </c>
      <c r="C215" s="789">
        <v>1.3524</v>
      </c>
      <c r="D215" s="789">
        <v>1.3751</v>
      </c>
      <c r="E215" s="789">
        <v>1.3751</v>
      </c>
      <c r="F215" s="789">
        <v>1.3751</v>
      </c>
      <c r="G215" s="789">
        <v>1.3751</v>
      </c>
      <c r="H215" s="789">
        <v>1.3751</v>
      </c>
      <c r="I215" s="789">
        <v>1.2302</v>
      </c>
      <c r="J215" s="789">
        <v>1.2302</v>
      </c>
      <c r="K215" s="789">
        <v>1.2302</v>
      </c>
      <c r="L215" s="789">
        <v>1.2302</v>
      </c>
      <c r="M215" s="789">
        <v>1.2302</v>
      </c>
    </row>
    <row r="216" spans="1:13">
      <c r="A216" s="785">
        <v>1</v>
      </c>
      <c r="B216" s="789">
        <v>1.2172000000000001</v>
      </c>
      <c r="C216" s="789">
        <v>1.2172000000000001</v>
      </c>
      <c r="D216" s="789">
        <v>1.2376</v>
      </c>
      <c r="E216" s="789">
        <v>1.2376</v>
      </c>
      <c r="F216" s="789">
        <v>1.2376</v>
      </c>
      <c r="G216" s="789">
        <v>1.2376</v>
      </c>
      <c r="H216" s="789">
        <v>1.2376</v>
      </c>
      <c r="I216" s="789">
        <v>1.1072</v>
      </c>
      <c r="J216" s="789">
        <v>1.1072</v>
      </c>
      <c r="K216" s="789">
        <v>1.1072</v>
      </c>
      <c r="L216" s="789">
        <v>1.1072</v>
      </c>
      <c r="M216" s="789">
        <v>1.1072</v>
      </c>
    </row>
    <row r="217" spans="1:13">
      <c r="A217" s="785">
        <v>1.1000000000000001</v>
      </c>
      <c r="B217" s="789">
        <v>1.198</v>
      </c>
      <c r="C217" s="789">
        <v>1.198</v>
      </c>
      <c r="D217" s="789">
        <v>1.2156</v>
      </c>
      <c r="E217" s="789">
        <v>1.2156</v>
      </c>
      <c r="F217" s="789">
        <v>1.2156</v>
      </c>
      <c r="G217" s="789">
        <v>1.2156</v>
      </c>
      <c r="H217" s="789">
        <v>1.2156</v>
      </c>
      <c r="I217" s="789">
        <v>1.0829</v>
      </c>
      <c r="J217" s="789">
        <v>1.0829</v>
      </c>
      <c r="K217" s="789">
        <v>1.0829</v>
      </c>
      <c r="L217" s="789">
        <v>1.0829</v>
      </c>
      <c r="M217" s="789">
        <v>1.0829</v>
      </c>
    </row>
    <row r="218" spans="1:13">
      <c r="A218" s="785">
        <v>1.2</v>
      </c>
      <c r="B218" s="789">
        <v>1.1795</v>
      </c>
      <c r="C218" s="789">
        <v>1.1795</v>
      </c>
      <c r="D218" s="789">
        <v>1.1947000000000001</v>
      </c>
      <c r="E218" s="789">
        <v>1.1947000000000001</v>
      </c>
      <c r="F218" s="789">
        <v>1.1947000000000001</v>
      </c>
      <c r="G218" s="789">
        <v>1.1947000000000001</v>
      </c>
      <c r="H218" s="789">
        <v>1.1947000000000001</v>
      </c>
      <c r="I218" s="789">
        <v>1.0601</v>
      </c>
      <c r="J218" s="789">
        <v>1.0601</v>
      </c>
      <c r="K218" s="789">
        <v>1.0601</v>
      </c>
      <c r="L218" s="789">
        <v>1.0601</v>
      </c>
      <c r="M218" s="789">
        <v>1.0601</v>
      </c>
    </row>
    <row r="219" spans="1:13">
      <c r="A219" s="785">
        <v>1.3</v>
      </c>
      <c r="B219" s="789">
        <v>1.1617999999999999</v>
      </c>
      <c r="C219" s="789">
        <v>1.1617999999999999</v>
      </c>
      <c r="D219" s="789">
        <v>1.1748000000000001</v>
      </c>
      <c r="E219" s="789">
        <v>1.1748000000000001</v>
      </c>
      <c r="F219" s="789">
        <v>1.1748000000000001</v>
      </c>
      <c r="G219" s="789">
        <v>1.1748000000000001</v>
      </c>
      <c r="H219" s="789">
        <v>1.1748000000000001</v>
      </c>
      <c r="I219" s="789">
        <v>1.0387999999999999</v>
      </c>
      <c r="J219" s="789">
        <v>1.0387999999999999</v>
      </c>
      <c r="K219" s="789">
        <v>1.0387999999999999</v>
      </c>
      <c r="L219" s="789">
        <v>1.0387999999999999</v>
      </c>
      <c r="M219" s="789">
        <v>1.0387999999999999</v>
      </c>
    </row>
    <row r="220" spans="1:13">
      <c r="A220" s="785">
        <v>1.4</v>
      </c>
      <c r="B220" s="789">
        <v>1.1448</v>
      </c>
      <c r="C220" s="789">
        <v>1.1448</v>
      </c>
      <c r="D220" s="789">
        <v>1.1557999999999999</v>
      </c>
      <c r="E220" s="789">
        <v>1.1557999999999999</v>
      </c>
      <c r="F220" s="789">
        <v>1.1557999999999999</v>
      </c>
      <c r="G220" s="789">
        <v>1.1557999999999999</v>
      </c>
      <c r="H220" s="789">
        <v>1.1557999999999999</v>
      </c>
      <c r="I220" s="789">
        <v>1.0187999999999999</v>
      </c>
      <c r="J220" s="789">
        <v>1.0187999999999999</v>
      </c>
      <c r="K220" s="789">
        <v>1.0187999999999999</v>
      </c>
      <c r="L220" s="789">
        <v>1.0187999999999999</v>
      </c>
      <c r="M220" s="789">
        <v>1.0187999999999999</v>
      </c>
    </row>
    <row r="221" spans="1:13">
      <c r="A221" s="785">
        <v>1.5</v>
      </c>
      <c r="B221" s="789">
        <v>1.1285000000000001</v>
      </c>
      <c r="C221" s="789">
        <v>1.1285000000000001</v>
      </c>
      <c r="D221" s="789">
        <v>1.1377999999999999</v>
      </c>
      <c r="E221" s="789">
        <v>1.1377999999999999</v>
      </c>
      <c r="F221" s="789">
        <v>1.1377999999999999</v>
      </c>
      <c r="G221" s="789">
        <v>1.1377999999999999</v>
      </c>
      <c r="H221" s="789">
        <v>1.1377999999999999</v>
      </c>
      <c r="I221" s="789">
        <v>1</v>
      </c>
      <c r="J221" s="789">
        <v>1</v>
      </c>
      <c r="K221" s="789">
        <v>1</v>
      </c>
      <c r="L221" s="789">
        <v>1</v>
      </c>
      <c r="M221" s="789">
        <v>1</v>
      </c>
    </row>
    <row r="222" spans="1:13">
      <c r="A222" s="785">
        <v>1.6</v>
      </c>
      <c r="B222" s="789">
        <v>1.1129</v>
      </c>
      <c r="C222" s="789">
        <v>1.1129</v>
      </c>
      <c r="D222" s="789">
        <v>1.1206</v>
      </c>
      <c r="E222" s="789">
        <v>1.1206</v>
      </c>
      <c r="F222" s="789">
        <v>1.1206</v>
      </c>
      <c r="G222" s="789">
        <v>1.1206</v>
      </c>
      <c r="H222" s="789">
        <v>1.1206</v>
      </c>
      <c r="I222" s="789">
        <v>0.98240000000000005</v>
      </c>
      <c r="J222" s="789">
        <v>0.98240000000000005</v>
      </c>
      <c r="K222" s="789">
        <v>0.98240000000000005</v>
      </c>
      <c r="L222" s="789">
        <v>0.98240000000000005</v>
      </c>
      <c r="M222" s="789">
        <v>0.98240000000000005</v>
      </c>
    </row>
    <row r="223" spans="1:13">
      <c r="A223" s="785">
        <v>1.7</v>
      </c>
      <c r="B223" s="789">
        <v>1.0980000000000001</v>
      </c>
      <c r="C223" s="789">
        <v>1.0980000000000001</v>
      </c>
      <c r="D223" s="789">
        <v>1.1043000000000001</v>
      </c>
      <c r="E223" s="789">
        <v>1.1043000000000001</v>
      </c>
      <c r="F223" s="789">
        <v>1.1043000000000001</v>
      </c>
      <c r="G223" s="789">
        <v>1.1043000000000001</v>
      </c>
      <c r="H223" s="789">
        <v>1.1043000000000001</v>
      </c>
      <c r="I223" s="789">
        <v>0.96579999999999999</v>
      </c>
      <c r="J223" s="789">
        <v>0.96579999999999999</v>
      </c>
      <c r="K223" s="789">
        <v>0.96579999999999999</v>
      </c>
      <c r="L223" s="789">
        <v>0.96579999999999999</v>
      </c>
      <c r="M223" s="789">
        <v>0.96579999999999999</v>
      </c>
    </row>
    <row r="224" spans="1:13">
      <c r="A224" s="785">
        <v>1.8</v>
      </c>
      <c r="B224" s="789">
        <v>1.0835999999999999</v>
      </c>
      <c r="C224" s="789">
        <v>1.0835999999999999</v>
      </c>
      <c r="D224" s="789">
        <v>1.0888</v>
      </c>
      <c r="E224" s="789">
        <v>1.0888</v>
      </c>
      <c r="F224" s="789">
        <v>1.0888</v>
      </c>
      <c r="G224" s="789">
        <v>1.0888</v>
      </c>
      <c r="H224" s="789">
        <v>1.0888</v>
      </c>
      <c r="I224" s="789">
        <v>0.95030000000000003</v>
      </c>
      <c r="J224" s="789">
        <v>0.95030000000000003</v>
      </c>
      <c r="K224" s="789">
        <v>0.95030000000000003</v>
      </c>
      <c r="L224" s="789">
        <v>0.95030000000000003</v>
      </c>
      <c r="M224" s="789">
        <v>0.95030000000000003</v>
      </c>
    </row>
    <row r="225" spans="1:13">
      <c r="A225" s="785">
        <v>1.9</v>
      </c>
      <c r="B225" s="789">
        <v>1.0698000000000001</v>
      </c>
      <c r="C225" s="789">
        <v>1.0698000000000001</v>
      </c>
      <c r="D225" s="789">
        <v>1.0741000000000001</v>
      </c>
      <c r="E225" s="789">
        <v>1.0741000000000001</v>
      </c>
      <c r="F225" s="789">
        <v>1.0741000000000001</v>
      </c>
      <c r="G225" s="789">
        <v>1.0741000000000001</v>
      </c>
      <c r="H225" s="789">
        <v>1.0741000000000001</v>
      </c>
      <c r="I225" s="789">
        <v>0.93610000000000004</v>
      </c>
      <c r="J225" s="789">
        <v>0.93610000000000004</v>
      </c>
      <c r="K225" s="789">
        <v>0.93610000000000004</v>
      </c>
      <c r="L225" s="789">
        <v>0.93610000000000004</v>
      </c>
      <c r="M225" s="789">
        <v>0.93610000000000004</v>
      </c>
    </row>
    <row r="226" spans="1:13">
      <c r="A226" s="785">
        <v>2</v>
      </c>
      <c r="B226" s="789">
        <v>1.0568</v>
      </c>
      <c r="C226" s="789">
        <v>1.0568</v>
      </c>
      <c r="D226" s="789">
        <v>1.0601</v>
      </c>
      <c r="E226" s="789">
        <v>1.0601</v>
      </c>
      <c r="F226" s="789">
        <v>1.0601</v>
      </c>
      <c r="G226" s="789">
        <v>1.0601</v>
      </c>
      <c r="H226" s="789">
        <v>1.0601</v>
      </c>
      <c r="I226" s="789">
        <v>0.9224</v>
      </c>
      <c r="J226" s="789">
        <v>0.9224</v>
      </c>
      <c r="K226" s="789">
        <v>0.9224</v>
      </c>
      <c r="L226" s="789">
        <v>0.9224</v>
      </c>
      <c r="M226" s="789">
        <v>0.9224</v>
      </c>
    </row>
    <row r="227" spans="1:13">
      <c r="A227" s="791">
        <v>2.1</v>
      </c>
      <c r="B227" s="789">
        <v>1.0443</v>
      </c>
      <c r="C227" s="789">
        <v>1.0443</v>
      </c>
      <c r="D227" s="789">
        <v>1.0468</v>
      </c>
      <c r="E227" s="789">
        <v>1.0468</v>
      </c>
      <c r="F227" s="789">
        <v>1.0468</v>
      </c>
      <c r="G227" s="789">
        <v>1.0468</v>
      </c>
      <c r="H227" s="789">
        <v>1.0468</v>
      </c>
      <c r="I227" s="789">
        <v>0.90959999999999996</v>
      </c>
      <c r="J227" s="789">
        <v>0.90959999999999996</v>
      </c>
      <c r="K227" s="789">
        <v>0.90959999999999996</v>
      </c>
      <c r="L227" s="789">
        <v>0.90959999999999996</v>
      </c>
      <c r="M227" s="789">
        <v>0.90959999999999996</v>
      </c>
    </row>
    <row r="228" spans="1:13">
      <c r="A228" s="791">
        <v>2.2000000000000002</v>
      </c>
      <c r="B228" s="789">
        <v>1.0325</v>
      </c>
      <c r="C228" s="789">
        <v>1.0325</v>
      </c>
      <c r="D228" s="789">
        <v>1.0342</v>
      </c>
      <c r="E228" s="789">
        <v>1.0342</v>
      </c>
      <c r="F228" s="789">
        <v>1.0342</v>
      </c>
      <c r="G228" s="789">
        <v>1.0342</v>
      </c>
      <c r="H228" s="789">
        <v>1.0342</v>
      </c>
      <c r="I228" s="789">
        <v>0.89749999999999996</v>
      </c>
      <c r="J228" s="789">
        <v>0.89749999999999996</v>
      </c>
      <c r="K228" s="789">
        <v>0.89749999999999996</v>
      </c>
      <c r="L228" s="789">
        <v>0.89749999999999996</v>
      </c>
      <c r="M228" s="789">
        <v>0.89749999999999996</v>
      </c>
    </row>
    <row r="229" spans="1:13">
      <c r="A229" s="791">
        <v>2.2999999999999998</v>
      </c>
      <c r="B229" s="789">
        <v>1.0209999999999999</v>
      </c>
      <c r="C229" s="789">
        <v>1.0209999999999999</v>
      </c>
      <c r="D229" s="789">
        <v>1.0222</v>
      </c>
      <c r="E229" s="789">
        <v>1.0222</v>
      </c>
      <c r="F229" s="789">
        <v>1.0222</v>
      </c>
      <c r="G229" s="789">
        <v>1.0222</v>
      </c>
      <c r="H229" s="789">
        <v>1.0222</v>
      </c>
      <c r="I229" s="789">
        <v>0.88619999999999999</v>
      </c>
      <c r="J229" s="789">
        <v>0.88619999999999999</v>
      </c>
      <c r="K229" s="789">
        <v>0.88619999999999999</v>
      </c>
      <c r="L229" s="789">
        <v>0.88619999999999999</v>
      </c>
      <c r="M229" s="789">
        <v>0.88619999999999999</v>
      </c>
    </row>
    <row r="230" spans="1:13">
      <c r="A230" s="791">
        <v>2.4</v>
      </c>
      <c r="B230" s="789">
        <v>1.0102</v>
      </c>
      <c r="C230" s="789">
        <v>1.0102</v>
      </c>
      <c r="D230" s="789">
        <v>1.0107999999999999</v>
      </c>
      <c r="E230" s="789">
        <v>1.0107999999999999</v>
      </c>
      <c r="F230" s="789">
        <v>1.0107999999999999</v>
      </c>
      <c r="G230" s="789">
        <v>1.0107999999999999</v>
      </c>
      <c r="H230" s="789">
        <v>1.0107999999999999</v>
      </c>
      <c r="I230" s="789">
        <v>0.87529999999999997</v>
      </c>
      <c r="J230" s="789">
        <v>0.87529999999999997</v>
      </c>
      <c r="K230" s="789">
        <v>0.87529999999999997</v>
      </c>
      <c r="L230" s="789">
        <v>0.87529999999999997</v>
      </c>
      <c r="M230" s="789">
        <v>0.87529999999999997</v>
      </c>
    </row>
    <row r="231" spans="1:13">
      <c r="A231" s="791">
        <v>2.5</v>
      </c>
      <c r="B231" s="789">
        <v>1</v>
      </c>
      <c r="C231" s="789">
        <v>1</v>
      </c>
      <c r="D231" s="789">
        <v>1</v>
      </c>
      <c r="E231" s="789">
        <v>1</v>
      </c>
      <c r="F231" s="789">
        <v>1</v>
      </c>
      <c r="G231" s="789">
        <v>1</v>
      </c>
      <c r="H231" s="789">
        <v>1</v>
      </c>
      <c r="I231" s="789">
        <v>0.86509999999999998</v>
      </c>
      <c r="J231" s="789">
        <v>0.86509999999999998</v>
      </c>
      <c r="K231" s="789">
        <v>0.86509999999999998</v>
      </c>
      <c r="L231" s="789">
        <v>0.86509999999999998</v>
      </c>
      <c r="M231" s="789">
        <v>0.86509999999999998</v>
      </c>
    </row>
    <row r="232" spans="1:13">
      <c r="A232" s="791">
        <v>2.6</v>
      </c>
      <c r="B232" s="789">
        <v>0.99029999999999996</v>
      </c>
      <c r="C232" s="789">
        <v>0.99029999999999996</v>
      </c>
      <c r="D232" s="789">
        <v>0.98970000000000002</v>
      </c>
      <c r="E232" s="789">
        <v>0.98970000000000002</v>
      </c>
      <c r="F232" s="789">
        <v>0.98970000000000002</v>
      </c>
      <c r="G232" s="789">
        <v>0.98970000000000002</v>
      </c>
      <c r="H232" s="789">
        <v>0.98970000000000002</v>
      </c>
      <c r="I232" s="789">
        <v>0.85529999999999995</v>
      </c>
      <c r="J232" s="789">
        <v>0.85529999999999995</v>
      </c>
      <c r="K232" s="789">
        <v>0.85529999999999995</v>
      </c>
      <c r="L232" s="789">
        <v>0.85529999999999995</v>
      </c>
      <c r="M232" s="789">
        <v>0.85529999999999995</v>
      </c>
    </row>
    <row r="233" spans="1:13">
      <c r="A233" s="791">
        <v>2.7</v>
      </c>
      <c r="B233" s="789">
        <v>0.98109999999999997</v>
      </c>
      <c r="C233" s="789">
        <v>0.98109999999999997</v>
      </c>
      <c r="D233" s="789">
        <v>0.97989999999999999</v>
      </c>
      <c r="E233" s="789">
        <v>0.97989999999999999</v>
      </c>
      <c r="F233" s="789">
        <v>0.97989999999999999</v>
      </c>
      <c r="G233" s="789">
        <v>0.97989999999999999</v>
      </c>
      <c r="H233" s="789">
        <v>0.97989999999999999</v>
      </c>
      <c r="I233" s="789">
        <v>0.84599999999999997</v>
      </c>
      <c r="J233" s="789">
        <v>0.84599999999999997</v>
      </c>
      <c r="K233" s="789">
        <v>0.84599999999999997</v>
      </c>
      <c r="L233" s="789">
        <v>0.84599999999999997</v>
      </c>
      <c r="M233" s="789">
        <v>0.84599999999999997</v>
      </c>
    </row>
    <row r="234" spans="1:13">
      <c r="A234" s="791">
        <v>2.8</v>
      </c>
      <c r="B234" s="789">
        <v>0.97240000000000004</v>
      </c>
      <c r="C234" s="789">
        <v>0.97240000000000004</v>
      </c>
      <c r="D234" s="789">
        <v>0.97060000000000002</v>
      </c>
      <c r="E234" s="789">
        <v>0.97060000000000002</v>
      </c>
      <c r="F234" s="789">
        <v>0.97060000000000002</v>
      </c>
      <c r="G234" s="789">
        <v>0.97060000000000002</v>
      </c>
      <c r="H234" s="789">
        <v>0.97060000000000002</v>
      </c>
      <c r="I234" s="789">
        <v>0.83709999999999996</v>
      </c>
      <c r="J234" s="789">
        <v>0.83709999999999996</v>
      </c>
      <c r="K234" s="789">
        <v>0.83709999999999996</v>
      </c>
      <c r="L234" s="789">
        <v>0.83709999999999996</v>
      </c>
      <c r="M234" s="789">
        <v>0.83709999999999996</v>
      </c>
    </row>
    <row r="235" spans="1:13">
      <c r="A235" s="791">
        <v>2.9</v>
      </c>
      <c r="B235" s="789">
        <v>0.96419999999999995</v>
      </c>
      <c r="C235" s="789">
        <v>0.96419999999999995</v>
      </c>
      <c r="D235" s="789">
        <v>0.96179999999999999</v>
      </c>
      <c r="E235" s="789">
        <v>0.96179999999999999</v>
      </c>
      <c r="F235" s="789">
        <v>0.96179999999999999</v>
      </c>
      <c r="G235" s="789">
        <v>0.96179999999999999</v>
      </c>
      <c r="H235" s="789">
        <v>0.96179999999999999</v>
      </c>
      <c r="I235" s="789">
        <v>0.82850000000000001</v>
      </c>
      <c r="J235" s="789">
        <v>0.82850000000000001</v>
      </c>
      <c r="K235" s="789">
        <v>0.82850000000000001</v>
      </c>
      <c r="L235" s="789">
        <v>0.82850000000000001</v>
      </c>
      <c r="M235" s="789">
        <v>0.82850000000000001</v>
      </c>
    </row>
    <row r="236" spans="1:13">
      <c r="A236" s="791">
        <v>3</v>
      </c>
      <c r="B236" s="789">
        <v>0.95640000000000003</v>
      </c>
      <c r="C236" s="789">
        <v>0.95640000000000003</v>
      </c>
      <c r="D236" s="789">
        <v>0.95340000000000003</v>
      </c>
      <c r="E236" s="789">
        <v>0.95340000000000003</v>
      </c>
      <c r="F236" s="789">
        <v>0.95340000000000003</v>
      </c>
      <c r="G236" s="789">
        <v>0.95340000000000003</v>
      </c>
      <c r="H236" s="789">
        <v>0.95340000000000003</v>
      </c>
      <c r="I236" s="789">
        <v>0.82040000000000002</v>
      </c>
      <c r="J236" s="789">
        <v>0.82040000000000002</v>
      </c>
      <c r="K236" s="789">
        <v>0.82040000000000002</v>
      </c>
      <c r="L236" s="789">
        <v>0.82040000000000002</v>
      </c>
      <c r="M236" s="789">
        <v>0.82040000000000002</v>
      </c>
    </row>
    <row r="237" spans="1:13">
      <c r="A237" s="791">
        <v>3.1</v>
      </c>
      <c r="B237" s="789">
        <v>0.94899999999999995</v>
      </c>
      <c r="C237" s="789">
        <v>0.94899999999999995</v>
      </c>
      <c r="D237" s="789">
        <v>0.94550000000000001</v>
      </c>
      <c r="E237" s="789">
        <v>0.94550000000000001</v>
      </c>
      <c r="F237" s="789">
        <v>0.94550000000000001</v>
      </c>
      <c r="G237" s="789">
        <v>0.94550000000000001</v>
      </c>
      <c r="H237" s="789">
        <v>0.94550000000000001</v>
      </c>
      <c r="I237" s="789">
        <v>0.81259999999999999</v>
      </c>
      <c r="J237" s="789">
        <v>0.81259999999999999</v>
      </c>
      <c r="K237" s="789">
        <v>0.81259999999999999</v>
      </c>
      <c r="L237" s="789">
        <v>0.81259999999999999</v>
      </c>
      <c r="M237" s="789">
        <v>0.81259999999999999</v>
      </c>
    </row>
    <row r="238" spans="1:13">
      <c r="A238" s="791">
        <v>3.2</v>
      </c>
      <c r="B238" s="789">
        <v>0.94199999999999995</v>
      </c>
      <c r="C238" s="789">
        <v>0.94199999999999995</v>
      </c>
      <c r="D238" s="789">
        <v>0.93789999999999996</v>
      </c>
      <c r="E238" s="789">
        <v>0.93789999999999996</v>
      </c>
      <c r="F238" s="789">
        <v>0.93789999999999996</v>
      </c>
      <c r="G238" s="789">
        <v>0.93789999999999996</v>
      </c>
      <c r="H238" s="789">
        <v>0.93789999999999996</v>
      </c>
      <c r="I238" s="789">
        <v>0.80530000000000002</v>
      </c>
      <c r="J238" s="789">
        <v>0.80530000000000002</v>
      </c>
      <c r="K238" s="789">
        <v>0.80530000000000002</v>
      </c>
      <c r="L238" s="789">
        <v>0.80530000000000002</v>
      </c>
      <c r="M238" s="789">
        <v>0.80530000000000002</v>
      </c>
    </row>
    <row r="239" spans="1:13">
      <c r="A239" s="791">
        <v>3.3</v>
      </c>
      <c r="B239" s="789">
        <v>0.93540000000000001</v>
      </c>
      <c r="C239" s="789">
        <v>0.93540000000000001</v>
      </c>
      <c r="D239" s="789">
        <v>0.93069999999999997</v>
      </c>
      <c r="E239" s="789">
        <v>0.93069999999999997</v>
      </c>
      <c r="F239" s="789">
        <v>0.93069999999999997</v>
      </c>
      <c r="G239" s="789">
        <v>0.93069999999999997</v>
      </c>
      <c r="H239" s="789">
        <v>0.93069999999999997</v>
      </c>
      <c r="I239" s="789">
        <v>0.79820000000000002</v>
      </c>
      <c r="J239" s="789">
        <v>0.79820000000000002</v>
      </c>
      <c r="K239" s="789">
        <v>0.79820000000000002</v>
      </c>
      <c r="L239" s="789">
        <v>0.79820000000000002</v>
      </c>
      <c r="M239" s="789">
        <v>0.79820000000000002</v>
      </c>
    </row>
    <row r="240" spans="1:13">
      <c r="A240" s="791">
        <v>3.4</v>
      </c>
      <c r="B240" s="789">
        <v>0.92920000000000003</v>
      </c>
      <c r="C240" s="789">
        <v>0.92920000000000003</v>
      </c>
      <c r="D240" s="789">
        <v>0.92390000000000005</v>
      </c>
      <c r="E240" s="789">
        <v>0.92390000000000005</v>
      </c>
      <c r="F240" s="789">
        <v>0.92390000000000005</v>
      </c>
      <c r="G240" s="789">
        <v>0.92390000000000005</v>
      </c>
      <c r="H240" s="789">
        <v>0.92390000000000005</v>
      </c>
      <c r="I240" s="789">
        <v>0.79139999999999999</v>
      </c>
      <c r="J240" s="789">
        <v>0.79139999999999999</v>
      </c>
      <c r="K240" s="789">
        <v>0.79139999999999999</v>
      </c>
      <c r="L240" s="789">
        <v>0.79139999999999999</v>
      </c>
      <c r="M240" s="789">
        <v>0.79139999999999999</v>
      </c>
    </row>
    <row r="241" spans="1:13">
      <c r="A241" s="791">
        <v>3.5</v>
      </c>
      <c r="B241" s="789">
        <v>0.9234</v>
      </c>
      <c r="C241" s="789">
        <v>0.9234</v>
      </c>
      <c r="D241" s="789">
        <v>0.91749999999999998</v>
      </c>
      <c r="E241" s="789">
        <v>0.91749999999999998</v>
      </c>
      <c r="F241" s="789">
        <v>0.91749999999999998</v>
      </c>
      <c r="G241" s="789">
        <v>0.91749999999999998</v>
      </c>
      <c r="H241" s="789">
        <v>0.91749999999999998</v>
      </c>
      <c r="I241" s="789">
        <v>0.78490000000000004</v>
      </c>
      <c r="J241" s="789">
        <v>0.78490000000000004</v>
      </c>
      <c r="K241" s="789">
        <v>0.78490000000000004</v>
      </c>
      <c r="L241" s="789">
        <v>0.78490000000000004</v>
      </c>
      <c r="M241" s="789">
        <v>0.78490000000000004</v>
      </c>
    </row>
    <row r="242" spans="1:13">
      <c r="A242" s="791">
        <v>3.6</v>
      </c>
      <c r="B242" s="789">
        <v>0.91790000000000005</v>
      </c>
      <c r="C242" s="789">
        <v>0.91790000000000005</v>
      </c>
      <c r="D242" s="789">
        <v>0.91139999999999999</v>
      </c>
      <c r="E242" s="789">
        <v>0.91139999999999999</v>
      </c>
      <c r="F242" s="789">
        <v>0.91139999999999999</v>
      </c>
      <c r="G242" s="789">
        <v>0.91139999999999999</v>
      </c>
      <c r="H242" s="789">
        <v>0.91139999999999999</v>
      </c>
      <c r="I242" s="789">
        <v>0.77880000000000005</v>
      </c>
      <c r="J242" s="789">
        <v>0.77880000000000005</v>
      </c>
      <c r="K242" s="789">
        <v>0.77880000000000005</v>
      </c>
      <c r="L242" s="789">
        <v>0.77880000000000005</v>
      </c>
      <c r="M242" s="789">
        <v>0.77880000000000005</v>
      </c>
    </row>
    <row r="243" spans="1:13">
      <c r="A243" s="791">
        <v>3.7</v>
      </c>
      <c r="B243" s="789">
        <v>0.91269999999999996</v>
      </c>
      <c r="C243" s="789">
        <v>0.91269999999999996</v>
      </c>
      <c r="D243" s="789">
        <v>0.90559999999999996</v>
      </c>
      <c r="E243" s="789">
        <v>0.90559999999999996</v>
      </c>
      <c r="F243" s="789">
        <v>0.90559999999999996</v>
      </c>
      <c r="G243" s="789">
        <v>0.90559999999999996</v>
      </c>
      <c r="H243" s="789">
        <v>0.90559999999999996</v>
      </c>
      <c r="I243" s="789">
        <v>0.77300000000000002</v>
      </c>
      <c r="J243" s="789">
        <v>0.77300000000000002</v>
      </c>
      <c r="K243" s="789">
        <v>0.77300000000000002</v>
      </c>
      <c r="L243" s="789">
        <v>0.77300000000000002</v>
      </c>
      <c r="M243" s="789">
        <v>0.77300000000000002</v>
      </c>
    </row>
    <row r="244" spans="1:13">
      <c r="A244" s="791">
        <v>3.8</v>
      </c>
      <c r="B244" s="789">
        <v>0.90780000000000005</v>
      </c>
      <c r="C244" s="789">
        <v>0.90780000000000005</v>
      </c>
      <c r="D244" s="789">
        <v>0.90010000000000001</v>
      </c>
      <c r="E244" s="789">
        <v>0.90010000000000001</v>
      </c>
      <c r="F244" s="789">
        <v>0.90010000000000001</v>
      </c>
      <c r="G244" s="789">
        <v>0.90010000000000001</v>
      </c>
      <c r="H244" s="789">
        <v>0.90010000000000001</v>
      </c>
      <c r="I244" s="789">
        <v>0.76739999999999997</v>
      </c>
      <c r="J244" s="789">
        <v>0.76739999999999997</v>
      </c>
      <c r="K244" s="789">
        <v>0.76739999999999997</v>
      </c>
      <c r="L244" s="789">
        <v>0.76739999999999997</v>
      </c>
      <c r="M244" s="789">
        <v>0.76739999999999997</v>
      </c>
    </row>
    <row r="245" spans="1:13">
      <c r="A245" s="791">
        <v>3.9</v>
      </c>
      <c r="B245" s="789">
        <v>0.9032</v>
      </c>
      <c r="C245" s="789">
        <v>0.9032</v>
      </c>
      <c r="D245" s="789">
        <v>0.89490000000000003</v>
      </c>
      <c r="E245" s="789">
        <v>0.89490000000000003</v>
      </c>
      <c r="F245" s="789">
        <v>0.89490000000000003</v>
      </c>
      <c r="G245" s="789">
        <v>0.89490000000000003</v>
      </c>
      <c r="H245" s="789">
        <v>0.89490000000000003</v>
      </c>
      <c r="I245" s="789">
        <v>0.7621</v>
      </c>
      <c r="J245" s="789">
        <v>0.7621</v>
      </c>
      <c r="K245" s="789">
        <v>0.7621</v>
      </c>
      <c r="L245" s="789">
        <v>0.7621</v>
      </c>
      <c r="M245" s="789">
        <v>0.7621</v>
      </c>
    </row>
    <row r="246" spans="1:13">
      <c r="A246" s="791">
        <v>4</v>
      </c>
      <c r="B246" s="789">
        <v>0.89890000000000003</v>
      </c>
      <c r="C246" s="789">
        <v>0.89890000000000003</v>
      </c>
      <c r="D246" s="789">
        <v>0.89</v>
      </c>
      <c r="E246" s="789">
        <v>0.89</v>
      </c>
      <c r="F246" s="789">
        <v>0.89</v>
      </c>
      <c r="G246" s="789">
        <v>0.89</v>
      </c>
      <c r="H246" s="789">
        <v>0.89</v>
      </c>
      <c r="I246" s="789">
        <v>0.7571</v>
      </c>
      <c r="J246" s="789">
        <v>0.7571</v>
      </c>
      <c r="K246" s="789">
        <v>0.7571</v>
      </c>
      <c r="L246" s="789">
        <v>0.7571</v>
      </c>
      <c r="M246" s="789">
        <v>0.7571</v>
      </c>
    </row>
    <row r="247" spans="1:13">
      <c r="A247" s="791">
        <v>4.0999999999999996</v>
      </c>
      <c r="B247" s="789">
        <v>0.89480000000000004</v>
      </c>
      <c r="C247" s="789">
        <v>0.89480000000000004</v>
      </c>
      <c r="D247" s="789">
        <v>0.88539999999999996</v>
      </c>
      <c r="E247" s="789">
        <v>0.88539999999999996</v>
      </c>
      <c r="F247" s="789">
        <v>0.88539999999999996</v>
      </c>
      <c r="G247" s="789">
        <v>0.88539999999999996</v>
      </c>
      <c r="H247" s="789">
        <v>0.88539999999999996</v>
      </c>
      <c r="I247" s="789">
        <v>0.75229999999999997</v>
      </c>
      <c r="J247" s="789">
        <v>0.75229999999999997</v>
      </c>
      <c r="K247" s="789">
        <v>0.75229999999999997</v>
      </c>
      <c r="L247" s="789">
        <v>0.75229999999999997</v>
      </c>
      <c r="M247" s="789">
        <v>0.75229999999999997</v>
      </c>
    </row>
    <row r="248" spans="1:13">
      <c r="A248" s="791">
        <v>4.2</v>
      </c>
      <c r="B248" s="789">
        <v>0.89100000000000001</v>
      </c>
      <c r="C248" s="789">
        <v>0.89100000000000001</v>
      </c>
      <c r="D248" s="789">
        <v>0.88109999999999999</v>
      </c>
      <c r="E248" s="789">
        <v>0.88109999999999999</v>
      </c>
      <c r="F248" s="789">
        <v>0.88109999999999999</v>
      </c>
      <c r="G248" s="789">
        <v>0.88109999999999999</v>
      </c>
      <c r="H248" s="789">
        <v>0.88109999999999999</v>
      </c>
      <c r="I248" s="789">
        <v>0.74780000000000002</v>
      </c>
      <c r="J248" s="789">
        <v>0.74780000000000002</v>
      </c>
      <c r="K248" s="789">
        <v>0.74780000000000002</v>
      </c>
      <c r="L248" s="789">
        <v>0.74780000000000002</v>
      </c>
      <c r="M248" s="789">
        <v>0.74780000000000002</v>
      </c>
    </row>
    <row r="249" spans="1:13">
      <c r="A249" s="791">
        <v>4.3</v>
      </c>
      <c r="B249" s="789">
        <v>0.88739999999999997</v>
      </c>
      <c r="C249" s="789">
        <v>0.88739999999999997</v>
      </c>
      <c r="D249" s="789">
        <v>0.877</v>
      </c>
      <c r="E249" s="789">
        <v>0.877</v>
      </c>
      <c r="F249" s="789">
        <v>0.877</v>
      </c>
      <c r="G249" s="789">
        <v>0.877</v>
      </c>
      <c r="H249" s="789">
        <v>0.877</v>
      </c>
      <c r="I249" s="789">
        <v>0.74329999999999996</v>
      </c>
      <c r="J249" s="789">
        <v>0.74329999999999996</v>
      </c>
      <c r="K249" s="789">
        <v>0.74329999999999996</v>
      </c>
      <c r="L249" s="789">
        <v>0.74329999999999996</v>
      </c>
      <c r="M249" s="789">
        <v>0.74329999999999996</v>
      </c>
    </row>
    <row r="250" spans="1:13">
      <c r="A250" s="791">
        <v>4.4000000000000004</v>
      </c>
      <c r="B250" s="789">
        <v>0.88400000000000001</v>
      </c>
      <c r="C250" s="789">
        <v>0.88400000000000001</v>
      </c>
      <c r="D250" s="789">
        <v>0.87309999999999999</v>
      </c>
      <c r="E250" s="789">
        <v>0.87309999999999999</v>
      </c>
      <c r="F250" s="789">
        <v>0.87309999999999999</v>
      </c>
      <c r="G250" s="789">
        <v>0.87309999999999999</v>
      </c>
      <c r="H250" s="789">
        <v>0.87309999999999999</v>
      </c>
      <c r="I250" s="789">
        <v>0.73909999999999998</v>
      </c>
      <c r="J250" s="789">
        <v>0.73909999999999998</v>
      </c>
      <c r="K250" s="789">
        <v>0.73909999999999998</v>
      </c>
      <c r="L250" s="789">
        <v>0.73909999999999998</v>
      </c>
      <c r="M250" s="789">
        <v>0.73909999999999998</v>
      </c>
    </row>
    <row r="251" spans="1:13">
      <c r="A251" s="791">
        <v>4.5</v>
      </c>
      <c r="B251" s="789">
        <v>0.88080000000000003</v>
      </c>
      <c r="C251" s="789">
        <v>0.88080000000000003</v>
      </c>
      <c r="D251" s="789">
        <v>0.86939999999999995</v>
      </c>
      <c r="E251" s="789">
        <v>0.86939999999999995</v>
      </c>
      <c r="F251" s="789">
        <v>0.86939999999999995</v>
      </c>
      <c r="G251" s="789">
        <v>0.86939999999999995</v>
      </c>
      <c r="H251" s="789">
        <v>0.86939999999999995</v>
      </c>
      <c r="I251" s="789">
        <v>0.73499999999999999</v>
      </c>
      <c r="J251" s="789">
        <v>0.73499999999999999</v>
      </c>
      <c r="K251" s="789">
        <v>0.73499999999999999</v>
      </c>
      <c r="L251" s="789">
        <v>0.73499999999999999</v>
      </c>
      <c r="M251" s="789">
        <v>0.73499999999999999</v>
      </c>
    </row>
    <row r="252" spans="1:13">
      <c r="A252" s="791">
        <v>4.5999999999999996</v>
      </c>
      <c r="B252" s="789">
        <v>0.87780000000000002</v>
      </c>
      <c r="C252" s="789">
        <v>0.87780000000000002</v>
      </c>
      <c r="D252" s="789">
        <v>0.8659</v>
      </c>
      <c r="E252" s="789">
        <v>0.8659</v>
      </c>
      <c r="F252" s="789">
        <v>0.8659</v>
      </c>
      <c r="G252" s="789">
        <v>0.8659</v>
      </c>
      <c r="H252" s="789">
        <v>0.8659</v>
      </c>
      <c r="I252" s="789">
        <v>0.73109999999999997</v>
      </c>
      <c r="J252" s="789">
        <v>0.73109999999999997</v>
      </c>
      <c r="K252" s="789">
        <v>0.73109999999999997</v>
      </c>
      <c r="L252" s="789">
        <v>0.73109999999999997</v>
      </c>
      <c r="M252" s="789">
        <v>0.73109999999999997</v>
      </c>
    </row>
    <row r="253" spans="1:13">
      <c r="A253" s="791">
        <v>4.7</v>
      </c>
      <c r="B253" s="789">
        <v>0.875</v>
      </c>
      <c r="C253" s="789">
        <v>0.875</v>
      </c>
      <c r="D253" s="789">
        <v>0.86260000000000003</v>
      </c>
      <c r="E253" s="789">
        <v>0.86260000000000003</v>
      </c>
      <c r="F253" s="789">
        <v>0.86260000000000003</v>
      </c>
      <c r="G253" s="789">
        <v>0.86260000000000003</v>
      </c>
      <c r="H253" s="789">
        <v>0.86260000000000003</v>
      </c>
      <c r="I253" s="789">
        <v>0.72750000000000004</v>
      </c>
      <c r="J253" s="789">
        <v>0.72750000000000004</v>
      </c>
      <c r="K253" s="789">
        <v>0.72750000000000004</v>
      </c>
      <c r="L253" s="789">
        <v>0.72750000000000004</v>
      </c>
      <c r="M253" s="789">
        <v>0.72750000000000004</v>
      </c>
    </row>
    <row r="254" spans="1:13">
      <c r="A254" s="791">
        <v>4.8</v>
      </c>
      <c r="B254" s="789">
        <v>0.87229999999999996</v>
      </c>
      <c r="C254" s="789">
        <v>0.87229999999999996</v>
      </c>
      <c r="D254" s="789">
        <v>0.85950000000000004</v>
      </c>
      <c r="E254" s="789">
        <v>0.85950000000000004</v>
      </c>
      <c r="F254" s="789">
        <v>0.85950000000000004</v>
      </c>
      <c r="G254" s="789">
        <v>0.85950000000000004</v>
      </c>
      <c r="H254" s="789">
        <v>0.85950000000000004</v>
      </c>
      <c r="I254" s="789">
        <v>0.72399999999999998</v>
      </c>
      <c r="J254" s="789">
        <v>0.72399999999999998</v>
      </c>
      <c r="K254" s="789">
        <v>0.72399999999999998</v>
      </c>
      <c r="L254" s="789">
        <v>0.72399999999999998</v>
      </c>
      <c r="M254" s="789">
        <v>0.72399999999999998</v>
      </c>
    </row>
    <row r="255" spans="1:13">
      <c r="A255" s="791">
        <v>4.9000000000000004</v>
      </c>
      <c r="B255" s="789">
        <v>0.86980000000000002</v>
      </c>
      <c r="C255" s="789">
        <v>0.86980000000000002</v>
      </c>
      <c r="D255" s="789">
        <v>0.85660000000000003</v>
      </c>
      <c r="E255" s="789">
        <v>0.85660000000000003</v>
      </c>
      <c r="F255" s="789">
        <v>0.85660000000000003</v>
      </c>
      <c r="G255" s="789">
        <v>0.85660000000000003</v>
      </c>
      <c r="H255" s="789">
        <v>0.85660000000000003</v>
      </c>
      <c r="I255" s="789">
        <v>0.7208</v>
      </c>
      <c r="J255" s="789">
        <v>0.7208</v>
      </c>
      <c r="K255" s="789">
        <v>0.7208</v>
      </c>
      <c r="L255" s="789">
        <v>0.7208</v>
      </c>
      <c r="M255" s="789">
        <v>0.7208</v>
      </c>
    </row>
    <row r="256" spans="1:13">
      <c r="A256" s="791">
        <v>5</v>
      </c>
      <c r="B256" s="789">
        <v>0.86739999999999995</v>
      </c>
      <c r="C256" s="789">
        <v>0.86739999999999995</v>
      </c>
      <c r="D256" s="789">
        <v>0.8538</v>
      </c>
      <c r="E256" s="789">
        <v>0.8538</v>
      </c>
      <c r="F256" s="789">
        <v>0.8538</v>
      </c>
      <c r="G256" s="789">
        <v>0.8538</v>
      </c>
      <c r="H256" s="789">
        <v>0.8538</v>
      </c>
      <c r="I256" s="789">
        <v>0.71760000000000002</v>
      </c>
      <c r="J256" s="789">
        <v>0.71760000000000002</v>
      </c>
      <c r="K256" s="789">
        <v>0.71760000000000002</v>
      </c>
      <c r="L256" s="789">
        <v>0.71760000000000002</v>
      </c>
      <c r="M256" s="789">
        <v>0.71760000000000002</v>
      </c>
    </row>
    <row r="257" spans="1:13">
      <c r="A257" s="785">
        <v>5.0999999999999996</v>
      </c>
      <c r="B257" s="789">
        <v>0.86519999999999997</v>
      </c>
      <c r="C257" s="789">
        <v>0.86519999999999997</v>
      </c>
      <c r="D257" s="789">
        <v>0.85109999999999997</v>
      </c>
      <c r="E257" s="789">
        <v>0.85109999999999997</v>
      </c>
      <c r="F257" s="789">
        <v>0.85109999999999997</v>
      </c>
      <c r="G257" s="789">
        <v>0.85109999999999997</v>
      </c>
      <c r="H257" s="789">
        <v>0.85109999999999997</v>
      </c>
      <c r="I257" s="789">
        <v>0.7147</v>
      </c>
      <c r="J257" s="789">
        <v>0.7147</v>
      </c>
      <c r="K257" s="789">
        <v>0.7147</v>
      </c>
      <c r="L257" s="789">
        <v>0.7147</v>
      </c>
      <c r="M257" s="789">
        <v>0.7147</v>
      </c>
    </row>
    <row r="258" spans="1:13">
      <c r="A258" s="785">
        <v>5.2</v>
      </c>
      <c r="B258" s="789">
        <v>0.86309999999999998</v>
      </c>
      <c r="C258" s="789">
        <v>0.86309999999999998</v>
      </c>
      <c r="D258" s="789">
        <v>0.84860000000000002</v>
      </c>
      <c r="E258" s="789">
        <v>0.84860000000000002</v>
      </c>
      <c r="F258" s="789">
        <v>0.84860000000000002</v>
      </c>
      <c r="G258" s="789">
        <v>0.84860000000000002</v>
      </c>
      <c r="H258" s="789">
        <v>0.84860000000000002</v>
      </c>
      <c r="I258" s="789">
        <v>0.71189999999999998</v>
      </c>
      <c r="J258" s="789">
        <v>0.71189999999999998</v>
      </c>
      <c r="K258" s="789">
        <v>0.71189999999999998</v>
      </c>
      <c r="L258" s="789">
        <v>0.71189999999999998</v>
      </c>
      <c r="M258" s="789">
        <v>0.71189999999999998</v>
      </c>
    </row>
    <row r="259" spans="1:13">
      <c r="A259" s="785">
        <v>5.3</v>
      </c>
      <c r="B259" s="789">
        <v>0.86119999999999997</v>
      </c>
      <c r="C259" s="789">
        <v>0.86119999999999997</v>
      </c>
      <c r="D259" s="789">
        <v>0.84619999999999995</v>
      </c>
      <c r="E259" s="789">
        <v>0.84619999999999995</v>
      </c>
      <c r="F259" s="789">
        <v>0.84619999999999995</v>
      </c>
      <c r="G259" s="789">
        <v>0.84619999999999995</v>
      </c>
      <c r="H259" s="789">
        <v>0.84619999999999995</v>
      </c>
      <c r="I259" s="789">
        <v>0.70909999999999995</v>
      </c>
      <c r="J259" s="789">
        <v>0.70909999999999995</v>
      </c>
      <c r="K259" s="789">
        <v>0.70909999999999995</v>
      </c>
      <c r="L259" s="789">
        <v>0.70909999999999995</v>
      </c>
      <c r="M259" s="789">
        <v>0.70909999999999995</v>
      </c>
    </row>
    <row r="260" spans="1:13">
      <c r="A260" s="785">
        <v>5.4</v>
      </c>
      <c r="B260" s="789">
        <v>0.85940000000000005</v>
      </c>
      <c r="C260" s="789">
        <v>0.85940000000000005</v>
      </c>
      <c r="D260" s="789">
        <v>0.84389999999999998</v>
      </c>
      <c r="E260" s="789">
        <v>0.84389999999999998</v>
      </c>
      <c r="F260" s="789">
        <v>0.84389999999999998</v>
      </c>
      <c r="G260" s="789">
        <v>0.84389999999999998</v>
      </c>
      <c r="H260" s="789">
        <v>0.84389999999999998</v>
      </c>
      <c r="I260" s="789">
        <v>0.70650000000000002</v>
      </c>
      <c r="J260" s="789">
        <v>0.70650000000000002</v>
      </c>
      <c r="K260" s="789">
        <v>0.70650000000000002</v>
      </c>
      <c r="L260" s="789">
        <v>0.70650000000000002</v>
      </c>
      <c r="M260" s="789">
        <v>0.70650000000000002</v>
      </c>
    </row>
    <row r="261" spans="1:13">
      <c r="A261" s="785">
        <v>5.5</v>
      </c>
      <c r="B261" s="789">
        <v>0.85770000000000002</v>
      </c>
      <c r="C261" s="789">
        <v>0.85770000000000002</v>
      </c>
      <c r="D261" s="789">
        <v>0.84179999999999999</v>
      </c>
      <c r="E261" s="789">
        <v>0.84179999999999999</v>
      </c>
      <c r="F261" s="789">
        <v>0.84179999999999999</v>
      </c>
      <c r="G261" s="789">
        <v>0.84179999999999999</v>
      </c>
      <c r="H261" s="789">
        <v>0.84179999999999999</v>
      </c>
      <c r="I261" s="789">
        <v>0.70399999999999996</v>
      </c>
      <c r="J261" s="789">
        <v>0.70399999999999996</v>
      </c>
      <c r="K261" s="789">
        <v>0.70399999999999996</v>
      </c>
      <c r="L261" s="789">
        <v>0.70399999999999996</v>
      </c>
      <c r="M261" s="789">
        <v>0.70399999999999996</v>
      </c>
    </row>
    <row r="262" spans="1:13">
      <c r="A262" s="785">
        <v>5.6</v>
      </c>
      <c r="B262" s="789">
        <v>0.85599999999999998</v>
      </c>
      <c r="C262" s="789">
        <v>0.85599999999999998</v>
      </c>
      <c r="D262" s="789">
        <v>0.83979999999999999</v>
      </c>
      <c r="E262" s="789">
        <v>0.83979999999999999</v>
      </c>
      <c r="F262" s="789">
        <v>0.83979999999999999</v>
      </c>
      <c r="G262" s="789">
        <v>0.83979999999999999</v>
      </c>
      <c r="H262" s="789">
        <v>0.83979999999999999</v>
      </c>
      <c r="I262" s="789">
        <v>0.7016</v>
      </c>
      <c r="J262" s="789">
        <v>0.7016</v>
      </c>
      <c r="K262" s="789">
        <v>0.7016</v>
      </c>
      <c r="L262" s="789">
        <v>0.7016</v>
      </c>
      <c r="M262" s="789">
        <v>0.7016</v>
      </c>
    </row>
    <row r="263" spans="1:13">
      <c r="A263" s="791">
        <v>5.7</v>
      </c>
      <c r="B263" s="789">
        <v>0.85440000000000005</v>
      </c>
      <c r="C263" s="789">
        <v>0.85440000000000005</v>
      </c>
      <c r="D263" s="789">
        <v>0.83789999999999998</v>
      </c>
      <c r="E263" s="789">
        <v>0.83789999999999998</v>
      </c>
      <c r="F263" s="789">
        <v>0.83789999999999998</v>
      </c>
      <c r="G263" s="789">
        <v>0.83789999999999998</v>
      </c>
      <c r="H263" s="789">
        <v>0.83789999999999998</v>
      </c>
      <c r="I263" s="789">
        <v>0.69940000000000002</v>
      </c>
      <c r="J263" s="789">
        <v>0.69940000000000002</v>
      </c>
      <c r="K263" s="789">
        <v>0.69940000000000002</v>
      </c>
      <c r="L263" s="789">
        <v>0.69940000000000002</v>
      </c>
      <c r="M263" s="789">
        <v>0.69940000000000002</v>
      </c>
    </row>
    <row r="264" spans="1:13">
      <c r="A264" s="785">
        <v>5.8</v>
      </c>
      <c r="B264" s="789">
        <v>0.85289999999999999</v>
      </c>
      <c r="C264" s="789">
        <v>0.85289999999999999</v>
      </c>
      <c r="D264" s="789">
        <v>0.83599999999999997</v>
      </c>
      <c r="E264" s="789">
        <v>0.83599999999999997</v>
      </c>
      <c r="F264" s="789">
        <v>0.83599999999999997</v>
      </c>
      <c r="G264" s="789">
        <v>0.83599999999999997</v>
      </c>
      <c r="H264" s="789">
        <v>0.83599999999999997</v>
      </c>
      <c r="I264" s="789">
        <v>0.69720000000000004</v>
      </c>
      <c r="J264" s="789">
        <v>0.69720000000000004</v>
      </c>
      <c r="K264" s="789">
        <v>0.69720000000000004</v>
      </c>
      <c r="L264" s="789">
        <v>0.69720000000000004</v>
      </c>
      <c r="M264" s="789">
        <v>0.69720000000000004</v>
      </c>
    </row>
    <row r="265" spans="1:13">
      <c r="A265" s="785">
        <v>5.9</v>
      </c>
      <c r="B265" s="789">
        <v>0.85150000000000003</v>
      </c>
      <c r="C265" s="789">
        <v>0.85150000000000003</v>
      </c>
      <c r="D265" s="789">
        <v>0.83430000000000004</v>
      </c>
      <c r="E265" s="789">
        <v>0.83430000000000004</v>
      </c>
      <c r="F265" s="789">
        <v>0.83430000000000004</v>
      </c>
      <c r="G265" s="789">
        <v>0.83430000000000004</v>
      </c>
      <c r="H265" s="789">
        <v>0.83430000000000004</v>
      </c>
      <c r="I265" s="789">
        <v>0.69520000000000004</v>
      </c>
      <c r="J265" s="789">
        <v>0.69520000000000004</v>
      </c>
      <c r="K265" s="789">
        <v>0.69520000000000004</v>
      </c>
      <c r="L265" s="789">
        <v>0.69520000000000004</v>
      </c>
      <c r="M265" s="789">
        <v>0.69520000000000004</v>
      </c>
    </row>
    <row r="266" spans="1:13">
      <c r="A266" s="785">
        <v>6</v>
      </c>
      <c r="B266" s="789">
        <v>0.85019999999999996</v>
      </c>
      <c r="C266" s="789">
        <v>0.85019999999999996</v>
      </c>
      <c r="D266" s="789">
        <v>0.8327</v>
      </c>
      <c r="E266" s="789">
        <v>0.8327</v>
      </c>
      <c r="F266" s="789">
        <v>0.8327</v>
      </c>
      <c r="G266" s="789">
        <v>0.8327</v>
      </c>
      <c r="H266" s="789">
        <v>0.8327</v>
      </c>
      <c r="I266" s="789">
        <v>0.69320000000000004</v>
      </c>
      <c r="J266" s="789">
        <v>0.69320000000000004</v>
      </c>
      <c r="K266" s="789">
        <v>0.69320000000000004</v>
      </c>
      <c r="L266" s="789">
        <v>0.69320000000000004</v>
      </c>
      <c r="M266" s="789">
        <v>0.69320000000000004</v>
      </c>
    </row>
    <row r="267" spans="1:13">
      <c r="A267" s="785">
        <v>6.1</v>
      </c>
      <c r="B267" s="789">
        <v>0.84899999999999998</v>
      </c>
      <c r="C267" s="789">
        <v>0.84899999999999998</v>
      </c>
      <c r="D267" s="789">
        <v>0.83109999999999995</v>
      </c>
      <c r="E267" s="789">
        <v>0.83109999999999995</v>
      </c>
      <c r="F267" s="789">
        <v>0.83109999999999995</v>
      </c>
      <c r="G267" s="789">
        <v>0.83109999999999995</v>
      </c>
      <c r="H267" s="789">
        <v>0.83109999999999995</v>
      </c>
      <c r="I267" s="789">
        <v>0.69130000000000003</v>
      </c>
      <c r="J267" s="789">
        <v>0.69130000000000003</v>
      </c>
      <c r="K267" s="789">
        <v>0.69130000000000003</v>
      </c>
      <c r="L267" s="789">
        <v>0.69130000000000003</v>
      </c>
      <c r="M267" s="789">
        <v>0.69130000000000003</v>
      </c>
    </row>
    <row r="268" spans="1:13">
      <c r="A268" s="785">
        <v>6.2</v>
      </c>
      <c r="B268" s="789">
        <v>0.8478</v>
      </c>
      <c r="C268" s="789">
        <v>0.8478</v>
      </c>
      <c r="D268" s="789">
        <v>0.8296</v>
      </c>
      <c r="E268" s="789">
        <v>0.8296</v>
      </c>
      <c r="F268" s="789">
        <v>0.8296</v>
      </c>
      <c r="G268" s="789">
        <v>0.8296</v>
      </c>
      <c r="H268" s="789">
        <v>0.8296</v>
      </c>
      <c r="I268" s="789">
        <v>0.68940000000000001</v>
      </c>
      <c r="J268" s="789">
        <v>0.68940000000000001</v>
      </c>
      <c r="K268" s="789">
        <v>0.68940000000000001</v>
      </c>
      <c r="L268" s="789">
        <v>0.68940000000000001</v>
      </c>
      <c r="M268" s="789">
        <v>0.68940000000000001</v>
      </c>
    </row>
    <row r="269" spans="1:13">
      <c r="A269" s="785">
        <v>6.3</v>
      </c>
      <c r="B269" s="789">
        <v>0.84670000000000001</v>
      </c>
      <c r="C269" s="789">
        <v>0.84670000000000001</v>
      </c>
      <c r="D269" s="789">
        <v>0.82820000000000005</v>
      </c>
      <c r="E269" s="789">
        <v>0.82820000000000005</v>
      </c>
      <c r="F269" s="789">
        <v>0.82820000000000005</v>
      </c>
      <c r="G269" s="789">
        <v>0.82820000000000005</v>
      </c>
      <c r="H269" s="789">
        <v>0.82820000000000005</v>
      </c>
      <c r="I269" s="789">
        <v>0.68769999999999998</v>
      </c>
      <c r="J269" s="789">
        <v>0.68769999999999998</v>
      </c>
      <c r="K269" s="789">
        <v>0.68769999999999998</v>
      </c>
      <c r="L269" s="789">
        <v>0.68769999999999998</v>
      </c>
      <c r="M269" s="789">
        <v>0.68769999999999998</v>
      </c>
    </row>
    <row r="270" spans="1:13">
      <c r="A270" s="785">
        <v>6.4</v>
      </c>
      <c r="B270" s="789">
        <v>0.84570000000000001</v>
      </c>
      <c r="C270" s="789">
        <v>0.84570000000000001</v>
      </c>
      <c r="D270" s="789">
        <v>0.82689999999999997</v>
      </c>
      <c r="E270" s="789">
        <v>0.82689999999999997</v>
      </c>
      <c r="F270" s="789">
        <v>0.82689999999999997</v>
      </c>
      <c r="G270" s="789">
        <v>0.82689999999999997</v>
      </c>
      <c r="H270" s="789">
        <v>0.82689999999999997</v>
      </c>
      <c r="I270" s="789">
        <v>0.68610000000000004</v>
      </c>
      <c r="J270" s="789">
        <v>0.68610000000000004</v>
      </c>
      <c r="K270" s="789">
        <v>0.68610000000000004</v>
      </c>
      <c r="L270" s="789">
        <v>0.68610000000000004</v>
      </c>
      <c r="M270" s="789">
        <v>0.68610000000000004</v>
      </c>
    </row>
    <row r="271" spans="1:13">
      <c r="A271" s="785">
        <v>6.5</v>
      </c>
      <c r="B271" s="789">
        <v>0.84470000000000001</v>
      </c>
      <c r="C271" s="789">
        <v>0.84470000000000001</v>
      </c>
      <c r="D271" s="789">
        <v>0.82569999999999999</v>
      </c>
      <c r="E271" s="789">
        <v>0.82569999999999999</v>
      </c>
      <c r="F271" s="789">
        <v>0.82569999999999999</v>
      </c>
      <c r="G271" s="789">
        <v>0.82569999999999999</v>
      </c>
      <c r="H271" s="789">
        <v>0.82569999999999999</v>
      </c>
      <c r="I271" s="789">
        <v>0.68440000000000001</v>
      </c>
      <c r="J271" s="789">
        <v>0.68440000000000001</v>
      </c>
      <c r="K271" s="789">
        <v>0.68440000000000001</v>
      </c>
      <c r="L271" s="789">
        <v>0.68440000000000001</v>
      </c>
      <c r="M271" s="789">
        <v>0.68440000000000001</v>
      </c>
    </row>
    <row r="272" spans="1:13">
      <c r="A272" s="785">
        <v>6.6</v>
      </c>
      <c r="B272" s="789">
        <v>0.84370000000000001</v>
      </c>
      <c r="C272" s="789">
        <v>0.84370000000000001</v>
      </c>
      <c r="D272" s="789">
        <v>0.82450000000000001</v>
      </c>
      <c r="E272" s="789">
        <v>0.82450000000000001</v>
      </c>
      <c r="F272" s="789">
        <v>0.82450000000000001</v>
      </c>
      <c r="G272" s="789">
        <v>0.82450000000000001</v>
      </c>
      <c r="H272" s="789">
        <v>0.82450000000000001</v>
      </c>
      <c r="I272" s="789">
        <v>0.68289999999999995</v>
      </c>
      <c r="J272" s="789">
        <v>0.68289999999999995</v>
      </c>
      <c r="K272" s="789">
        <v>0.68289999999999995</v>
      </c>
      <c r="L272" s="789">
        <v>0.68289999999999995</v>
      </c>
      <c r="M272" s="789">
        <v>0.68289999999999995</v>
      </c>
    </row>
    <row r="273" spans="1:13">
      <c r="A273" s="785">
        <v>6.7</v>
      </c>
      <c r="B273" s="789">
        <v>0.8427</v>
      </c>
      <c r="C273" s="789">
        <v>0.8427</v>
      </c>
      <c r="D273" s="789">
        <v>0.82330000000000003</v>
      </c>
      <c r="E273" s="789">
        <v>0.82330000000000003</v>
      </c>
      <c r="F273" s="789">
        <v>0.82330000000000003</v>
      </c>
      <c r="G273" s="789">
        <v>0.82330000000000003</v>
      </c>
      <c r="H273" s="789">
        <v>0.82330000000000003</v>
      </c>
      <c r="I273" s="789">
        <v>0.68130000000000002</v>
      </c>
      <c r="J273" s="789">
        <v>0.68130000000000002</v>
      </c>
      <c r="K273" s="789">
        <v>0.68130000000000002</v>
      </c>
      <c r="L273" s="789">
        <v>0.68130000000000002</v>
      </c>
      <c r="M273" s="789">
        <v>0.68130000000000002</v>
      </c>
    </row>
    <row r="274" spans="1:13">
      <c r="A274" s="785">
        <v>6.8</v>
      </c>
      <c r="B274" s="789">
        <v>0.84179999999999999</v>
      </c>
      <c r="C274" s="789">
        <v>0.84179999999999999</v>
      </c>
      <c r="D274" s="789">
        <v>0.82210000000000005</v>
      </c>
      <c r="E274" s="789">
        <v>0.82210000000000005</v>
      </c>
      <c r="F274" s="789">
        <v>0.82210000000000005</v>
      </c>
      <c r="G274" s="789">
        <v>0.82210000000000005</v>
      </c>
      <c r="H274" s="789">
        <v>0.82210000000000005</v>
      </c>
      <c r="I274" s="789">
        <v>0.67979999999999996</v>
      </c>
      <c r="J274" s="789">
        <v>0.67979999999999996</v>
      </c>
      <c r="K274" s="789">
        <v>0.67979999999999996</v>
      </c>
      <c r="L274" s="789">
        <v>0.67979999999999996</v>
      </c>
      <c r="M274" s="789">
        <v>0.67979999999999996</v>
      </c>
    </row>
    <row r="275" spans="1:13">
      <c r="A275" s="785">
        <v>6.9</v>
      </c>
      <c r="B275" s="789">
        <v>0.84089999999999998</v>
      </c>
      <c r="C275" s="789">
        <v>0.84089999999999998</v>
      </c>
      <c r="D275" s="789">
        <v>0.82099999999999995</v>
      </c>
      <c r="E275" s="789">
        <v>0.82099999999999995</v>
      </c>
      <c r="F275" s="789">
        <v>0.82099999999999995</v>
      </c>
      <c r="G275" s="789">
        <v>0.82099999999999995</v>
      </c>
      <c r="H275" s="789">
        <v>0.82099999999999995</v>
      </c>
      <c r="I275" s="789">
        <v>0.67849999999999999</v>
      </c>
      <c r="J275" s="789">
        <v>0.67849999999999999</v>
      </c>
      <c r="K275" s="789">
        <v>0.67849999999999999</v>
      </c>
      <c r="L275" s="789">
        <v>0.67849999999999999</v>
      </c>
      <c r="M275" s="789">
        <v>0.67849999999999999</v>
      </c>
    </row>
    <row r="276" spans="1:13">
      <c r="A276" s="785">
        <v>7</v>
      </c>
      <c r="B276" s="789">
        <v>0.84009999999999996</v>
      </c>
      <c r="C276" s="789">
        <v>0.84009999999999996</v>
      </c>
      <c r="D276" s="789">
        <v>0.81989999999999996</v>
      </c>
      <c r="E276" s="789">
        <v>0.81989999999999996</v>
      </c>
      <c r="F276" s="789">
        <v>0.81989999999999996</v>
      </c>
      <c r="G276" s="789">
        <v>0.81989999999999996</v>
      </c>
      <c r="H276" s="789">
        <v>0.81989999999999996</v>
      </c>
      <c r="I276" s="789">
        <v>0.67720000000000002</v>
      </c>
      <c r="J276" s="789">
        <v>0.67720000000000002</v>
      </c>
      <c r="K276" s="789">
        <v>0.67720000000000002</v>
      </c>
      <c r="L276" s="789">
        <v>0.67720000000000002</v>
      </c>
      <c r="M276" s="789">
        <v>0.67720000000000002</v>
      </c>
    </row>
    <row r="277" spans="1:13">
      <c r="A277" s="785">
        <v>7.1</v>
      </c>
      <c r="B277" s="789">
        <v>0.83930000000000005</v>
      </c>
      <c r="C277" s="789">
        <v>0.83930000000000005</v>
      </c>
      <c r="D277" s="789">
        <v>0.81889999999999996</v>
      </c>
      <c r="E277" s="789">
        <v>0.81889999999999996</v>
      </c>
      <c r="F277" s="789">
        <v>0.81889999999999996</v>
      </c>
      <c r="G277" s="789">
        <v>0.81889999999999996</v>
      </c>
      <c r="H277" s="789">
        <v>0.81889999999999996</v>
      </c>
      <c r="I277" s="789">
        <v>0.67589999999999995</v>
      </c>
      <c r="J277" s="789">
        <v>0.67589999999999995</v>
      </c>
      <c r="K277" s="789">
        <v>0.67589999999999995</v>
      </c>
      <c r="L277" s="789">
        <v>0.67589999999999995</v>
      </c>
      <c r="M277" s="789">
        <v>0.67589999999999995</v>
      </c>
    </row>
    <row r="278" spans="1:13">
      <c r="A278" s="785">
        <v>7.2</v>
      </c>
      <c r="B278" s="789">
        <v>0.83850000000000002</v>
      </c>
      <c r="C278" s="789">
        <v>0.83850000000000002</v>
      </c>
      <c r="D278" s="789">
        <v>0.81789999999999996</v>
      </c>
      <c r="E278" s="789">
        <v>0.81789999999999996</v>
      </c>
      <c r="F278" s="789">
        <v>0.81789999999999996</v>
      </c>
      <c r="G278" s="789">
        <v>0.81789999999999996</v>
      </c>
      <c r="H278" s="789">
        <v>0.81789999999999996</v>
      </c>
      <c r="I278" s="789">
        <v>0.67459999999999998</v>
      </c>
      <c r="J278" s="789">
        <v>0.67459999999999998</v>
      </c>
      <c r="K278" s="789">
        <v>0.67459999999999998</v>
      </c>
      <c r="L278" s="789">
        <v>0.67459999999999998</v>
      </c>
      <c r="M278" s="789">
        <v>0.67459999999999998</v>
      </c>
    </row>
    <row r="279" spans="1:13">
      <c r="A279" s="785">
        <v>7.3</v>
      </c>
      <c r="B279" s="789">
        <v>0.8377</v>
      </c>
      <c r="C279" s="789">
        <v>0.8377</v>
      </c>
      <c r="D279" s="789">
        <v>0.81689999999999996</v>
      </c>
      <c r="E279" s="789">
        <v>0.81689999999999996</v>
      </c>
      <c r="F279" s="789">
        <v>0.81689999999999996</v>
      </c>
      <c r="G279" s="789">
        <v>0.81689999999999996</v>
      </c>
      <c r="H279" s="789">
        <v>0.81689999999999996</v>
      </c>
      <c r="I279" s="789">
        <v>0.6734</v>
      </c>
      <c r="J279" s="789">
        <v>0.6734</v>
      </c>
      <c r="K279" s="789">
        <v>0.6734</v>
      </c>
      <c r="L279" s="789">
        <v>0.6734</v>
      </c>
      <c r="M279" s="789">
        <v>0.6734</v>
      </c>
    </row>
    <row r="280" spans="1:13">
      <c r="A280" s="785">
        <v>7.4</v>
      </c>
      <c r="B280" s="789">
        <v>0.83699999999999997</v>
      </c>
      <c r="C280" s="789">
        <v>0.83699999999999997</v>
      </c>
      <c r="D280" s="789">
        <v>0.81599999999999995</v>
      </c>
      <c r="E280" s="789">
        <v>0.81599999999999995</v>
      </c>
      <c r="F280" s="789">
        <v>0.81599999999999995</v>
      </c>
      <c r="G280" s="789">
        <v>0.81599999999999995</v>
      </c>
      <c r="H280" s="789">
        <v>0.81599999999999995</v>
      </c>
      <c r="I280" s="789">
        <v>0.67210000000000003</v>
      </c>
      <c r="J280" s="789">
        <v>0.67210000000000003</v>
      </c>
      <c r="K280" s="789">
        <v>0.67210000000000003</v>
      </c>
      <c r="L280" s="789">
        <v>0.67210000000000003</v>
      </c>
      <c r="M280" s="789">
        <v>0.67210000000000003</v>
      </c>
    </row>
    <row r="281" spans="1:13">
      <c r="A281" s="785">
        <v>7.5</v>
      </c>
      <c r="B281" s="789">
        <v>0.83630000000000004</v>
      </c>
      <c r="C281" s="789">
        <v>0.83630000000000004</v>
      </c>
      <c r="D281" s="789">
        <v>0.81510000000000005</v>
      </c>
      <c r="E281" s="789">
        <v>0.81510000000000005</v>
      </c>
      <c r="F281" s="789">
        <v>0.81510000000000005</v>
      </c>
      <c r="G281" s="789">
        <v>0.81510000000000005</v>
      </c>
      <c r="H281" s="789">
        <v>0.81510000000000005</v>
      </c>
      <c r="I281" s="789">
        <v>0.67090000000000005</v>
      </c>
      <c r="J281" s="789">
        <v>0.67090000000000005</v>
      </c>
      <c r="K281" s="789">
        <v>0.67090000000000005</v>
      </c>
      <c r="L281" s="789">
        <v>0.67090000000000005</v>
      </c>
      <c r="M281" s="789">
        <v>0.67090000000000005</v>
      </c>
    </row>
    <row r="282" spans="1:13">
      <c r="A282" s="785">
        <v>7.6</v>
      </c>
      <c r="B282" s="789">
        <v>0.83560000000000001</v>
      </c>
      <c r="C282" s="789">
        <v>0.83560000000000001</v>
      </c>
      <c r="D282" s="789">
        <v>0.81420000000000003</v>
      </c>
      <c r="E282" s="789">
        <v>0.81420000000000003</v>
      </c>
      <c r="F282" s="789">
        <v>0.81420000000000003</v>
      </c>
      <c r="G282" s="789">
        <v>0.81420000000000003</v>
      </c>
      <c r="H282" s="789">
        <v>0.81420000000000003</v>
      </c>
      <c r="I282" s="789">
        <v>0.66979999999999995</v>
      </c>
      <c r="J282" s="789">
        <v>0.66979999999999995</v>
      </c>
      <c r="K282" s="789">
        <v>0.66979999999999995</v>
      </c>
      <c r="L282" s="789">
        <v>0.66979999999999995</v>
      </c>
      <c r="M282" s="789">
        <v>0.66979999999999995</v>
      </c>
    </row>
    <row r="283" spans="1:13">
      <c r="A283" s="785">
        <v>7.7</v>
      </c>
      <c r="B283" s="789">
        <v>0.83489999999999998</v>
      </c>
      <c r="C283" s="789">
        <v>0.83489999999999998</v>
      </c>
      <c r="D283" s="789">
        <v>0.81330000000000002</v>
      </c>
      <c r="E283" s="789">
        <v>0.81330000000000002</v>
      </c>
      <c r="F283" s="789">
        <v>0.81330000000000002</v>
      </c>
      <c r="G283" s="789">
        <v>0.81330000000000002</v>
      </c>
      <c r="H283" s="789">
        <v>0.81330000000000002</v>
      </c>
      <c r="I283" s="789">
        <v>0.66869999999999996</v>
      </c>
      <c r="J283" s="789">
        <v>0.66869999999999996</v>
      </c>
      <c r="K283" s="789">
        <v>0.66869999999999996</v>
      </c>
      <c r="L283" s="789">
        <v>0.66869999999999996</v>
      </c>
      <c r="M283" s="789">
        <v>0.66869999999999996</v>
      </c>
    </row>
    <row r="284" spans="1:13">
      <c r="A284" s="785">
        <v>7.8</v>
      </c>
      <c r="B284" s="789">
        <v>0.83420000000000005</v>
      </c>
      <c r="C284" s="789">
        <v>0.83420000000000005</v>
      </c>
      <c r="D284" s="789">
        <v>0.81240000000000001</v>
      </c>
      <c r="E284" s="789">
        <v>0.81240000000000001</v>
      </c>
      <c r="F284" s="789">
        <v>0.81240000000000001</v>
      </c>
      <c r="G284" s="789">
        <v>0.81240000000000001</v>
      </c>
      <c r="H284" s="789">
        <v>0.81240000000000001</v>
      </c>
      <c r="I284" s="789">
        <v>0.66759999999999997</v>
      </c>
      <c r="J284" s="789">
        <v>0.66759999999999997</v>
      </c>
      <c r="K284" s="789">
        <v>0.66759999999999997</v>
      </c>
      <c r="L284" s="789">
        <v>0.66759999999999997</v>
      </c>
      <c r="M284" s="789">
        <v>0.66759999999999997</v>
      </c>
    </row>
    <row r="285" spans="1:13">
      <c r="A285" s="785">
        <v>7.9</v>
      </c>
      <c r="B285" s="789">
        <v>0.83350000000000002</v>
      </c>
      <c r="C285" s="789">
        <v>0.83350000000000002</v>
      </c>
      <c r="D285" s="789">
        <v>0.81159999999999999</v>
      </c>
      <c r="E285" s="789">
        <v>0.81159999999999999</v>
      </c>
      <c r="F285" s="789">
        <v>0.81159999999999999</v>
      </c>
      <c r="G285" s="789">
        <v>0.81159999999999999</v>
      </c>
      <c r="H285" s="789">
        <v>0.81159999999999999</v>
      </c>
      <c r="I285" s="789">
        <v>0.66649999999999998</v>
      </c>
      <c r="J285" s="789">
        <v>0.66649999999999998</v>
      </c>
      <c r="K285" s="789">
        <v>0.66649999999999998</v>
      </c>
      <c r="L285" s="789">
        <v>0.66649999999999998</v>
      </c>
      <c r="M285" s="789">
        <v>0.66649999999999998</v>
      </c>
    </row>
    <row r="286" spans="1:13">
      <c r="A286" s="785">
        <v>8</v>
      </c>
      <c r="B286" s="789">
        <v>0.83279999999999998</v>
      </c>
      <c r="C286" s="789">
        <v>0.83279999999999998</v>
      </c>
      <c r="D286" s="789">
        <v>0.81079999999999997</v>
      </c>
      <c r="E286" s="789">
        <v>0.81079999999999997</v>
      </c>
      <c r="F286" s="789">
        <v>0.81079999999999997</v>
      </c>
      <c r="G286" s="789">
        <v>0.81079999999999997</v>
      </c>
      <c r="H286" s="789">
        <v>0.81079999999999997</v>
      </c>
      <c r="I286" s="789">
        <v>0.66549999999999998</v>
      </c>
      <c r="J286" s="789">
        <v>0.66549999999999998</v>
      </c>
      <c r="K286" s="789">
        <v>0.66549999999999998</v>
      </c>
      <c r="L286" s="789">
        <v>0.66549999999999998</v>
      </c>
      <c r="M286" s="789">
        <v>0.66549999999999998</v>
      </c>
    </row>
    <row r="287" spans="1:13">
      <c r="A287" s="785">
        <v>8.1</v>
      </c>
      <c r="B287" s="789">
        <v>0.83220000000000005</v>
      </c>
      <c r="C287" s="789">
        <v>0.83220000000000005</v>
      </c>
      <c r="D287" s="789">
        <v>0.81</v>
      </c>
      <c r="E287" s="789">
        <v>0.81</v>
      </c>
      <c r="F287" s="789">
        <v>0.81</v>
      </c>
      <c r="G287" s="789">
        <v>0.81</v>
      </c>
      <c r="H287" s="789">
        <v>0.81</v>
      </c>
      <c r="I287" s="789">
        <v>0.66439999999999999</v>
      </c>
      <c r="J287" s="789">
        <v>0.66439999999999999</v>
      </c>
      <c r="K287" s="789">
        <v>0.66439999999999999</v>
      </c>
      <c r="L287" s="789">
        <v>0.66439999999999999</v>
      </c>
      <c r="M287" s="789">
        <v>0.66439999999999999</v>
      </c>
    </row>
    <row r="288" spans="1:13">
      <c r="A288" s="785">
        <v>8.1999999999999993</v>
      </c>
      <c r="B288" s="789">
        <v>0.83160000000000001</v>
      </c>
      <c r="C288" s="789">
        <v>0.83160000000000001</v>
      </c>
      <c r="D288" s="789">
        <v>0.80920000000000003</v>
      </c>
      <c r="E288" s="789">
        <v>0.80920000000000003</v>
      </c>
      <c r="F288" s="789">
        <v>0.80920000000000003</v>
      </c>
      <c r="G288" s="789">
        <v>0.80920000000000003</v>
      </c>
      <c r="H288" s="789">
        <v>0.80920000000000003</v>
      </c>
      <c r="I288" s="789">
        <v>0.66339999999999999</v>
      </c>
      <c r="J288" s="789">
        <v>0.66339999999999999</v>
      </c>
      <c r="K288" s="789">
        <v>0.66339999999999999</v>
      </c>
      <c r="L288" s="789">
        <v>0.66339999999999999</v>
      </c>
      <c r="M288" s="789">
        <v>0.66339999999999999</v>
      </c>
    </row>
    <row r="289" spans="1:13">
      <c r="A289" s="785">
        <v>8.3000000000000007</v>
      </c>
      <c r="B289" s="789">
        <v>0.83099999999999996</v>
      </c>
      <c r="C289" s="789">
        <v>0.83099999999999996</v>
      </c>
      <c r="D289" s="789">
        <v>0.80840000000000001</v>
      </c>
      <c r="E289" s="789">
        <v>0.80840000000000001</v>
      </c>
      <c r="F289" s="789">
        <v>0.80840000000000001</v>
      </c>
      <c r="G289" s="789">
        <v>0.80840000000000001</v>
      </c>
      <c r="H289" s="789">
        <v>0.80840000000000001</v>
      </c>
      <c r="I289" s="789">
        <v>0.66239999999999999</v>
      </c>
      <c r="J289" s="789">
        <v>0.66239999999999999</v>
      </c>
      <c r="K289" s="789">
        <v>0.66239999999999999</v>
      </c>
      <c r="L289" s="789">
        <v>0.66239999999999999</v>
      </c>
      <c r="M289" s="789">
        <v>0.66239999999999999</v>
      </c>
    </row>
    <row r="290" spans="1:13">
      <c r="A290" s="785">
        <v>8.4</v>
      </c>
      <c r="B290" s="789">
        <v>0.83040000000000003</v>
      </c>
      <c r="C290" s="789">
        <v>0.83040000000000003</v>
      </c>
      <c r="D290" s="789">
        <v>0.80759999999999998</v>
      </c>
      <c r="E290" s="789">
        <v>0.80759999999999998</v>
      </c>
      <c r="F290" s="789">
        <v>0.80759999999999998</v>
      </c>
      <c r="G290" s="789">
        <v>0.80759999999999998</v>
      </c>
      <c r="H290" s="789">
        <v>0.80759999999999998</v>
      </c>
      <c r="I290" s="789">
        <v>0.66139999999999999</v>
      </c>
      <c r="J290" s="789">
        <v>0.66139999999999999</v>
      </c>
      <c r="K290" s="789">
        <v>0.66139999999999999</v>
      </c>
      <c r="L290" s="789">
        <v>0.66139999999999999</v>
      </c>
      <c r="M290" s="789">
        <v>0.66139999999999999</v>
      </c>
    </row>
    <row r="291" spans="1:13">
      <c r="A291" s="785">
        <v>8.5</v>
      </c>
      <c r="B291" s="789">
        <v>0.82979999999999998</v>
      </c>
      <c r="C291" s="789">
        <v>0.82979999999999998</v>
      </c>
      <c r="D291" s="789">
        <v>0.80679999999999996</v>
      </c>
      <c r="E291" s="789">
        <v>0.80679999999999996</v>
      </c>
      <c r="F291" s="789">
        <v>0.80679999999999996</v>
      </c>
      <c r="G291" s="789">
        <v>0.80679999999999996</v>
      </c>
      <c r="H291" s="789">
        <v>0.80679999999999996</v>
      </c>
      <c r="I291" s="789">
        <v>0.66049999999999998</v>
      </c>
      <c r="J291" s="789">
        <v>0.66049999999999998</v>
      </c>
      <c r="K291" s="789">
        <v>0.66049999999999998</v>
      </c>
      <c r="L291" s="789">
        <v>0.66049999999999998</v>
      </c>
      <c r="M291" s="789">
        <v>0.66049999999999998</v>
      </c>
    </row>
    <row r="292" spans="1:13">
      <c r="A292" s="785">
        <v>8.6</v>
      </c>
      <c r="B292" s="789">
        <v>0.82920000000000005</v>
      </c>
      <c r="C292" s="789">
        <v>0.82920000000000005</v>
      </c>
      <c r="D292" s="789">
        <v>0.80600000000000005</v>
      </c>
      <c r="E292" s="789">
        <v>0.80600000000000005</v>
      </c>
      <c r="F292" s="789">
        <v>0.80600000000000005</v>
      </c>
      <c r="G292" s="789">
        <v>0.80600000000000005</v>
      </c>
      <c r="H292" s="789">
        <v>0.80600000000000005</v>
      </c>
      <c r="I292" s="789">
        <v>0.65949999999999998</v>
      </c>
      <c r="J292" s="789">
        <v>0.65949999999999998</v>
      </c>
      <c r="K292" s="789">
        <v>0.65949999999999998</v>
      </c>
      <c r="L292" s="789">
        <v>0.65949999999999998</v>
      </c>
      <c r="M292" s="789">
        <v>0.65949999999999998</v>
      </c>
    </row>
    <row r="293" spans="1:13">
      <c r="A293" s="785">
        <v>8.6999999999999993</v>
      </c>
      <c r="B293" s="789">
        <v>0.8286</v>
      </c>
      <c r="C293" s="789">
        <v>0.8286</v>
      </c>
      <c r="D293" s="789">
        <v>0.80520000000000003</v>
      </c>
      <c r="E293" s="789">
        <v>0.80520000000000003</v>
      </c>
      <c r="F293" s="789">
        <v>0.80520000000000003</v>
      </c>
      <c r="G293" s="789">
        <v>0.80520000000000003</v>
      </c>
      <c r="H293" s="789">
        <v>0.80520000000000003</v>
      </c>
      <c r="I293" s="789">
        <v>0.65859999999999996</v>
      </c>
      <c r="J293" s="789">
        <v>0.65859999999999996</v>
      </c>
      <c r="K293" s="789">
        <v>0.65859999999999996</v>
      </c>
      <c r="L293" s="789">
        <v>0.65859999999999996</v>
      </c>
      <c r="M293" s="789">
        <v>0.65859999999999996</v>
      </c>
    </row>
    <row r="294" spans="1:13">
      <c r="A294" s="785">
        <v>8.8000000000000007</v>
      </c>
      <c r="B294" s="789">
        <v>0.82799999999999996</v>
      </c>
      <c r="C294" s="789">
        <v>0.82799999999999996</v>
      </c>
      <c r="D294" s="789">
        <v>0.8044</v>
      </c>
      <c r="E294" s="789">
        <v>0.8044</v>
      </c>
      <c r="F294" s="789">
        <v>0.8044</v>
      </c>
      <c r="G294" s="789">
        <v>0.8044</v>
      </c>
      <c r="H294" s="789">
        <v>0.8044</v>
      </c>
      <c r="I294" s="789">
        <v>0.65759999999999996</v>
      </c>
      <c r="J294" s="789">
        <v>0.65759999999999996</v>
      </c>
      <c r="K294" s="789">
        <v>0.65759999999999996</v>
      </c>
      <c r="L294" s="789">
        <v>0.65759999999999996</v>
      </c>
      <c r="M294" s="789">
        <v>0.65759999999999996</v>
      </c>
    </row>
    <row r="295" spans="1:13">
      <c r="A295" s="785">
        <v>8.9</v>
      </c>
      <c r="B295" s="789">
        <v>0.82740000000000002</v>
      </c>
      <c r="C295" s="789">
        <v>0.82740000000000002</v>
      </c>
      <c r="D295" s="789">
        <v>0.80359999999999998</v>
      </c>
      <c r="E295" s="789">
        <v>0.80359999999999998</v>
      </c>
      <c r="F295" s="789">
        <v>0.80359999999999998</v>
      </c>
      <c r="G295" s="789">
        <v>0.80359999999999998</v>
      </c>
      <c r="H295" s="789">
        <v>0.80359999999999998</v>
      </c>
      <c r="I295" s="789">
        <v>0.65669999999999995</v>
      </c>
      <c r="J295" s="789">
        <v>0.65669999999999995</v>
      </c>
      <c r="K295" s="789">
        <v>0.65669999999999995</v>
      </c>
      <c r="L295" s="789">
        <v>0.65669999999999995</v>
      </c>
      <c r="M295" s="789">
        <v>0.65669999999999995</v>
      </c>
    </row>
    <row r="296" spans="1:13">
      <c r="A296" s="791">
        <v>9</v>
      </c>
      <c r="B296" s="789">
        <v>0.82679999999999998</v>
      </c>
      <c r="C296" s="789">
        <v>0.82679999999999998</v>
      </c>
      <c r="D296" s="789">
        <v>0.80279999999999996</v>
      </c>
      <c r="E296" s="789">
        <v>0.80279999999999996</v>
      </c>
      <c r="F296" s="789">
        <v>0.80279999999999996</v>
      </c>
      <c r="G296" s="789">
        <v>0.80279999999999996</v>
      </c>
      <c r="H296" s="789">
        <v>0.80279999999999996</v>
      </c>
      <c r="I296" s="789">
        <v>0.65569999999999995</v>
      </c>
      <c r="J296" s="789">
        <v>0.65569999999999995</v>
      </c>
      <c r="K296" s="789">
        <v>0.65569999999999995</v>
      </c>
      <c r="L296" s="789">
        <v>0.65569999999999995</v>
      </c>
      <c r="M296" s="789">
        <v>0.65569999999999995</v>
      </c>
    </row>
    <row r="297" spans="1:13">
      <c r="A297" s="791">
        <v>9.1</v>
      </c>
      <c r="B297" s="789">
        <v>0.82620000000000005</v>
      </c>
      <c r="C297" s="789">
        <v>0.82620000000000005</v>
      </c>
      <c r="D297" s="789">
        <v>0.80200000000000005</v>
      </c>
      <c r="E297" s="789">
        <v>0.80200000000000005</v>
      </c>
      <c r="F297" s="789">
        <v>0.80200000000000005</v>
      </c>
      <c r="G297" s="789">
        <v>0.80200000000000005</v>
      </c>
      <c r="H297" s="789">
        <v>0.80200000000000005</v>
      </c>
      <c r="I297" s="789">
        <v>0.65480000000000005</v>
      </c>
      <c r="J297" s="789">
        <v>0.65480000000000005</v>
      </c>
      <c r="K297" s="789">
        <v>0.65480000000000005</v>
      </c>
      <c r="L297" s="789">
        <v>0.65480000000000005</v>
      </c>
      <c r="M297" s="789">
        <v>0.65480000000000005</v>
      </c>
    </row>
    <row r="298" spans="1:13">
      <c r="A298" s="791">
        <v>9.1999999999999993</v>
      </c>
      <c r="B298" s="789">
        <v>0.8256</v>
      </c>
      <c r="C298" s="789">
        <v>0.8256</v>
      </c>
      <c r="D298" s="789">
        <v>0.80120000000000002</v>
      </c>
      <c r="E298" s="789">
        <v>0.80120000000000002</v>
      </c>
      <c r="F298" s="789">
        <v>0.80120000000000002</v>
      </c>
      <c r="G298" s="789">
        <v>0.80120000000000002</v>
      </c>
      <c r="H298" s="789">
        <v>0.80120000000000002</v>
      </c>
      <c r="I298" s="789">
        <v>0.65380000000000005</v>
      </c>
      <c r="J298" s="789">
        <v>0.65380000000000005</v>
      </c>
      <c r="K298" s="789">
        <v>0.65380000000000005</v>
      </c>
      <c r="L298" s="789">
        <v>0.65380000000000005</v>
      </c>
      <c r="M298" s="789">
        <v>0.65380000000000005</v>
      </c>
    </row>
    <row r="299" spans="1:13">
      <c r="A299" s="791">
        <v>9.3000000000000007</v>
      </c>
      <c r="B299" s="789">
        <v>0.82499999999999996</v>
      </c>
      <c r="C299" s="789">
        <v>0.82499999999999996</v>
      </c>
      <c r="D299" s="789">
        <v>0.8004</v>
      </c>
      <c r="E299" s="789">
        <v>0.8004</v>
      </c>
      <c r="F299" s="789">
        <v>0.8004</v>
      </c>
      <c r="G299" s="789">
        <v>0.8004</v>
      </c>
      <c r="H299" s="789">
        <v>0.8004</v>
      </c>
      <c r="I299" s="789">
        <v>0.65290000000000004</v>
      </c>
      <c r="J299" s="789">
        <v>0.65290000000000004</v>
      </c>
      <c r="K299" s="789">
        <v>0.65290000000000004</v>
      </c>
      <c r="L299" s="789">
        <v>0.65290000000000004</v>
      </c>
      <c r="M299" s="789">
        <v>0.65290000000000004</v>
      </c>
    </row>
    <row r="300" spans="1:13">
      <c r="A300" s="791">
        <v>9.4</v>
      </c>
      <c r="B300" s="789">
        <v>0.82440000000000002</v>
      </c>
      <c r="C300" s="789">
        <v>0.82440000000000002</v>
      </c>
      <c r="D300" s="789">
        <v>0.79959999999999998</v>
      </c>
      <c r="E300" s="789">
        <v>0.79959999999999998</v>
      </c>
      <c r="F300" s="789">
        <v>0.79959999999999998</v>
      </c>
      <c r="G300" s="789">
        <v>0.79959999999999998</v>
      </c>
      <c r="H300" s="789">
        <v>0.79959999999999998</v>
      </c>
      <c r="I300" s="789">
        <v>0.65190000000000003</v>
      </c>
      <c r="J300" s="789">
        <v>0.65190000000000003</v>
      </c>
      <c r="K300" s="789">
        <v>0.65190000000000003</v>
      </c>
      <c r="L300" s="789">
        <v>0.65190000000000003</v>
      </c>
      <c r="M300" s="789">
        <v>0.65190000000000003</v>
      </c>
    </row>
    <row r="301" spans="1:13">
      <c r="A301" s="791">
        <v>9.5</v>
      </c>
      <c r="B301" s="789">
        <v>0.82379999999999998</v>
      </c>
      <c r="C301" s="789">
        <v>0.82379999999999998</v>
      </c>
      <c r="D301" s="789">
        <v>0.79879999999999995</v>
      </c>
      <c r="E301" s="789">
        <v>0.79879999999999995</v>
      </c>
      <c r="F301" s="789">
        <v>0.79879999999999995</v>
      </c>
      <c r="G301" s="789">
        <v>0.79879999999999995</v>
      </c>
      <c r="H301" s="789">
        <v>0.79879999999999995</v>
      </c>
      <c r="I301" s="789">
        <v>0.65100000000000002</v>
      </c>
      <c r="J301" s="789">
        <v>0.65100000000000002</v>
      </c>
      <c r="K301" s="789">
        <v>0.65100000000000002</v>
      </c>
      <c r="L301" s="789">
        <v>0.65100000000000002</v>
      </c>
      <c r="M301" s="789">
        <v>0.65100000000000002</v>
      </c>
    </row>
    <row r="302" spans="1:13">
      <c r="A302" s="791">
        <v>9.6</v>
      </c>
      <c r="B302" s="789">
        <v>0.82320000000000004</v>
      </c>
      <c r="C302" s="789">
        <v>0.82320000000000004</v>
      </c>
      <c r="D302" s="789">
        <v>0.79800000000000004</v>
      </c>
      <c r="E302" s="789">
        <v>0.79800000000000004</v>
      </c>
      <c r="F302" s="789">
        <v>0.79800000000000004</v>
      </c>
      <c r="G302" s="789">
        <v>0.79800000000000004</v>
      </c>
      <c r="H302" s="789">
        <v>0.79800000000000004</v>
      </c>
      <c r="I302" s="789">
        <v>0.65</v>
      </c>
      <c r="J302" s="789">
        <v>0.65</v>
      </c>
      <c r="K302" s="789">
        <v>0.65</v>
      </c>
      <c r="L302" s="789">
        <v>0.65</v>
      </c>
      <c r="M302" s="789">
        <v>0.65</v>
      </c>
    </row>
    <row r="303" spans="1:13">
      <c r="A303" s="791">
        <v>9.6999999999999993</v>
      </c>
      <c r="B303" s="789">
        <v>0.8226</v>
      </c>
      <c r="C303" s="789">
        <v>0.8226</v>
      </c>
      <c r="D303" s="789">
        <v>0.79720000000000002</v>
      </c>
      <c r="E303" s="789">
        <v>0.79720000000000002</v>
      </c>
      <c r="F303" s="789">
        <v>0.79720000000000002</v>
      </c>
      <c r="G303" s="789">
        <v>0.79720000000000002</v>
      </c>
      <c r="H303" s="789">
        <v>0.79720000000000002</v>
      </c>
      <c r="I303" s="789">
        <v>0.64900000000000002</v>
      </c>
      <c r="J303" s="789">
        <v>0.64900000000000002</v>
      </c>
      <c r="K303" s="789">
        <v>0.64900000000000002</v>
      </c>
      <c r="L303" s="789">
        <v>0.64900000000000002</v>
      </c>
      <c r="M303" s="789">
        <v>0.64900000000000002</v>
      </c>
    </row>
    <row r="304" spans="1:13">
      <c r="A304" s="791">
        <v>9.8000000000000007</v>
      </c>
      <c r="B304" s="789">
        <v>0.82199999999999995</v>
      </c>
      <c r="C304" s="789">
        <v>0.82199999999999995</v>
      </c>
      <c r="D304" s="789">
        <v>0.7964</v>
      </c>
      <c r="E304" s="789">
        <v>0.7964</v>
      </c>
      <c r="F304" s="789">
        <v>0.7964</v>
      </c>
      <c r="G304" s="789">
        <v>0.7964</v>
      </c>
      <c r="H304" s="789">
        <v>0.7964</v>
      </c>
      <c r="I304" s="789">
        <v>0.64810000000000001</v>
      </c>
      <c r="J304" s="789">
        <v>0.64810000000000001</v>
      </c>
      <c r="K304" s="789">
        <v>0.64810000000000001</v>
      </c>
      <c r="L304" s="789">
        <v>0.64810000000000001</v>
      </c>
      <c r="M304" s="789">
        <v>0.64810000000000001</v>
      </c>
    </row>
    <row r="305" spans="1:13">
      <c r="A305" s="791">
        <v>9.9</v>
      </c>
      <c r="B305" s="789">
        <v>0.82140000000000002</v>
      </c>
      <c r="C305" s="789">
        <v>0.82140000000000002</v>
      </c>
      <c r="D305" s="789">
        <v>0.79559999999999997</v>
      </c>
      <c r="E305" s="789">
        <v>0.79559999999999997</v>
      </c>
      <c r="F305" s="789">
        <v>0.79559999999999997</v>
      </c>
      <c r="G305" s="789">
        <v>0.79559999999999997</v>
      </c>
      <c r="H305" s="789">
        <v>0.79559999999999997</v>
      </c>
      <c r="I305" s="789">
        <v>0.64710000000000001</v>
      </c>
      <c r="J305" s="789">
        <v>0.64710000000000001</v>
      </c>
      <c r="K305" s="789">
        <v>0.64710000000000001</v>
      </c>
      <c r="L305" s="789">
        <v>0.64710000000000001</v>
      </c>
      <c r="M305" s="789">
        <v>0.64710000000000001</v>
      </c>
    </row>
    <row r="306" spans="1:13">
      <c r="A306" s="791">
        <v>10</v>
      </c>
      <c r="B306" s="789">
        <v>0.82079999999999997</v>
      </c>
      <c r="C306" s="789">
        <v>0.82079999999999997</v>
      </c>
      <c r="D306" s="789">
        <v>0.79479999999999995</v>
      </c>
      <c r="E306" s="789">
        <v>0.79479999999999995</v>
      </c>
      <c r="F306" s="789">
        <v>0.79479999999999995</v>
      </c>
      <c r="G306" s="789">
        <v>0.79479999999999995</v>
      </c>
      <c r="H306" s="789">
        <v>0.79479999999999995</v>
      </c>
      <c r="I306" s="789">
        <v>0.6462</v>
      </c>
      <c r="J306" s="789">
        <v>0.6462</v>
      </c>
      <c r="K306" s="789">
        <v>0.6462</v>
      </c>
      <c r="L306" s="789">
        <v>0.6462</v>
      </c>
      <c r="M306" s="789">
        <v>0.6462</v>
      </c>
    </row>
    <row r="307" spans="1:13" ht="14.25">
      <c r="A307" s="782" t="s">
        <v>707</v>
      </c>
      <c r="B307" s="783"/>
      <c r="C307" s="783"/>
      <c r="D307" s="783"/>
      <c r="E307" s="783"/>
      <c r="F307" s="783"/>
      <c r="G307" s="783"/>
      <c r="H307" s="783"/>
      <c r="I307" s="783"/>
      <c r="J307" s="783"/>
      <c r="K307" s="783"/>
      <c r="L307" s="783"/>
      <c r="M307" s="783"/>
    </row>
    <row r="308" spans="1:13">
      <c r="A308" s="785" t="s">
        <v>703</v>
      </c>
      <c r="B308" s="786" t="s">
        <v>106</v>
      </c>
      <c r="C308" s="786" t="s">
        <v>107</v>
      </c>
      <c r="D308" s="786" t="s">
        <v>108</v>
      </c>
      <c r="E308" s="786" t="s">
        <v>109</v>
      </c>
      <c r="F308" s="786" t="s">
        <v>110</v>
      </c>
      <c r="G308" s="786" t="s">
        <v>111</v>
      </c>
      <c r="H308" s="787" t="s">
        <v>112</v>
      </c>
      <c r="I308" s="787" t="s">
        <v>113</v>
      </c>
      <c r="J308" s="788" t="s">
        <v>114</v>
      </c>
      <c r="K308" s="788" t="s">
        <v>115</v>
      </c>
      <c r="L308" s="788" t="s">
        <v>116</v>
      </c>
      <c r="M308" s="788" t="s">
        <v>117</v>
      </c>
    </row>
    <row r="309" spans="1:13">
      <c r="A309" s="785">
        <v>0.1</v>
      </c>
      <c r="B309" s="789">
        <v>11.506</v>
      </c>
      <c r="C309" s="789">
        <v>11.506</v>
      </c>
      <c r="D309" s="789">
        <v>12.015000000000001</v>
      </c>
      <c r="E309" s="789">
        <v>12.015000000000001</v>
      </c>
      <c r="F309" s="789">
        <v>12.015000000000001</v>
      </c>
      <c r="G309" s="789">
        <v>11.118</v>
      </c>
      <c r="H309" s="789">
        <v>11.118</v>
      </c>
      <c r="I309" s="789">
        <v>10</v>
      </c>
      <c r="J309" s="789">
        <v>10</v>
      </c>
      <c r="K309" s="789">
        <v>10</v>
      </c>
      <c r="L309" s="789">
        <v>10</v>
      </c>
      <c r="M309" s="789">
        <v>10</v>
      </c>
    </row>
    <row r="310" spans="1:13">
      <c r="A310" s="785">
        <v>0.2</v>
      </c>
      <c r="B310" s="789">
        <v>5.7530000000000001</v>
      </c>
      <c r="C310" s="789">
        <v>5.7530000000000001</v>
      </c>
      <c r="D310" s="789">
        <v>6.0075000000000003</v>
      </c>
      <c r="E310" s="789">
        <v>6.0075000000000003</v>
      </c>
      <c r="F310" s="789">
        <v>6.0075000000000003</v>
      </c>
      <c r="G310" s="789">
        <v>5.5590000000000002</v>
      </c>
      <c r="H310" s="789">
        <v>5.5590000000000002</v>
      </c>
      <c r="I310" s="789">
        <v>5</v>
      </c>
      <c r="J310" s="789">
        <v>5</v>
      </c>
      <c r="K310" s="789">
        <v>5</v>
      </c>
      <c r="L310" s="789">
        <v>5</v>
      </c>
      <c r="M310" s="789">
        <v>5</v>
      </c>
    </row>
    <row r="311" spans="1:13">
      <c r="A311" s="785">
        <v>0.3</v>
      </c>
      <c r="B311" s="789">
        <v>3.8353000000000002</v>
      </c>
      <c r="C311" s="789">
        <v>3.8353000000000002</v>
      </c>
      <c r="D311" s="789">
        <v>4.0049999999999999</v>
      </c>
      <c r="E311" s="789">
        <v>4.0049999999999999</v>
      </c>
      <c r="F311" s="789">
        <v>4.0049999999999999</v>
      </c>
      <c r="G311" s="789">
        <v>3.706</v>
      </c>
      <c r="H311" s="789">
        <v>3.706</v>
      </c>
      <c r="I311" s="789">
        <v>3.3332999999999999</v>
      </c>
      <c r="J311" s="789">
        <v>3.3332999999999999</v>
      </c>
      <c r="K311" s="789">
        <v>3.3332999999999999</v>
      </c>
      <c r="L311" s="789">
        <v>3.3332999999999999</v>
      </c>
      <c r="M311" s="789">
        <v>3.3332999999999999</v>
      </c>
    </row>
    <row r="312" spans="1:13">
      <c r="A312" s="785">
        <v>0.4</v>
      </c>
      <c r="B312" s="789">
        <v>2.8765000000000001</v>
      </c>
      <c r="C312" s="789">
        <v>2.8765000000000001</v>
      </c>
      <c r="D312" s="789">
        <v>3.0038</v>
      </c>
      <c r="E312" s="789">
        <v>3.0038</v>
      </c>
      <c r="F312" s="789">
        <v>3.0038</v>
      </c>
      <c r="G312" s="789">
        <v>2.7795000000000001</v>
      </c>
      <c r="H312" s="789">
        <v>2.7795000000000001</v>
      </c>
      <c r="I312" s="789">
        <v>2.5</v>
      </c>
      <c r="J312" s="789">
        <v>2.5</v>
      </c>
      <c r="K312" s="789">
        <v>2.5</v>
      </c>
      <c r="L312" s="789">
        <v>2.5</v>
      </c>
      <c r="M312" s="789">
        <v>2.5</v>
      </c>
    </row>
    <row r="313" spans="1:13">
      <c r="A313" s="785">
        <v>0.5</v>
      </c>
      <c r="B313" s="789">
        <v>2.3012000000000001</v>
      </c>
      <c r="C313" s="789">
        <v>2.3012000000000001</v>
      </c>
      <c r="D313" s="789">
        <v>2.403</v>
      </c>
      <c r="E313" s="789">
        <v>2.403</v>
      </c>
      <c r="F313" s="789">
        <v>2.403</v>
      </c>
      <c r="G313" s="789">
        <v>2.2235999999999998</v>
      </c>
      <c r="H313" s="789">
        <v>2.2235999999999998</v>
      </c>
      <c r="I313" s="789">
        <v>2</v>
      </c>
      <c r="J313" s="789">
        <v>2</v>
      </c>
      <c r="K313" s="789">
        <v>2</v>
      </c>
      <c r="L313" s="789">
        <v>2</v>
      </c>
      <c r="M313" s="789">
        <v>2</v>
      </c>
    </row>
    <row r="314" spans="1:13">
      <c r="A314" s="785">
        <v>0.6</v>
      </c>
      <c r="B314" s="789">
        <v>1.9177</v>
      </c>
      <c r="C314" s="789">
        <v>1.9177</v>
      </c>
      <c r="D314" s="789">
        <v>2.0024999999999999</v>
      </c>
      <c r="E314" s="789">
        <v>2.0024999999999999</v>
      </c>
      <c r="F314" s="789">
        <v>2.0024999999999999</v>
      </c>
      <c r="G314" s="789">
        <v>1.853</v>
      </c>
      <c r="H314" s="789">
        <v>1.853</v>
      </c>
      <c r="I314" s="789">
        <v>1.6667000000000001</v>
      </c>
      <c r="J314" s="789">
        <v>1.6667000000000001</v>
      </c>
      <c r="K314" s="789">
        <v>1.6667000000000001</v>
      </c>
      <c r="L314" s="789">
        <v>1.6667000000000001</v>
      </c>
      <c r="M314" s="789">
        <v>1.6667000000000001</v>
      </c>
    </row>
    <row r="315" spans="1:13">
      <c r="A315" s="785">
        <v>0.7</v>
      </c>
      <c r="B315" s="789">
        <v>1.6436999999999999</v>
      </c>
      <c r="C315" s="789">
        <v>1.6436999999999999</v>
      </c>
      <c r="D315" s="789">
        <v>1.7163999999999999</v>
      </c>
      <c r="E315" s="789">
        <v>1.7163999999999999</v>
      </c>
      <c r="F315" s="789">
        <v>1.7163999999999999</v>
      </c>
      <c r="G315" s="789">
        <v>1.5883</v>
      </c>
      <c r="H315" s="789">
        <v>1.5883</v>
      </c>
      <c r="I315" s="789">
        <v>1.4286000000000001</v>
      </c>
      <c r="J315" s="789">
        <v>1.4286000000000001</v>
      </c>
      <c r="K315" s="789">
        <v>1.4286000000000001</v>
      </c>
      <c r="L315" s="789">
        <v>1.4286000000000001</v>
      </c>
      <c r="M315" s="789">
        <v>1.4286000000000001</v>
      </c>
    </row>
    <row r="316" spans="1:13">
      <c r="A316" s="785">
        <v>0.8</v>
      </c>
      <c r="B316" s="789">
        <v>1.4382999999999999</v>
      </c>
      <c r="C316" s="789">
        <v>1.4382999999999999</v>
      </c>
      <c r="D316" s="789">
        <v>1.5019</v>
      </c>
      <c r="E316" s="789">
        <v>1.5019</v>
      </c>
      <c r="F316" s="789">
        <v>1.5019</v>
      </c>
      <c r="G316" s="789">
        <v>1.3897999999999999</v>
      </c>
      <c r="H316" s="789">
        <v>1.3897999999999999</v>
      </c>
      <c r="I316" s="789">
        <v>1.25</v>
      </c>
      <c r="J316" s="789">
        <v>1.25</v>
      </c>
      <c r="K316" s="789">
        <v>1.25</v>
      </c>
      <c r="L316" s="789">
        <v>1.25</v>
      </c>
      <c r="M316" s="789">
        <v>1.25</v>
      </c>
    </row>
    <row r="317" spans="1:13">
      <c r="A317" s="785">
        <v>0.9</v>
      </c>
      <c r="B317" s="789">
        <v>1.2784</v>
      </c>
      <c r="C317" s="789">
        <v>1.2784</v>
      </c>
      <c r="D317" s="789">
        <v>1.335</v>
      </c>
      <c r="E317" s="789">
        <v>1.335</v>
      </c>
      <c r="F317" s="789">
        <v>1.335</v>
      </c>
      <c r="G317" s="789">
        <v>1.2353000000000001</v>
      </c>
      <c r="H317" s="789">
        <v>1.2353000000000001</v>
      </c>
      <c r="I317" s="789">
        <v>1.1111</v>
      </c>
      <c r="J317" s="789">
        <v>1.1111</v>
      </c>
      <c r="K317" s="789">
        <v>1.1111</v>
      </c>
      <c r="L317" s="789">
        <v>1.1111</v>
      </c>
      <c r="M317" s="789">
        <v>1.1111</v>
      </c>
    </row>
    <row r="318" spans="1:13">
      <c r="A318" s="785">
        <v>1</v>
      </c>
      <c r="B318" s="789">
        <v>1.1506000000000001</v>
      </c>
      <c r="C318" s="789">
        <v>1.1506000000000001</v>
      </c>
      <c r="D318" s="789">
        <v>1.2015</v>
      </c>
      <c r="E318" s="789">
        <v>1.2015</v>
      </c>
      <c r="F318" s="789">
        <v>1.2015</v>
      </c>
      <c r="G318" s="789">
        <v>1.1117999999999999</v>
      </c>
      <c r="H318" s="789">
        <v>1.1117999999999999</v>
      </c>
      <c r="I318" s="789">
        <v>1</v>
      </c>
      <c r="J318" s="789">
        <v>1</v>
      </c>
      <c r="K318" s="789">
        <v>1</v>
      </c>
      <c r="L318" s="789">
        <v>1</v>
      </c>
      <c r="M318" s="789">
        <v>1</v>
      </c>
    </row>
    <row r="319" spans="1:13">
      <c r="A319" s="785">
        <v>1.1000000000000001</v>
      </c>
      <c r="B319" s="789">
        <v>1.1158999999999999</v>
      </c>
      <c r="C319" s="789">
        <v>1.1158999999999999</v>
      </c>
      <c r="D319" s="789">
        <v>1.1440999999999999</v>
      </c>
      <c r="E319" s="789">
        <v>1.1440999999999999</v>
      </c>
      <c r="F319" s="789">
        <v>1.1440999999999999</v>
      </c>
      <c r="G319" s="789">
        <v>1.0492999999999999</v>
      </c>
      <c r="H319" s="789">
        <v>1.0492999999999999</v>
      </c>
      <c r="I319" s="789">
        <v>0.93730000000000002</v>
      </c>
      <c r="J319" s="789">
        <v>0.93730000000000002</v>
      </c>
      <c r="K319" s="789">
        <v>0.93730000000000002</v>
      </c>
      <c r="L319" s="789">
        <v>0.93730000000000002</v>
      </c>
      <c r="M319" s="789">
        <v>0.93730000000000002</v>
      </c>
    </row>
    <row r="320" spans="1:13">
      <c r="A320" s="785">
        <v>1.2</v>
      </c>
      <c r="B320" s="789">
        <v>1.0837000000000001</v>
      </c>
      <c r="C320" s="789">
        <v>1.0837000000000001</v>
      </c>
      <c r="D320" s="789">
        <v>1.0972999999999999</v>
      </c>
      <c r="E320" s="789">
        <v>1.0972999999999999</v>
      </c>
      <c r="F320" s="789">
        <v>1.0972999999999999</v>
      </c>
      <c r="G320" s="789">
        <v>1</v>
      </c>
      <c r="H320" s="789">
        <v>1</v>
      </c>
      <c r="I320" s="789">
        <v>0.88890000000000002</v>
      </c>
      <c r="J320" s="789">
        <v>0.88890000000000002</v>
      </c>
      <c r="K320" s="789">
        <v>0.88890000000000002</v>
      </c>
      <c r="L320" s="789">
        <v>0.88890000000000002</v>
      </c>
      <c r="M320" s="789">
        <v>0.88890000000000002</v>
      </c>
    </row>
    <row r="321" spans="1:13">
      <c r="A321" s="785">
        <v>1.3</v>
      </c>
      <c r="B321" s="789">
        <v>1.0538000000000001</v>
      </c>
      <c r="C321" s="789">
        <v>1.0538000000000001</v>
      </c>
      <c r="D321" s="789">
        <v>1.0589999999999999</v>
      </c>
      <c r="E321" s="789">
        <v>1.0589999999999999</v>
      </c>
      <c r="F321" s="789">
        <v>1.0589999999999999</v>
      </c>
      <c r="G321" s="789">
        <v>0.96140000000000003</v>
      </c>
      <c r="H321" s="789">
        <v>0.96140000000000003</v>
      </c>
      <c r="I321" s="789">
        <v>0.85209999999999997</v>
      </c>
      <c r="J321" s="789">
        <v>0.85209999999999997</v>
      </c>
      <c r="K321" s="789">
        <v>0.85209999999999997</v>
      </c>
      <c r="L321" s="789">
        <v>0.85209999999999997</v>
      </c>
      <c r="M321" s="789">
        <v>0.85209999999999997</v>
      </c>
    </row>
    <row r="322" spans="1:13">
      <c r="A322" s="785">
        <v>1.4</v>
      </c>
      <c r="B322" s="789">
        <v>1.026</v>
      </c>
      <c r="C322" s="789">
        <v>1.026</v>
      </c>
      <c r="D322" s="789">
        <v>1.0271999999999999</v>
      </c>
      <c r="E322" s="789">
        <v>1.0271999999999999</v>
      </c>
      <c r="F322" s="789">
        <v>1.0271999999999999</v>
      </c>
      <c r="G322" s="789">
        <v>0.93079999999999996</v>
      </c>
      <c r="H322" s="789">
        <v>0.93079999999999996</v>
      </c>
      <c r="I322" s="789">
        <v>0.82379999999999998</v>
      </c>
      <c r="J322" s="789">
        <v>0.82379999999999998</v>
      </c>
      <c r="K322" s="789">
        <v>0.82379999999999998</v>
      </c>
      <c r="L322" s="789">
        <v>0.82379999999999998</v>
      </c>
      <c r="M322" s="789">
        <v>0.82379999999999998</v>
      </c>
    </row>
    <row r="323" spans="1:13">
      <c r="A323" s="785">
        <v>1.5</v>
      </c>
      <c r="B323" s="789">
        <v>1</v>
      </c>
      <c r="C323" s="789">
        <v>1</v>
      </c>
      <c r="D323" s="789">
        <v>1</v>
      </c>
      <c r="E323" s="789">
        <v>1</v>
      </c>
      <c r="F323" s="789">
        <v>1</v>
      </c>
      <c r="G323" s="789">
        <v>0.90559999999999996</v>
      </c>
      <c r="H323" s="789">
        <v>0.90559999999999996</v>
      </c>
      <c r="I323" s="789">
        <v>0.80110000000000003</v>
      </c>
      <c r="J323" s="789">
        <v>0.80110000000000003</v>
      </c>
      <c r="K323" s="789">
        <v>0.80110000000000003</v>
      </c>
      <c r="L323" s="789">
        <v>0.80110000000000003</v>
      </c>
      <c r="M323" s="789">
        <v>0.80110000000000003</v>
      </c>
    </row>
    <row r="324" spans="1:13">
      <c r="A324" s="785">
        <v>1.6</v>
      </c>
      <c r="B324" s="789">
        <v>0.97570000000000001</v>
      </c>
      <c r="C324" s="789">
        <v>0.97570000000000001</v>
      </c>
      <c r="D324" s="789">
        <v>0.97519999999999996</v>
      </c>
      <c r="E324" s="789">
        <v>0.97519999999999996</v>
      </c>
      <c r="F324" s="789">
        <v>0.97519999999999996</v>
      </c>
      <c r="G324" s="789">
        <v>0.8831</v>
      </c>
      <c r="H324" s="789">
        <v>0.8831</v>
      </c>
      <c r="I324" s="789">
        <v>0.78100000000000003</v>
      </c>
      <c r="J324" s="789">
        <v>0.78100000000000003</v>
      </c>
      <c r="K324" s="789">
        <v>0.78100000000000003</v>
      </c>
      <c r="L324" s="789">
        <v>0.78100000000000003</v>
      </c>
      <c r="M324" s="789">
        <v>0.78100000000000003</v>
      </c>
    </row>
    <row r="325" spans="1:13">
      <c r="A325" s="785">
        <v>1.7</v>
      </c>
      <c r="B325" s="789">
        <v>0.95289999999999997</v>
      </c>
      <c r="C325" s="789">
        <v>0.95289999999999997</v>
      </c>
      <c r="D325" s="789">
        <v>0.95189999999999997</v>
      </c>
      <c r="E325" s="789">
        <v>0.95189999999999997</v>
      </c>
      <c r="F325" s="789">
        <v>0.95189999999999997</v>
      </c>
      <c r="G325" s="789">
        <v>0.86180000000000001</v>
      </c>
      <c r="H325" s="789">
        <v>0.86180000000000001</v>
      </c>
      <c r="I325" s="789">
        <v>0.7621</v>
      </c>
      <c r="J325" s="789">
        <v>0.7621</v>
      </c>
      <c r="K325" s="789">
        <v>0.7621</v>
      </c>
      <c r="L325" s="789">
        <v>0.7621</v>
      </c>
      <c r="M325" s="789">
        <v>0.7621</v>
      </c>
    </row>
    <row r="326" spans="1:13">
      <c r="A326" s="785">
        <v>1.8</v>
      </c>
      <c r="B326" s="789">
        <v>0.93149999999999999</v>
      </c>
      <c r="C326" s="789">
        <v>0.93149999999999999</v>
      </c>
      <c r="D326" s="789">
        <v>0.93</v>
      </c>
      <c r="E326" s="789">
        <v>0.93</v>
      </c>
      <c r="F326" s="789">
        <v>0.93</v>
      </c>
      <c r="G326" s="789">
        <v>0.84179999999999999</v>
      </c>
      <c r="H326" s="789">
        <v>0.84179999999999999</v>
      </c>
      <c r="I326" s="789">
        <v>0.74419999999999997</v>
      </c>
      <c r="J326" s="789">
        <v>0.74419999999999997</v>
      </c>
      <c r="K326" s="789">
        <v>0.74419999999999997</v>
      </c>
      <c r="L326" s="789">
        <v>0.74419999999999997</v>
      </c>
      <c r="M326" s="789">
        <v>0.74419999999999997</v>
      </c>
    </row>
    <row r="327" spans="1:13">
      <c r="A327" s="785">
        <v>1.9</v>
      </c>
      <c r="B327" s="789">
        <v>0.91139999999999999</v>
      </c>
      <c r="C327" s="789">
        <v>0.91139999999999999</v>
      </c>
      <c r="D327" s="789">
        <v>0.90939999999999999</v>
      </c>
      <c r="E327" s="789">
        <v>0.90939999999999999</v>
      </c>
      <c r="F327" s="789">
        <v>0.90939999999999999</v>
      </c>
      <c r="G327" s="789">
        <v>0.82289999999999996</v>
      </c>
      <c r="H327" s="789">
        <v>0.82289999999999996</v>
      </c>
      <c r="I327" s="789">
        <v>0.72740000000000005</v>
      </c>
      <c r="J327" s="789">
        <v>0.72740000000000005</v>
      </c>
      <c r="K327" s="789">
        <v>0.72740000000000005</v>
      </c>
      <c r="L327" s="789">
        <v>0.72740000000000005</v>
      </c>
      <c r="M327" s="789">
        <v>0.72740000000000005</v>
      </c>
    </row>
    <row r="328" spans="1:13">
      <c r="A328" s="785">
        <v>2</v>
      </c>
      <c r="B328" s="789">
        <v>0.89270000000000005</v>
      </c>
      <c r="C328" s="789">
        <v>0.89270000000000005</v>
      </c>
      <c r="D328" s="789">
        <v>0.8901</v>
      </c>
      <c r="E328" s="789">
        <v>0.8901</v>
      </c>
      <c r="F328" s="789">
        <v>0.8901</v>
      </c>
      <c r="G328" s="789">
        <v>0.80530000000000002</v>
      </c>
      <c r="H328" s="789">
        <v>0.80530000000000002</v>
      </c>
      <c r="I328" s="789">
        <v>0.71160000000000001</v>
      </c>
      <c r="J328" s="789">
        <v>0.71160000000000001</v>
      </c>
      <c r="K328" s="789">
        <v>0.71160000000000001</v>
      </c>
      <c r="L328" s="789">
        <v>0.71160000000000001</v>
      </c>
      <c r="M328" s="789">
        <v>0.71160000000000001</v>
      </c>
    </row>
    <row r="329" spans="1:13">
      <c r="A329" s="791">
        <v>2.1</v>
      </c>
      <c r="B329" s="789">
        <v>0.87519999999999998</v>
      </c>
      <c r="C329" s="789">
        <v>0.87519999999999998</v>
      </c>
      <c r="D329" s="789">
        <v>0.872</v>
      </c>
      <c r="E329" s="789">
        <v>0.872</v>
      </c>
      <c r="F329" s="789">
        <v>0.872</v>
      </c>
      <c r="G329" s="789">
        <v>0.78869999999999996</v>
      </c>
      <c r="H329" s="789">
        <v>0.78869999999999996</v>
      </c>
      <c r="I329" s="789">
        <v>0.69669999999999999</v>
      </c>
      <c r="J329" s="789">
        <v>0.69669999999999999</v>
      </c>
      <c r="K329" s="789">
        <v>0.69669999999999999</v>
      </c>
      <c r="L329" s="789">
        <v>0.69669999999999999</v>
      </c>
      <c r="M329" s="789">
        <v>0.69669999999999999</v>
      </c>
    </row>
    <row r="330" spans="1:13">
      <c r="A330" s="791">
        <v>2.2000000000000002</v>
      </c>
      <c r="B330" s="789">
        <v>0.85880000000000001</v>
      </c>
      <c r="C330" s="789">
        <v>0.85880000000000001</v>
      </c>
      <c r="D330" s="789">
        <v>0.85499999999999998</v>
      </c>
      <c r="E330" s="789">
        <v>0.85499999999999998</v>
      </c>
      <c r="F330" s="789">
        <v>0.85499999999999998</v>
      </c>
      <c r="G330" s="789">
        <v>0.77300000000000002</v>
      </c>
      <c r="H330" s="789">
        <v>0.77300000000000002</v>
      </c>
      <c r="I330" s="789">
        <v>0.68269999999999997</v>
      </c>
      <c r="J330" s="789">
        <v>0.68269999999999997</v>
      </c>
      <c r="K330" s="789">
        <v>0.68269999999999997</v>
      </c>
      <c r="L330" s="789">
        <v>0.68269999999999997</v>
      </c>
      <c r="M330" s="789">
        <v>0.68269999999999997</v>
      </c>
    </row>
    <row r="331" spans="1:13">
      <c r="A331" s="791">
        <v>2.2999999999999998</v>
      </c>
      <c r="B331" s="789">
        <v>0.84360000000000002</v>
      </c>
      <c r="C331" s="789">
        <v>0.84360000000000002</v>
      </c>
      <c r="D331" s="789">
        <v>0.83899999999999997</v>
      </c>
      <c r="E331" s="789">
        <v>0.83899999999999997</v>
      </c>
      <c r="F331" s="789">
        <v>0.83899999999999997</v>
      </c>
      <c r="G331" s="789">
        <v>0.75839999999999996</v>
      </c>
      <c r="H331" s="789">
        <v>0.75839999999999996</v>
      </c>
      <c r="I331" s="789">
        <v>0.66949999999999998</v>
      </c>
      <c r="J331" s="789">
        <v>0.66949999999999998</v>
      </c>
      <c r="K331" s="789">
        <v>0.66949999999999998</v>
      </c>
      <c r="L331" s="789">
        <v>0.66949999999999998</v>
      </c>
      <c r="M331" s="789">
        <v>0.66949999999999998</v>
      </c>
    </row>
    <row r="332" spans="1:13">
      <c r="A332" s="791">
        <v>2.4</v>
      </c>
      <c r="B332" s="789">
        <v>0.82940000000000003</v>
      </c>
      <c r="C332" s="789">
        <v>0.82940000000000003</v>
      </c>
      <c r="D332" s="789">
        <v>0.82410000000000005</v>
      </c>
      <c r="E332" s="789">
        <v>0.82410000000000005</v>
      </c>
      <c r="F332" s="789">
        <v>0.82410000000000005</v>
      </c>
      <c r="G332" s="789">
        <v>0.74460000000000004</v>
      </c>
      <c r="H332" s="789">
        <v>0.74460000000000004</v>
      </c>
      <c r="I332" s="789">
        <v>0.65710000000000002</v>
      </c>
      <c r="J332" s="789">
        <v>0.65710000000000002</v>
      </c>
      <c r="K332" s="789">
        <v>0.65710000000000002</v>
      </c>
      <c r="L332" s="789">
        <v>0.65710000000000002</v>
      </c>
      <c r="M332" s="789">
        <v>0.65710000000000002</v>
      </c>
    </row>
    <row r="333" spans="1:13">
      <c r="A333" s="791">
        <v>2.5</v>
      </c>
      <c r="B333" s="789">
        <v>0.81620000000000004</v>
      </c>
      <c r="C333" s="789">
        <v>0.81620000000000004</v>
      </c>
      <c r="D333" s="789">
        <v>0.81020000000000003</v>
      </c>
      <c r="E333" s="789">
        <v>0.81020000000000003</v>
      </c>
      <c r="F333" s="789">
        <v>0.81020000000000003</v>
      </c>
      <c r="G333" s="789">
        <v>0.73180000000000001</v>
      </c>
      <c r="H333" s="789">
        <v>0.73180000000000001</v>
      </c>
      <c r="I333" s="789">
        <v>0.64549999999999996</v>
      </c>
      <c r="J333" s="789">
        <v>0.64549999999999996</v>
      </c>
      <c r="K333" s="789">
        <v>0.64549999999999996</v>
      </c>
      <c r="L333" s="789">
        <v>0.64549999999999996</v>
      </c>
      <c r="M333" s="789">
        <v>0.64549999999999996</v>
      </c>
    </row>
    <row r="334" spans="1:13">
      <c r="A334" s="791">
        <v>2.6</v>
      </c>
      <c r="B334" s="789">
        <v>0.80389999999999995</v>
      </c>
      <c r="C334" s="789">
        <v>0.80389999999999995</v>
      </c>
      <c r="D334" s="789">
        <v>0.79710000000000003</v>
      </c>
      <c r="E334" s="789">
        <v>0.79710000000000003</v>
      </c>
      <c r="F334" s="789">
        <v>0.79710000000000003</v>
      </c>
      <c r="G334" s="789">
        <v>0.71970000000000001</v>
      </c>
      <c r="H334" s="789">
        <v>0.71970000000000001</v>
      </c>
      <c r="I334" s="789">
        <v>0.63460000000000005</v>
      </c>
      <c r="J334" s="789">
        <v>0.63460000000000005</v>
      </c>
      <c r="K334" s="789">
        <v>0.63460000000000005</v>
      </c>
      <c r="L334" s="789">
        <v>0.63460000000000005</v>
      </c>
      <c r="M334" s="789">
        <v>0.63460000000000005</v>
      </c>
    </row>
    <row r="335" spans="1:13">
      <c r="A335" s="791">
        <v>2.7</v>
      </c>
      <c r="B335" s="789">
        <v>0.79249999999999998</v>
      </c>
      <c r="C335" s="789">
        <v>0.79249999999999998</v>
      </c>
      <c r="D335" s="789">
        <v>0.78490000000000004</v>
      </c>
      <c r="E335" s="789">
        <v>0.78490000000000004</v>
      </c>
      <c r="F335" s="789">
        <v>0.78490000000000004</v>
      </c>
      <c r="G335" s="789">
        <v>0.70840000000000003</v>
      </c>
      <c r="H335" s="789">
        <v>0.70840000000000003</v>
      </c>
      <c r="I335" s="789">
        <v>0.62439999999999996</v>
      </c>
      <c r="J335" s="789">
        <v>0.62439999999999996</v>
      </c>
      <c r="K335" s="789">
        <v>0.62439999999999996</v>
      </c>
      <c r="L335" s="789">
        <v>0.62439999999999996</v>
      </c>
      <c r="M335" s="789">
        <v>0.62439999999999996</v>
      </c>
    </row>
    <row r="336" spans="1:13">
      <c r="A336" s="791">
        <v>2.8</v>
      </c>
      <c r="B336" s="789">
        <v>0.78190000000000004</v>
      </c>
      <c r="C336" s="789">
        <v>0.78190000000000004</v>
      </c>
      <c r="D336" s="789">
        <v>0.77359999999999995</v>
      </c>
      <c r="E336" s="789">
        <v>0.77359999999999995</v>
      </c>
      <c r="F336" s="789">
        <v>0.77359999999999995</v>
      </c>
      <c r="G336" s="789">
        <v>0.69789999999999996</v>
      </c>
      <c r="H336" s="789">
        <v>0.69789999999999996</v>
      </c>
      <c r="I336" s="789">
        <v>0.61480000000000001</v>
      </c>
      <c r="J336" s="789">
        <v>0.61480000000000001</v>
      </c>
      <c r="K336" s="789">
        <v>0.61480000000000001</v>
      </c>
      <c r="L336" s="789">
        <v>0.61480000000000001</v>
      </c>
      <c r="M336" s="789">
        <v>0.61480000000000001</v>
      </c>
    </row>
    <row r="337" spans="1:13">
      <c r="A337" s="791">
        <v>2.9</v>
      </c>
      <c r="B337" s="789">
        <v>0.77210000000000001</v>
      </c>
      <c r="C337" s="789">
        <v>0.77210000000000001</v>
      </c>
      <c r="D337" s="789">
        <v>0.76300000000000001</v>
      </c>
      <c r="E337" s="789">
        <v>0.76300000000000001</v>
      </c>
      <c r="F337" s="789">
        <v>0.76300000000000001</v>
      </c>
      <c r="G337" s="789">
        <v>0.68799999999999994</v>
      </c>
      <c r="H337" s="789">
        <v>0.68799999999999994</v>
      </c>
      <c r="I337" s="789">
        <v>0.60589999999999999</v>
      </c>
      <c r="J337" s="789">
        <v>0.60589999999999999</v>
      </c>
      <c r="K337" s="789">
        <v>0.60589999999999999</v>
      </c>
      <c r="L337" s="789">
        <v>0.60589999999999999</v>
      </c>
      <c r="M337" s="789">
        <v>0.60589999999999999</v>
      </c>
    </row>
    <row r="338" spans="1:13">
      <c r="A338" s="791">
        <v>3</v>
      </c>
      <c r="B338" s="789">
        <v>0.7631</v>
      </c>
      <c r="C338" s="789">
        <v>0.7631</v>
      </c>
      <c r="D338" s="789">
        <v>0.75309999999999999</v>
      </c>
      <c r="E338" s="789">
        <v>0.75309999999999999</v>
      </c>
      <c r="F338" s="789">
        <v>0.75309999999999999</v>
      </c>
      <c r="G338" s="789">
        <v>0.67879999999999996</v>
      </c>
      <c r="H338" s="789">
        <v>0.67879999999999996</v>
      </c>
      <c r="I338" s="789">
        <v>0.59750000000000003</v>
      </c>
      <c r="J338" s="789">
        <v>0.59750000000000003</v>
      </c>
      <c r="K338" s="789">
        <v>0.59750000000000003</v>
      </c>
      <c r="L338" s="789">
        <v>0.59750000000000003</v>
      </c>
      <c r="M338" s="789">
        <v>0.59750000000000003</v>
      </c>
    </row>
    <row r="339" spans="1:13">
      <c r="A339" s="791">
        <v>3.1</v>
      </c>
      <c r="B339" s="789">
        <v>0.75470000000000004</v>
      </c>
      <c r="C339" s="789">
        <v>0.75470000000000004</v>
      </c>
      <c r="D339" s="789">
        <v>0.74399999999999999</v>
      </c>
      <c r="E339" s="789">
        <v>0.74399999999999999</v>
      </c>
      <c r="F339" s="789">
        <v>0.74399999999999999</v>
      </c>
      <c r="G339" s="789">
        <v>0.67020000000000002</v>
      </c>
      <c r="H339" s="789">
        <v>0.67020000000000002</v>
      </c>
      <c r="I339" s="789">
        <v>0.5897</v>
      </c>
      <c r="J339" s="789">
        <v>0.5897</v>
      </c>
      <c r="K339" s="789">
        <v>0.5897</v>
      </c>
      <c r="L339" s="789">
        <v>0.5897</v>
      </c>
      <c r="M339" s="789">
        <v>0.5897</v>
      </c>
    </row>
    <row r="340" spans="1:13">
      <c r="A340" s="791">
        <v>3.2</v>
      </c>
      <c r="B340" s="789">
        <v>0.747</v>
      </c>
      <c r="C340" s="789">
        <v>0.747</v>
      </c>
      <c r="D340" s="789">
        <v>0.73540000000000005</v>
      </c>
      <c r="E340" s="789">
        <v>0.73540000000000005</v>
      </c>
      <c r="F340" s="789">
        <v>0.73540000000000005</v>
      </c>
      <c r="G340" s="789">
        <v>0.66220000000000001</v>
      </c>
      <c r="H340" s="789">
        <v>0.66220000000000001</v>
      </c>
      <c r="I340" s="789">
        <v>0.58230000000000004</v>
      </c>
      <c r="J340" s="789">
        <v>0.58230000000000004</v>
      </c>
      <c r="K340" s="789">
        <v>0.58230000000000004</v>
      </c>
      <c r="L340" s="789">
        <v>0.58230000000000004</v>
      </c>
      <c r="M340" s="789">
        <v>0.58230000000000004</v>
      </c>
    </row>
    <row r="341" spans="1:13">
      <c r="A341" s="791">
        <v>3.3</v>
      </c>
      <c r="B341" s="789">
        <v>0.7399</v>
      </c>
      <c r="C341" s="789">
        <v>0.7399</v>
      </c>
      <c r="D341" s="789">
        <v>0.72750000000000004</v>
      </c>
      <c r="E341" s="789">
        <v>0.72750000000000004</v>
      </c>
      <c r="F341" s="789">
        <v>0.72750000000000004</v>
      </c>
      <c r="G341" s="789">
        <v>0.65480000000000005</v>
      </c>
      <c r="H341" s="789">
        <v>0.65480000000000005</v>
      </c>
      <c r="I341" s="789">
        <v>0.57540000000000002</v>
      </c>
      <c r="J341" s="789">
        <v>0.57540000000000002</v>
      </c>
      <c r="K341" s="789">
        <v>0.57540000000000002</v>
      </c>
      <c r="L341" s="789">
        <v>0.57540000000000002</v>
      </c>
      <c r="M341" s="789">
        <v>0.57540000000000002</v>
      </c>
    </row>
    <row r="342" spans="1:13">
      <c r="A342" s="791">
        <v>3.4</v>
      </c>
      <c r="B342" s="789">
        <v>0.73340000000000005</v>
      </c>
      <c r="C342" s="789">
        <v>0.73340000000000005</v>
      </c>
      <c r="D342" s="789">
        <v>0.72009999999999996</v>
      </c>
      <c r="E342" s="789">
        <v>0.72009999999999996</v>
      </c>
      <c r="F342" s="789">
        <v>0.72009999999999996</v>
      </c>
      <c r="G342" s="789">
        <v>0.64780000000000004</v>
      </c>
      <c r="H342" s="789">
        <v>0.64780000000000004</v>
      </c>
      <c r="I342" s="789">
        <v>0.56899999999999995</v>
      </c>
      <c r="J342" s="789">
        <v>0.56899999999999995</v>
      </c>
      <c r="K342" s="789">
        <v>0.56899999999999995</v>
      </c>
      <c r="L342" s="789">
        <v>0.56899999999999995</v>
      </c>
      <c r="M342" s="789">
        <v>0.56899999999999995</v>
      </c>
    </row>
    <row r="343" spans="1:13">
      <c r="A343" s="791">
        <v>3.5</v>
      </c>
      <c r="B343" s="789">
        <v>0.72740000000000005</v>
      </c>
      <c r="C343" s="789">
        <v>0.72740000000000005</v>
      </c>
      <c r="D343" s="789">
        <v>0.71330000000000005</v>
      </c>
      <c r="E343" s="789">
        <v>0.71330000000000005</v>
      </c>
      <c r="F343" s="789">
        <v>0.71330000000000005</v>
      </c>
      <c r="G343" s="789">
        <v>0.64129999999999998</v>
      </c>
      <c r="H343" s="789">
        <v>0.64129999999999998</v>
      </c>
      <c r="I343" s="789">
        <v>0.56310000000000004</v>
      </c>
      <c r="J343" s="789">
        <v>0.56310000000000004</v>
      </c>
      <c r="K343" s="789">
        <v>0.56310000000000004</v>
      </c>
      <c r="L343" s="789">
        <v>0.56310000000000004</v>
      </c>
      <c r="M343" s="789">
        <v>0.56310000000000004</v>
      </c>
    </row>
    <row r="344" spans="1:13">
      <c r="A344" s="791">
        <v>3.6</v>
      </c>
      <c r="B344" s="789">
        <v>0.72189999999999999</v>
      </c>
      <c r="C344" s="789">
        <v>0.72189999999999999</v>
      </c>
      <c r="D344" s="789">
        <v>0.70699999999999996</v>
      </c>
      <c r="E344" s="789">
        <v>0.70699999999999996</v>
      </c>
      <c r="F344" s="789">
        <v>0.70699999999999996</v>
      </c>
      <c r="G344" s="789">
        <v>0.63529999999999998</v>
      </c>
      <c r="H344" s="789">
        <v>0.63529999999999998</v>
      </c>
      <c r="I344" s="789">
        <v>0.5575</v>
      </c>
      <c r="J344" s="789">
        <v>0.5575</v>
      </c>
      <c r="K344" s="789">
        <v>0.5575</v>
      </c>
      <c r="L344" s="789">
        <v>0.5575</v>
      </c>
      <c r="M344" s="789">
        <v>0.5575</v>
      </c>
    </row>
    <row r="345" spans="1:13">
      <c r="A345" s="791">
        <v>3.7</v>
      </c>
      <c r="B345" s="789">
        <v>0.71679999999999999</v>
      </c>
      <c r="C345" s="789">
        <v>0.71679999999999999</v>
      </c>
      <c r="D345" s="789">
        <v>0.70109999999999995</v>
      </c>
      <c r="E345" s="789">
        <v>0.70109999999999995</v>
      </c>
      <c r="F345" s="789">
        <v>0.70109999999999995</v>
      </c>
      <c r="G345" s="789">
        <v>0.62970000000000004</v>
      </c>
      <c r="H345" s="789">
        <v>0.62970000000000004</v>
      </c>
      <c r="I345" s="789">
        <v>0.55230000000000001</v>
      </c>
      <c r="J345" s="789">
        <v>0.55230000000000001</v>
      </c>
      <c r="K345" s="789">
        <v>0.55230000000000001</v>
      </c>
      <c r="L345" s="789">
        <v>0.55230000000000001</v>
      </c>
      <c r="M345" s="789">
        <v>0.55230000000000001</v>
      </c>
    </row>
    <row r="346" spans="1:13">
      <c r="A346" s="791">
        <v>3.8</v>
      </c>
      <c r="B346" s="789">
        <v>0.71220000000000006</v>
      </c>
      <c r="C346" s="789">
        <v>0.71220000000000006</v>
      </c>
      <c r="D346" s="789">
        <v>0.6956</v>
      </c>
      <c r="E346" s="789">
        <v>0.6956</v>
      </c>
      <c r="F346" s="789">
        <v>0.6956</v>
      </c>
      <c r="G346" s="789">
        <v>0.62439999999999996</v>
      </c>
      <c r="H346" s="789">
        <v>0.62439999999999996</v>
      </c>
      <c r="I346" s="789">
        <v>0.5474</v>
      </c>
      <c r="J346" s="789">
        <v>0.5474</v>
      </c>
      <c r="K346" s="789">
        <v>0.5474</v>
      </c>
      <c r="L346" s="789">
        <v>0.5474</v>
      </c>
      <c r="M346" s="789">
        <v>0.5474</v>
      </c>
    </row>
    <row r="347" spans="1:13">
      <c r="A347" s="791">
        <v>3.9</v>
      </c>
      <c r="B347" s="789">
        <v>0.70799999999999996</v>
      </c>
      <c r="C347" s="789">
        <v>0.70799999999999996</v>
      </c>
      <c r="D347" s="789">
        <v>0.69059999999999999</v>
      </c>
      <c r="E347" s="789">
        <v>0.69059999999999999</v>
      </c>
      <c r="F347" s="789">
        <v>0.69059999999999999</v>
      </c>
      <c r="G347" s="789">
        <v>0.61950000000000005</v>
      </c>
      <c r="H347" s="789">
        <v>0.61950000000000005</v>
      </c>
      <c r="I347" s="789">
        <v>0.54279999999999995</v>
      </c>
      <c r="J347" s="789">
        <v>0.54279999999999995</v>
      </c>
      <c r="K347" s="789">
        <v>0.54279999999999995</v>
      </c>
      <c r="L347" s="789">
        <v>0.54279999999999995</v>
      </c>
      <c r="M347" s="789">
        <v>0.54279999999999995</v>
      </c>
    </row>
    <row r="348" spans="1:13">
      <c r="A348" s="791">
        <v>4</v>
      </c>
      <c r="B348" s="789">
        <v>0.70409999999999995</v>
      </c>
      <c r="C348" s="789">
        <v>0.70409999999999995</v>
      </c>
      <c r="D348" s="789">
        <v>0.68589999999999995</v>
      </c>
      <c r="E348" s="789">
        <v>0.68589999999999995</v>
      </c>
      <c r="F348" s="789">
        <v>0.68589999999999995</v>
      </c>
      <c r="G348" s="789">
        <v>0.61499999999999999</v>
      </c>
      <c r="H348" s="789">
        <v>0.61499999999999999</v>
      </c>
      <c r="I348" s="789">
        <v>0.53859999999999997</v>
      </c>
      <c r="J348" s="789">
        <v>0.53859999999999997</v>
      </c>
      <c r="K348" s="789">
        <v>0.53859999999999997</v>
      </c>
      <c r="L348" s="789">
        <v>0.53859999999999997</v>
      </c>
      <c r="M348" s="789">
        <v>0.53859999999999997</v>
      </c>
    </row>
    <row r="349" spans="1:13">
      <c r="A349" s="791">
        <v>4.0999999999999996</v>
      </c>
      <c r="B349" s="789">
        <v>0.7006</v>
      </c>
      <c r="C349" s="789">
        <v>0.7006</v>
      </c>
      <c r="D349" s="789">
        <v>0.68159999999999998</v>
      </c>
      <c r="E349" s="789">
        <v>0.68159999999999998</v>
      </c>
      <c r="F349" s="789">
        <v>0.68159999999999998</v>
      </c>
      <c r="G349" s="789">
        <v>0.61080000000000001</v>
      </c>
      <c r="H349" s="789">
        <v>0.61080000000000001</v>
      </c>
      <c r="I349" s="789">
        <v>0.53459999999999996</v>
      </c>
      <c r="J349" s="789">
        <v>0.53459999999999996</v>
      </c>
      <c r="K349" s="789">
        <v>0.53459999999999996</v>
      </c>
      <c r="L349" s="789">
        <v>0.53459999999999996</v>
      </c>
      <c r="M349" s="789">
        <v>0.53459999999999996</v>
      </c>
    </row>
    <row r="350" spans="1:13">
      <c r="A350" s="791">
        <v>4.2</v>
      </c>
      <c r="B350" s="789">
        <v>0.69740000000000002</v>
      </c>
      <c r="C350" s="789">
        <v>0.69740000000000002</v>
      </c>
      <c r="D350" s="789">
        <v>0.67759999999999998</v>
      </c>
      <c r="E350" s="789">
        <v>0.67759999999999998</v>
      </c>
      <c r="F350" s="789">
        <v>0.67759999999999998</v>
      </c>
      <c r="G350" s="789">
        <v>0.60699999999999998</v>
      </c>
      <c r="H350" s="789">
        <v>0.60699999999999998</v>
      </c>
      <c r="I350" s="789">
        <v>0.53090000000000004</v>
      </c>
      <c r="J350" s="789">
        <v>0.53090000000000004</v>
      </c>
      <c r="K350" s="789">
        <v>0.53090000000000004</v>
      </c>
      <c r="L350" s="789">
        <v>0.53090000000000004</v>
      </c>
      <c r="M350" s="789">
        <v>0.53090000000000004</v>
      </c>
    </row>
    <row r="351" spans="1:13">
      <c r="A351" s="791">
        <v>4.3</v>
      </c>
      <c r="B351" s="789">
        <v>0.69450000000000001</v>
      </c>
      <c r="C351" s="789">
        <v>0.69450000000000001</v>
      </c>
      <c r="D351" s="789">
        <v>0.67390000000000005</v>
      </c>
      <c r="E351" s="789">
        <v>0.67390000000000005</v>
      </c>
      <c r="F351" s="789">
        <v>0.67390000000000005</v>
      </c>
      <c r="G351" s="789">
        <v>0.60329999999999995</v>
      </c>
      <c r="H351" s="789">
        <v>0.60329999999999995</v>
      </c>
      <c r="I351" s="789">
        <v>0.52739999999999998</v>
      </c>
      <c r="J351" s="789">
        <v>0.52739999999999998</v>
      </c>
      <c r="K351" s="789">
        <v>0.52739999999999998</v>
      </c>
      <c r="L351" s="789">
        <v>0.52739999999999998</v>
      </c>
      <c r="M351" s="789">
        <v>0.52739999999999998</v>
      </c>
    </row>
    <row r="352" spans="1:13">
      <c r="A352" s="791">
        <v>4.4000000000000004</v>
      </c>
      <c r="B352" s="789">
        <v>0.69179999999999997</v>
      </c>
      <c r="C352" s="789">
        <v>0.69179999999999997</v>
      </c>
      <c r="D352" s="789">
        <v>0.67049999999999998</v>
      </c>
      <c r="E352" s="789">
        <v>0.67049999999999998</v>
      </c>
      <c r="F352" s="789">
        <v>0.67049999999999998</v>
      </c>
      <c r="G352" s="789">
        <v>0.59989999999999999</v>
      </c>
      <c r="H352" s="789">
        <v>0.59989999999999999</v>
      </c>
      <c r="I352" s="789">
        <v>0.5242</v>
      </c>
      <c r="J352" s="789">
        <v>0.5242</v>
      </c>
      <c r="K352" s="789">
        <v>0.5242</v>
      </c>
      <c r="L352" s="789">
        <v>0.5242</v>
      </c>
      <c r="M352" s="789">
        <v>0.5242</v>
      </c>
    </row>
    <row r="353" spans="1:13">
      <c r="A353" s="791">
        <v>4.5</v>
      </c>
      <c r="B353" s="789">
        <v>0.68940000000000001</v>
      </c>
      <c r="C353" s="789">
        <v>0.68940000000000001</v>
      </c>
      <c r="D353" s="789">
        <v>0.6673</v>
      </c>
      <c r="E353" s="789">
        <v>0.6673</v>
      </c>
      <c r="F353" s="789">
        <v>0.6673</v>
      </c>
      <c r="G353" s="789">
        <v>0.59670000000000001</v>
      </c>
      <c r="H353" s="789">
        <v>0.59670000000000001</v>
      </c>
      <c r="I353" s="789">
        <v>0.52110000000000001</v>
      </c>
      <c r="J353" s="789">
        <v>0.52110000000000001</v>
      </c>
      <c r="K353" s="789">
        <v>0.52110000000000001</v>
      </c>
      <c r="L353" s="789">
        <v>0.52110000000000001</v>
      </c>
      <c r="M353" s="789">
        <v>0.52110000000000001</v>
      </c>
    </row>
    <row r="354" spans="1:13">
      <c r="A354" s="791">
        <v>4.5999999999999996</v>
      </c>
      <c r="B354" s="789">
        <v>0.68720000000000003</v>
      </c>
      <c r="C354" s="789">
        <v>0.68720000000000003</v>
      </c>
      <c r="D354" s="789">
        <v>0.6643</v>
      </c>
      <c r="E354" s="789">
        <v>0.6643</v>
      </c>
      <c r="F354" s="789">
        <v>0.6643</v>
      </c>
      <c r="G354" s="789">
        <v>0.59379999999999999</v>
      </c>
      <c r="H354" s="789">
        <v>0.59379999999999999</v>
      </c>
      <c r="I354" s="789">
        <v>0.51819999999999999</v>
      </c>
      <c r="J354" s="789">
        <v>0.51819999999999999</v>
      </c>
      <c r="K354" s="789">
        <v>0.51819999999999999</v>
      </c>
      <c r="L354" s="789">
        <v>0.51819999999999999</v>
      </c>
      <c r="M354" s="789">
        <v>0.51819999999999999</v>
      </c>
    </row>
    <row r="355" spans="1:13">
      <c r="A355" s="791">
        <v>4.7</v>
      </c>
      <c r="B355" s="789">
        <v>0.68520000000000003</v>
      </c>
      <c r="C355" s="789">
        <v>0.68520000000000003</v>
      </c>
      <c r="D355" s="789">
        <v>0.66149999999999998</v>
      </c>
      <c r="E355" s="789">
        <v>0.66149999999999998</v>
      </c>
      <c r="F355" s="789">
        <v>0.66149999999999998</v>
      </c>
      <c r="G355" s="789">
        <v>0.59109999999999996</v>
      </c>
      <c r="H355" s="789">
        <v>0.59109999999999996</v>
      </c>
      <c r="I355" s="789">
        <v>0.51559999999999995</v>
      </c>
      <c r="J355" s="789">
        <v>0.51559999999999995</v>
      </c>
      <c r="K355" s="789">
        <v>0.51559999999999995</v>
      </c>
      <c r="L355" s="789">
        <v>0.51559999999999995</v>
      </c>
      <c r="M355" s="789">
        <v>0.51559999999999995</v>
      </c>
    </row>
    <row r="356" spans="1:13">
      <c r="A356" s="791">
        <v>4.8</v>
      </c>
      <c r="B356" s="789">
        <v>0.68340000000000001</v>
      </c>
      <c r="C356" s="789">
        <v>0.68340000000000001</v>
      </c>
      <c r="D356" s="789">
        <v>0.65900000000000003</v>
      </c>
      <c r="E356" s="789">
        <v>0.65900000000000003</v>
      </c>
      <c r="F356" s="789">
        <v>0.65900000000000003</v>
      </c>
      <c r="G356" s="789">
        <v>0.58850000000000002</v>
      </c>
      <c r="H356" s="789">
        <v>0.58850000000000002</v>
      </c>
      <c r="I356" s="789">
        <v>0.51300000000000001</v>
      </c>
      <c r="J356" s="789">
        <v>0.51300000000000001</v>
      </c>
      <c r="K356" s="789">
        <v>0.51300000000000001</v>
      </c>
      <c r="L356" s="789">
        <v>0.51300000000000001</v>
      </c>
      <c r="M356" s="789">
        <v>0.51300000000000001</v>
      </c>
    </row>
    <row r="357" spans="1:13">
      <c r="A357" s="791">
        <v>4.9000000000000004</v>
      </c>
      <c r="B357" s="789">
        <v>0.68179999999999996</v>
      </c>
      <c r="C357" s="789">
        <v>0.68179999999999996</v>
      </c>
      <c r="D357" s="789">
        <v>0.65659999999999996</v>
      </c>
      <c r="E357" s="789">
        <v>0.65659999999999996</v>
      </c>
      <c r="F357" s="789">
        <v>0.65659999999999996</v>
      </c>
      <c r="G357" s="789">
        <v>0.58599999999999997</v>
      </c>
      <c r="H357" s="789">
        <v>0.58599999999999997</v>
      </c>
      <c r="I357" s="789">
        <v>0.51060000000000005</v>
      </c>
      <c r="J357" s="789">
        <v>0.51060000000000005</v>
      </c>
      <c r="K357" s="789">
        <v>0.51060000000000005</v>
      </c>
      <c r="L357" s="789">
        <v>0.51060000000000005</v>
      </c>
      <c r="M357" s="789">
        <v>0.51060000000000005</v>
      </c>
    </row>
    <row r="358" spans="1:13">
      <c r="A358" s="791">
        <v>5</v>
      </c>
      <c r="B358" s="789">
        <v>0.68030000000000002</v>
      </c>
      <c r="C358" s="789">
        <v>0.68030000000000002</v>
      </c>
      <c r="D358" s="789">
        <v>0.65439999999999998</v>
      </c>
      <c r="E358" s="789">
        <v>0.65439999999999998</v>
      </c>
      <c r="F358" s="789">
        <v>0.65439999999999998</v>
      </c>
      <c r="G358" s="789">
        <v>0.58379999999999999</v>
      </c>
      <c r="H358" s="789">
        <v>0.58379999999999999</v>
      </c>
      <c r="I358" s="789">
        <v>0.50839999999999996</v>
      </c>
      <c r="J358" s="789">
        <v>0.50839999999999996</v>
      </c>
      <c r="K358" s="789">
        <v>0.50839999999999996</v>
      </c>
      <c r="L358" s="789">
        <v>0.50839999999999996</v>
      </c>
      <c r="M358" s="789">
        <v>0.50839999999999996</v>
      </c>
    </row>
    <row r="359" spans="1:13">
      <c r="A359" s="785">
        <v>5.0999999999999996</v>
      </c>
      <c r="B359" s="789">
        <v>0.67889999999999995</v>
      </c>
      <c r="C359" s="789">
        <v>0.67889999999999995</v>
      </c>
      <c r="D359" s="789">
        <v>0.65229999999999999</v>
      </c>
      <c r="E359" s="789">
        <v>0.65229999999999999</v>
      </c>
      <c r="F359" s="789">
        <v>0.65229999999999999</v>
      </c>
      <c r="G359" s="789">
        <v>0.58160000000000001</v>
      </c>
      <c r="H359" s="789">
        <v>0.58160000000000001</v>
      </c>
      <c r="I359" s="789">
        <v>0.50629999999999997</v>
      </c>
      <c r="J359" s="789">
        <v>0.50629999999999997</v>
      </c>
      <c r="K359" s="789">
        <v>0.50629999999999997</v>
      </c>
      <c r="L359" s="789">
        <v>0.50629999999999997</v>
      </c>
      <c r="M359" s="789">
        <v>0.50629999999999997</v>
      </c>
    </row>
    <row r="360" spans="1:13">
      <c r="A360" s="785">
        <v>5.2</v>
      </c>
      <c r="B360" s="789">
        <v>0.67749999999999999</v>
      </c>
      <c r="C360" s="789">
        <v>0.67749999999999999</v>
      </c>
      <c r="D360" s="789">
        <v>0.65029999999999999</v>
      </c>
      <c r="E360" s="789">
        <v>0.65029999999999999</v>
      </c>
      <c r="F360" s="789">
        <v>0.65029999999999999</v>
      </c>
      <c r="G360" s="789">
        <v>0.57950000000000002</v>
      </c>
      <c r="H360" s="789">
        <v>0.57950000000000002</v>
      </c>
      <c r="I360" s="789">
        <v>0.50419999999999998</v>
      </c>
      <c r="J360" s="789">
        <v>0.50419999999999998</v>
      </c>
      <c r="K360" s="789">
        <v>0.50419999999999998</v>
      </c>
      <c r="L360" s="789">
        <v>0.50419999999999998</v>
      </c>
      <c r="M360" s="789">
        <v>0.50419999999999998</v>
      </c>
    </row>
    <row r="361" spans="1:13">
      <c r="A361" s="785">
        <v>5.3</v>
      </c>
      <c r="B361" s="789">
        <v>0.67620000000000002</v>
      </c>
      <c r="C361" s="789">
        <v>0.67620000000000002</v>
      </c>
      <c r="D361" s="789">
        <v>0.64839999999999998</v>
      </c>
      <c r="E361" s="789">
        <v>0.64839999999999998</v>
      </c>
      <c r="F361" s="789">
        <v>0.64839999999999998</v>
      </c>
      <c r="G361" s="789">
        <v>0.5776</v>
      </c>
      <c r="H361" s="789">
        <v>0.5776</v>
      </c>
      <c r="I361" s="789">
        <v>0.50229999999999997</v>
      </c>
      <c r="J361" s="789">
        <v>0.50229999999999997</v>
      </c>
      <c r="K361" s="789">
        <v>0.50229999999999997</v>
      </c>
      <c r="L361" s="789">
        <v>0.50229999999999997</v>
      </c>
      <c r="M361" s="789">
        <v>0.50229999999999997</v>
      </c>
    </row>
    <row r="362" spans="1:13">
      <c r="A362" s="785">
        <v>5.4</v>
      </c>
      <c r="B362" s="789">
        <v>0.67500000000000004</v>
      </c>
      <c r="C362" s="789">
        <v>0.67500000000000004</v>
      </c>
      <c r="D362" s="789">
        <v>0.64670000000000005</v>
      </c>
      <c r="E362" s="789">
        <v>0.64670000000000005</v>
      </c>
      <c r="F362" s="789">
        <v>0.64670000000000005</v>
      </c>
      <c r="G362" s="789">
        <v>0.57579999999999998</v>
      </c>
      <c r="H362" s="789">
        <v>0.57579999999999998</v>
      </c>
      <c r="I362" s="789">
        <v>0.50039999999999996</v>
      </c>
      <c r="J362" s="789">
        <v>0.50039999999999996</v>
      </c>
      <c r="K362" s="789">
        <v>0.50039999999999996</v>
      </c>
      <c r="L362" s="789">
        <v>0.50039999999999996</v>
      </c>
      <c r="M362" s="789">
        <v>0.50039999999999996</v>
      </c>
    </row>
    <row r="363" spans="1:13">
      <c r="A363" s="785">
        <v>5.5</v>
      </c>
      <c r="B363" s="789">
        <v>0.67379999999999995</v>
      </c>
      <c r="C363" s="789">
        <v>0.67379999999999995</v>
      </c>
      <c r="D363" s="789">
        <v>0.64500000000000002</v>
      </c>
      <c r="E363" s="789">
        <v>0.64500000000000002</v>
      </c>
      <c r="F363" s="789">
        <v>0.64500000000000002</v>
      </c>
      <c r="G363" s="789">
        <v>0.57399999999999995</v>
      </c>
      <c r="H363" s="789">
        <v>0.57399999999999995</v>
      </c>
      <c r="I363" s="789">
        <v>0.49869999999999998</v>
      </c>
      <c r="J363" s="789">
        <v>0.49869999999999998</v>
      </c>
      <c r="K363" s="789">
        <v>0.49869999999999998</v>
      </c>
      <c r="L363" s="789">
        <v>0.49869999999999998</v>
      </c>
      <c r="M363" s="789">
        <v>0.49869999999999998</v>
      </c>
    </row>
    <row r="364" spans="1:13">
      <c r="A364" s="785">
        <v>5.6</v>
      </c>
      <c r="B364" s="789">
        <v>0.67259999999999998</v>
      </c>
      <c r="C364" s="789">
        <v>0.67259999999999998</v>
      </c>
      <c r="D364" s="789">
        <v>0.64339999999999997</v>
      </c>
      <c r="E364" s="789">
        <v>0.64339999999999997</v>
      </c>
      <c r="F364" s="789">
        <v>0.64339999999999997</v>
      </c>
      <c r="G364" s="789">
        <v>0.57240000000000002</v>
      </c>
      <c r="H364" s="789">
        <v>0.57240000000000002</v>
      </c>
      <c r="I364" s="789">
        <v>0.49690000000000001</v>
      </c>
      <c r="J364" s="789">
        <v>0.49690000000000001</v>
      </c>
      <c r="K364" s="789">
        <v>0.49690000000000001</v>
      </c>
      <c r="L364" s="789">
        <v>0.49690000000000001</v>
      </c>
      <c r="M364" s="789">
        <v>0.49690000000000001</v>
      </c>
    </row>
    <row r="365" spans="1:13">
      <c r="A365" s="791">
        <v>5.7</v>
      </c>
      <c r="B365" s="789">
        <v>0.6714</v>
      </c>
      <c r="C365" s="789">
        <v>0.6714</v>
      </c>
      <c r="D365" s="789">
        <v>0.64190000000000003</v>
      </c>
      <c r="E365" s="789">
        <v>0.64190000000000003</v>
      </c>
      <c r="F365" s="789">
        <v>0.64190000000000003</v>
      </c>
      <c r="G365" s="789">
        <v>0.57069999999999999</v>
      </c>
      <c r="H365" s="789">
        <v>0.57069999999999999</v>
      </c>
      <c r="I365" s="789">
        <v>0.49519999999999997</v>
      </c>
      <c r="J365" s="789">
        <v>0.49519999999999997</v>
      </c>
      <c r="K365" s="789">
        <v>0.49519999999999997</v>
      </c>
      <c r="L365" s="789">
        <v>0.49519999999999997</v>
      </c>
      <c r="M365" s="789">
        <v>0.49519999999999997</v>
      </c>
    </row>
    <row r="366" spans="1:13">
      <c r="A366" s="785">
        <v>5.8</v>
      </c>
      <c r="B366" s="789">
        <v>0.67020000000000002</v>
      </c>
      <c r="C366" s="789">
        <v>0.67020000000000002</v>
      </c>
      <c r="D366" s="789">
        <v>0.64039999999999997</v>
      </c>
      <c r="E366" s="789">
        <v>0.64039999999999997</v>
      </c>
      <c r="F366" s="789">
        <v>0.64039999999999997</v>
      </c>
      <c r="G366" s="789">
        <v>0.56910000000000005</v>
      </c>
      <c r="H366" s="789">
        <v>0.56910000000000005</v>
      </c>
      <c r="I366" s="789">
        <v>0.49359999999999998</v>
      </c>
      <c r="J366" s="789">
        <v>0.49359999999999998</v>
      </c>
      <c r="K366" s="789">
        <v>0.49359999999999998</v>
      </c>
      <c r="L366" s="789">
        <v>0.49359999999999998</v>
      </c>
      <c r="M366" s="789">
        <v>0.49359999999999998</v>
      </c>
    </row>
    <row r="367" spans="1:13">
      <c r="A367" s="785">
        <v>5.9</v>
      </c>
      <c r="B367" s="789">
        <v>0.66910000000000003</v>
      </c>
      <c r="C367" s="789">
        <v>0.66910000000000003</v>
      </c>
      <c r="D367" s="789">
        <v>0.63890000000000002</v>
      </c>
      <c r="E367" s="789">
        <v>0.63890000000000002</v>
      </c>
      <c r="F367" s="789">
        <v>0.63890000000000002</v>
      </c>
      <c r="G367" s="789">
        <v>0.5675</v>
      </c>
      <c r="H367" s="789">
        <v>0.5675</v>
      </c>
      <c r="I367" s="789">
        <v>0.4919</v>
      </c>
      <c r="J367" s="789">
        <v>0.4919</v>
      </c>
      <c r="K367" s="789">
        <v>0.4919</v>
      </c>
      <c r="L367" s="789">
        <v>0.4919</v>
      </c>
      <c r="M367" s="789">
        <v>0.4919</v>
      </c>
    </row>
    <row r="368" spans="1:13">
      <c r="A368" s="785">
        <v>6</v>
      </c>
      <c r="B368" s="789">
        <v>0.66800000000000004</v>
      </c>
      <c r="C368" s="789">
        <v>0.66800000000000004</v>
      </c>
      <c r="D368" s="789">
        <v>0.63739999999999997</v>
      </c>
      <c r="E368" s="789">
        <v>0.63739999999999997</v>
      </c>
      <c r="F368" s="789">
        <v>0.63739999999999997</v>
      </c>
      <c r="G368" s="789">
        <v>0.56589999999999996</v>
      </c>
      <c r="H368" s="789">
        <v>0.56589999999999996</v>
      </c>
      <c r="I368" s="789">
        <v>0.49020000000000002</v>
      </c>
      <c r="J368" s="789">
        <v>0.49020000000000002</v>
      </c>
      <c r="K368" s="789">
        <v>0.49020000000000002</v>
      </c>
      <c r="L368" s="789">
        <v>0.49020000000000002</v>
      </c>
      <c r="M368" s="789">
        <v>0.49020000000000002</v>
      </c>
    </row>
    <row r="369" spans="1:13">
      <c r="A369" s="785">
        <v>6.1</v>
      </c>
      <c r="B369" s="789">
        <v>0.66690000000000005</v>
      </c>
      <c r="C369" s="789">
        <v>0.66690000000000005</v>
      </c>
      <c r="D369" s="789">
        <v>0.63590000000000002</v>
      </c>
      <c r="E369" s="789">
        <v>0.63590000000000002</v>
      </c>
      <c r="F369" s="789">
        <v>0.63590000000000002</v>
      </c>
      <c r="G369" s="789">
        <v>0.56440000000000001</v>
      </c>
      <c r="H369" s="789">
        <v>0.56440000000000001</v>
      </c>
      <c r="I369" s="789">
        <v>0.48849999999999999</v>
      </c>
      <c r="J369" s="789">
        <v>0.48849999999999999</v>
      </c>
      <c r="K369" s="789">
        <v>0.48849999999999999</v>
      </c>
      <c r="L369" s="789">
        <v>0.48849999999999999</v>
      </c>
      <c r="M369" s="789">
        <v>0.48849999999999999</v>
      </c>
    </row>
    <row r="370" spans="1:13">
      <c r="A370" s="785">
        <v>6.2</v>
      </c>
      <c r="B370" s="789">
        <v>0.66579999999999995</v>
      </c>
      <c r="C370" s="789">
        <v>0.66579999999999995</v>
      </c>
      <c r="D370" s="789">
        <v>0.63439999999999996</v>
      </c>
      <c r="E370" s="789">
        <v>0.63439999999999996</v>
      </c>
      <c r="F370" s="789">
        <v>0.63439999999999996</v>
      </c>
      <c r="G370" s="789">
        <v>0.56289999999999996</v>
      </c>
      <c r="H370" s="789">
        <v>0.56289999999999996</v>
      </c>
      <c r="I370" s="789">
        <v>0.48680000000000001</v>
      </c>
      <c r="J370" s="789">
        <v>0.48680000000000001</v>
      </c>
      <c r="K370" s="789">
        <v>0.48680000000000001</v>
      </c>
      <c r="L370" s="789">
        <v>0.48680000000000001</v>
      </c>
      <c r="M370" s="789">
        <v>0.48680000000000001</v>
      </c>
    </row>
    <row r="371" spans="1:13">
      <c r="A371" s="785">
        <v>6.3</v>
      </c>
      <c r="B371" s="789">
        <v>0.66469999999999996</v>
      </c>
      <c r="C371" s="789">
        <v>0.66469999999999996</v>
      </c>
      <c r="D371" s="789">
        <v>0.63290000000000002</v>
      </c>
      <c r="E371" s="789">
        <v>0.63290000000000002</v>
      </c>
      <c r="F371" s="789">
        <v>0.63290000000000002</v>
      </c>
      <c r="G371" s="789">
        <v>0.56130000000000002</v>
      </c>
      <c r="H371" s="789">
        <v>0.56130000000000002</v>
      </c>
      <c r="I371" s="789">
        <v>0.48509999999999998</v>
      </c>
      <c r="J371" s="789">
        <v>0.48509999999999998</v>
      </c>
      <c r="K371" s="789">
        <v>0.48509999999999998</v>
      </c>
      <c r="L371" s="789">
        <v>0.48509999999999998</v>
      </c>
      <c r="M371" s="789">
        <v>0.48509999999999998</v>
      </c>
    </row>
    <row r="372" spans="1:13">
      <c r="A372" s="785">
        <v>6.4</v>
      </c>
      <c r="B372" s="789">
        <v>0.66359999999999997</v>
      </c>
      <c r="C372" s="789">
        <v>0.66359999999999997</v>
      </c>
      <c r="D372" s="789">
        <v>0.63139999999999996</v>
      </c>
      <c r="E372" s="789">
        <v>0.63139999999999996</v>
      </c>
      <c r="F372" s="789">
        <v>0.63139999999999996</v>
      </c>
      <c r="G372" s="789">
        <v>0.55979999999999996</v>
      </c>
      <c r="H372" s="789">
        <v>0.55979999999999996</v>
      </c>
      <c r="I372" s="789">
        <v>0.48349999999999999</v>
      </c>
      <c r="J372" s="789">
        <v>0.48349999999999999</v>
      </c>
      <c r="K372" s="789">
        <v>0.48349999999999999</v>
      </c>
      <c r="L372" s="789">
        <v>0.48349999999999999</v>
      </c>
      <c r="M372" s="789">
        <v>0.48349999999999999</v>
      </c>
    </row>
    <row r="373" spans="1:13">
      <c r="A373" s="785">
        <v>6.5</v>
      </c>
      <c r="B373" s="789">
        <v>0.66249999999999998</v>
      </c>
      <c r="C373" s="789">
        <v>0.66249999999999998</v>
      </c>
      <c r="D373" s="789">
        <v>0.63</v>
      </c>
      <c r="E373" s="789">
        <v>0.63</v>
      </c>
      <c r="F373" s="789">
        <v>0.63</v>
      </c>
      <c r="G373" s="789">
        <v>0.55820000000000003</v>
      </c>
      <c r="H373" s="789">
        <v>0.55820000000000003</v>
      </c>
      <c r="I373" s="789">
        <v>0.4819</v>
      </c>
      <c r="J373" s="789">
        <v>0.4819</v>
      </c>
      <c r="K373" s="789">
        <v>0.4819</v>
      </c>
      <c r="L373" s="789">
        <v>0.4819</v>
      </c>
      <c r="M373" s="789">
        <v>0.4819</v>
      </c>
    </row>
    <row r="374" spans="1:13">
      <c r="A374" s="785">
        <v>6.6</v>
      </c>
      <c r="B374" s="789">
        <v>0.66149999999999998</v>
      </c>
      <c r="C374" s="789">
        <v>0.66149999999999998</v>
      </c>
      <c r="D374" s="789">
        <v>0.62860000000000005</v>
      </c>
      <c r="E374" s="789">
        <v>0.62860000000000005</v>
      </c>
      <c r="F374" s="789">
        <v>0.62860000000000005</v>
      </c>
      <c r="G374" s="789">
        <v>0.55669999999999997</v>
      </c>
      <c r="H374" s="789">
        <v>0.55669999999999997</v>
      </c>
      <c r="I374" s="789">
        <v>0.4803</v>
      </c>
      <c r="J374" s="789">
        <v>0.4803</v>
      </c>
      <c r="K374" s="789">
        <v>0.4803</v>
      </c>
      <c r="L374" s="789">
        <v>0.4803</v>
      </c>
      <c r="M374" s="789">
        <v>0.4803</v>
      </c>
    </row>
    <row r="375" spans="1:13">
      <c r="A375" s="785">
        <v>6.7</v>
      </c>
      <c r="B375" s="789">
        <v>0.66049999999999998</v>
      </c>
      <c r="C375" s="789">
        <v>0.66049999999999998</v>
      </c>
      <c r="D375" s="789">
        <v>0.62719999999999998</v>
      </c>
      <c r="E375" s="789">
        <v>0.62719999999999998</v>
      </c>
      <c r="F375" s="789">
        <v>0.62719999999999998</v>
      </c>
      <c r="G375" s="789">
        <v>0.55520000000000003</v>
      </c>
      <c r="H375" s="789">
        <v>0.55520000000000003</v>
      </c>
      <c r="I375" s="789">
        <v>0.47870000000000001</v>
      </c>
      <c r="J375" s="789">
        <v>0.47870000000000001</v>
      </c>
      <c r="K375" s="789">
        <v>0.47870000000000001</v>
      </c>
      <c r="L375" s="789">
        <v>0.47870000000000001</v>
      </c>
      <c r="M375" s="789">
        <v>0.47870000000000001</v>
      </c>
    </row>
    <row r="376" spans="1:13">
      <c r="A376" s="785">
        <v>6.8</v>
      </c>
      <c r="B376" s="789">
        <v>0.65949999999999998</v>
      </c>
      <c r="C376" s="789">
        <v>0.65949999999999998</v>
      </c>
      <c r="D376" s="789">
        <v>0.62580000000000002</v>
      </c>
      <c r="E376" s="789">
        <v>0.62580000000000002</v>
      </c>
      <c r="F376" s="789">
        <v>0.62580000000000002</v>
      </c>
      <c r="G376" s="789">
        <v>0.55359999999999998</v>
      </c>
      <c r="H376" s="789">
        <v>0.55359999999999998</v>
      </c>
      <c r="I376" s="789">
        <v>0.47710000000000002</v>
      </c>
      <c r="J376" s="789">
        <v>0.47710000000000002</v>
      </c>
      <c r="K376" s="789">
        <v>0.47710000000000002</v>
      </c>
      <c r="L376" s="789">
        <v>0.47710000000000002</v>
      </c>
      <c r="M376" s="789">
        <v>0.47710000000000002</v>
      </c>
    </row>
    <row r="377" spans="1:13">
      <c r="A377" s="785">
        <v>6.9</v>
      </c>
      <c r="B377" s="789">
        <v>0.65849999999999997</v>
      </c>
      <c r="C377" s="789">
        <v>0.65849999999999997</v>
      </c>
      <c r="D377" s="789">
        <v>0.62439999999999996</v>
      </c>
      <c r="E377" s="789">
        <v>0.62439999999999996</v>
      </c>
      <c r="F377" s="789">
        <v>0.62439999999999996</v>
      </c>
      <c r="G377" s="789">
        <v>0.55220000000000002</v>
      </c>
      <c r="H377" s="789">
        <v>0.55220000000000002</v>
      </c>
      <c r="I377" s="789">
        <v>0.47549999999999998</v>
      </c>
      <c r="J377" s="789">
        <v>0.47549999999999998</v>
      </c>
      <c r="K377" s="789">
        <v>0.47549999999999998</v>
      </c>
      <c r="L377" s="789">
        <v>0.47549999999999998</v>
      </c>
      <c r="M377" s="789">
        <v>0.47549999999999998</v>
      </c>
    </row>
    <row r="378" spans="1:13">
      <c r="A378" s="785">
        <v>7</v>
      </c>
      <c r="B378" s="789">
        <v>0.65749999999999997</v>
      </c>
      <c r="C378" s="789">
        <v>0.65749999999999997</v>
      </c>
      <c r="D378" s="789">
        <v>0.623</v>
      </c>
      <c r="E378" s="789">
        <v>0.623</v>
      </c>
      <c r="F378" s="789">
        <v>0.623</v>
      </c>
      <c r="G378" s="789">
        <v>0.55069999999999997</v>
      </c>
      <c r="H378" s="789">
        <v>0.55069999999999997</v>
      </c>
      <c r="I378" s="789">
        <v>0.47389999999999999</v>
      </c>
      <c r="J378" s="789">
        <v>0.47389999999999999</v>
      </c>
      <c r="K378" s="789">
        <v>0.47389999999999999</v>
      </c>
      <c r="L378" s="789">
        <v>0.47389999999999999</v>
      </c>
      <c r="M378" s="789">
        <v>0.47389999999999999</v>
      </c>
    </row>
    <row r="379" spans="1:13">
      <c r="A379" s="785">
        <v>7.1</v>
      </c>
      <c r="B379" s="789">
        <v>0.65649999999999997</v>
      </c>
      <c r="C379" s="789">
        <v>0.65649999999999997</v>
      </c>
      <c r="D379" s="789">
        <v>0.62160000000000004</v>
      </c>
      <c r="E379" s="789">
        <v>0.62160000000000004</v>
      </c>
      <c r="F379" s="789">
        <v>0.62160000000000004</v>
      </c>
      <c r="G379" s="789">
        <v>0.54930000000000001</v>
      </c>
      <c r="H379" s="789">
        <v>0.54930000000000001</v>
      </c>
      <c r="I379" s="789">
        <v>0.47239999999999999</v>
      </c>
      <c r="J379" s="789">
        <v>0.47239999999999999</v>
      </c>
      <c r="K379" s="789">
        <v>0.47239999999999999</v>
      </c>
      <c r="L379" s="789">
        <v>0.47239999999999999</v>
      </c>
      <c r="M379" s="789">
        <v>0.47239999999999999</v>
      </c>
    </row>
    <row r="380" spans="1:13">
      <c r="A380" s="785">
        <v>7.2</v>
      </c>
      <c r="B380" s="789">
        <v>0.65549999999999997</v>
      </c>
      <c r="C380" s="789">
        <v>0.65549999999999997</v>
      </c>
      <c r="D380" s="789">
        <v>0.62019999999999997</v>
      </c>
      <c r="E380" s="789">
        <v>0.62019999999999997</v>
      </c>
      <c r="F380" s="789">
        <v>0.62019999999999997</v>
      </c>
      <c r="G380" s="789">
        <v>0.54779999999999995</v>
      </c>
      <c r="H380" s="789">
        <v>0.54779999999999995</v>
      </c>
      <c r="I380" s="789">
        <v>0.47089999999999999</v>
      </c>
      <c r="J380" s="789">
        <v>0.47089999999999999</v>
      </c>
      <c r="K380" s="789">
        <v>0.47089999999999999</v>
      </c>
      <c r="L380" s="789">
        <v>0.47089999999999999</v>
      </c>
      <c r="M380" s="789">
        <v>0.47089999999999999</v>
      </c>
    </row>
    <row r="381" spans="1:13">
      <c r="A381" s="785">
        <v>7.3</v>
      </c>
      <c r="B381" s="789">
        <v>0.65449999999999997</v>
      </c>
      <c r="C381" s="789">
        <v>0.65449999999999997</v>
      </c>
      <c r="D381" s="789">
        <v>0.61880000000000002</v>
      </c>
      <c r="E381" s="789">
        <v>0.61880000000000002</v>
      </c>
      <c r="F381" s="789">
        <v>0.61880000000000002</v>
      </c>
      <c r="G381" s="789">
        <v>0.5464</v>
      </c>
      <c r="H381" s="789">
        <v>0.5464</v>
      </c>
      <c r="I381" s="789">
        <v>0.46939999999999998</v>
      </c>
      <c r="J381" s="789">
        <v>0.46939999999999998</v>
      </c>
      <c r="K381" s="789">
        <v>0.46939999999999998</v>
      </c>
      <c r="L381" s="789">
        <v>0.46939999999999998</v>
      </c>
      <c r="M381" s="789">
        <v>0.46939999999999998</v>
      </c>
    </row>
    <row r="382" spans="1:13">
      <c r="A382" s="785">
        <v>7.4</v>
      </c>
      <c r="B382" s="789">
        <v>0.65349999999999997</v>
      </c>
      <c r="C382" s="789">
        <v>0.65349999999999997</v>
      </c>
      <c r="D382" s="789">
        <v>0.61750000000000005</v>
      </c>
      <c r="E382" s="789">
        <v>0.61750000000000005</v>
      </c>
      <c r="F382" s="789">
        <v>0.61750000000000005</v>
      </c>
      <c r="G382" s="789">
        <v>0.54490000000000005</v>
      </c>
      <c r="H382" s="789">
        <v>0.54490000000000005</v>
      </c>
      <c r="I382" s="789">
        <v>0.46779999999999999</v>
      </c>
      <c r="J382" s="789">
        <v>0.46779999999999999</v>
      </c>
      <c r="K382" s="789">
        <v>0.46779999999999999</v>
      </c>
      <c r="L382" s="789">
        <v>0.46779999999999999</v>
      </c>
      <c r="M382" s="789">
        <v>0.46779999999999999</v>
      </c>
    </row>
    <row r="383" spans="1:13">
      <c r="A383" s="785">
        <v>7.5</v>
      </c>
      <c r="B383" s="789">
        <v>0.65249999999999997</v>
      </c>
      <c r="C383" s="789">
        <v>0.65249999999999997</v>
      </c>
      <c r="D383" s="789">
        <v>0.61619999999999997</v>
      </c>
      <c r="E383" s="789">
        <v>0.61619999999999997</v>
      </c>
      <c r="F383" s="789">
        <v>0.61619999999999997</v>
      </c>
      <c r="G383" s="789">
        <v>0.54349999999999998</v>
      </c>
      <c r="H383" s="789">
        <v>0.54349999999999998</v>
      </c>
      <c r="I383" s="789">
        <v>0.46629999999999999</v>
      </c>
      <c r="J383" s="789">
        <v>0.46629999999999999</v>
      </c>
      <c r="K383" s="789">
        <v>0.46629999999999999</v>
      </c>
      <c r="L383" s="789">
        <v>0.46629999999999999</v>
      </c>
      <c r="M383" s="789">
        <v>0.46629999999999999</v>
      </c>
    </row>
    <row r="384" spans="1:13">
      <c r="A384" s="785">
        <v>7.6</v>
      </c>
      <c r="B384" s="789">
        <v>0.65149999999999997</v>
      </c>
      <c r="C384" s="789">
        <v>0.65149999999999997</v>
      </c>
      <c r="D384" s="789">
        <v>0.6149</v>
      </c>
      <c r="E384" s="789">
        <v>0.6149</v>
      </c>
      <c r="F384" s="789">
        <v>0.6149</v>
      </c>
      <c r="G384" s="789">
        <v>0.54200000000000004</v>
      </c>
      <c r="H384" s="789">
        <v>0.54200000000000004</v>
      </c>
      <c r="I384" s="789">
        <v>0.46479999999999999</v>
      </c>
      <c r="J384" s="789">
        <v>0.46479999999999999</v>
      </c>
      <c r="K384" s="789">
        <v>0.46479999999999999</v>
      </c>
      <c r="L384" s="789">
        <v>0.46479999999999999</v>
      </c>
      <c r="M384" s="789">
        <v>0.46479999999999999</v>
      </c>
    </row>
    <row r="385" spans="1:13">
      <c r="A385" s="785">
        <v>7.7</v>
      </c>
      <c r="B385" s="789">
        <v>0.65049999999999997</v>
      </c>
      <c r="C385" s="789">
        <v>0.65049999999999997</v>
      </c>
      <c r="D385" s="789">
        <v>0.61360000000000003</v>
      </c>
      <c r="E385" s="789">
        <v>0.61360000000000003</v>
      </c>
      <c r="F385" s="789">
        <v>0.61360000000000003</v>
      </c>
      <c r="G385" s="789">
        <v>0.54059999999999997</v>
      </c>
      <c r="H385" s="789">
        <v>0.54059999999999997</v>
      </c>
      <c r="I385" s="789">
        <v>0.46329999999999999</v>
      </c>
      <c r="J385" s="789">
        <v>0.46329999999999999</v>
      </c>
      <c r="K385" s="789">
        <v>0.46329999999999999</v>
      </c>
      <c r="L385" s="789">
        <v>0.46329999999999999</v>
      </c>
      <c r="M385" s="789">
        <v>0.46329999999999999</v>
      </c>
    </row>
    <row r="386" spans="1:13">
      <c r="A386" s="785">
        <v>7.8</v>
      </c>
      <c r="B386" s="789">
        <v>0.64949999999999997</v>
      </c>
      <c r="C386" s="789">
        <v>0.64949999999999997</v>
      </c>
      <c r="D386" s="789">
        <v>0.61229999999999996</v>
      </c>
      <c r="E386" s="789">
        <v>0.61229999999999996</v>
      </c>
      <c r="F386" s="789">
        <v>0.61229999999999996</v>
      </c>
      <c r="G386" s="789">
        <v>0.53910000000000002</v>
      </c>
      <c r="H386" s="789">
        <v>0.53910000000000002</v>
      </c>
      <c r="I386" s="789">
        <v>0.4617</v>
      </c>
      <c r="J386" s="789">
        <v>0.4617</v>
      </c>
      <c r="K386" s="789">
        <v>0.4617</v>
      </c>
      <c r="L386" s="789">
        <v>0.4617</v>
      </c>
      <c r="M386" s="789">
        <v>0.4617</v>
      </c>
    </row>
    <row r="387" spans="1:13">
      <c r="A387" s="785">
        <v>7.9</v>
      </c>
      <c r="B387" s="789">
        <v>0.64849999999999997</v>
      </c>
      <c r="C387" s="789">
        <v>0.64849999999999997</v>
      </c>
      <c r="D387" s="789">
        <v>0.61099999999999999</v>
      </c>
      <c r="E387" s="789">
        <v>0.61099999999999999</v>
      </c>
      <c r="F387" s="789">
        <v>0.61099999999999999</v>
      </c>
      <c r="G387" s="789">
        <v>0.53769999999999996</v>
      </c>
      <c r="H387" s="789">
        <v>0.53769999999999996</v>
      </c>
      <c r="I387" s="789">
        <v>0.4602</v>
      </c>
      <c r="J387" s="789">
        <v>0.4602</v>
      </c>
      <c r="K387" s="789">
        <v>0.4602</v>
      </c>
      <c r="L387" s="789">
        <v>0.4602</v>
      </c>
      <c r="M387" s="789">
        <v>0.4602</v>
      </c>
    </row>
    <row r="388" spans="1:13">
      <c r="A388" s="785">
        <v>8</v>
      </c>
      <c r="B388" s="789">
        <v>0.64749999999999996</v>
      </c>
      <c r="C388" s="789">
        <v>0.64749999999999996</v>
      </c>
      <c r="D388" s="789">
        <v>0.60970000000000002</v>
      </c>
      <c r="E388" s="789">
        <v>0.60970000000000002</v>
      </c>
      <c r="F388" s="789">
        <v>0.60970000000000002</v>
      </c>
      <c r="G388" s="789">
        <v>0.53620000000000001</v>
      </c>
      <c r="H388" s="789">
        <v>0.53620000000000001</v>
      </c>
      <c r="I388" s="789">
        <v>0.4587</v>
      </c>
      <c r="J388" s="789">
        <v>0.4587</v>
      </c>
      <c r="K388" s="789">
        <v>0.4587</v>
      </c>
      <c r="L388" s="789">
        <v>0.4587</v>
      </c>
      <c r="M388" s="789">
        <v>0.4587</v>
      </c>
    </row>
    <row r="389" spans="1:13">
      <c r="A389" s="785">
        <v>8.1</v>
      </c>
      <c r="B389" s="789">
        <v>0.64649999999999996</v>
      </c>
      <c r="C389" s="789">
        <v>0.64649999999999996</v>
      </c>
      <c r="D389" s="789">
        <v>0.60840000000000005</v>
      </c>
      <c r="E389" s="789">
        <v>0.60840000000000005</v>
      </c>
      <c r="F389" s="789">
        <v>0.60840000000000005</v>
      </c>
      <c r="G389" s="789">
        <v>0.53480000000000005</v>
      </c>
      <c r="H389" s="789">
        <v>0.53480000000000005</v>
      </c>
      <c r="I389" s="789">
        <v>0.4572</v>
      </c>
      <c r="J389" s="789">
        <v>0.4572</v>
      </c>
      <c r="K389" s="789">
        <v>0.4572</v>
      </c>
      <c r="L389" s="789">
        <v>0.4572</v>
      </c>
      <c r="M389" s="789">
        <v>0.4572</v>
      </c>
    </row>
    <row r="390" spans="1:13">
      <c r="A390" s="785">
        <v>8.1999999999999993</v>
      </c>
      <c r="B390" s="789">
        <v>0.64549999999999996</v>
      </c>
      <c r="C390" s="789">
        <v>0.64549999999999996</v>
      </c>
      <c r="D390" s="789">
        <v>0.60709999999999997</v>
      </c>
      <c r="E390" s="789">
        <v>0.60709999999999997</v>
      </c>
      <c r="F390" s="789">
        <v>0.60709999999999997</v>
      </c>
      <c r="G390" s="789">
        <v>0.5333</v>
      </c>
      <c r="H390" s="789">
        <v>0.5333</v>
      </c>
      <c r="I390" s="789">
        <v>0.45569999999999999</v>
      </c>
      <c r="J390" s="789">
        <v>0.45569999999999999</v>
      </c>
      <c r="K390" s="789">
        <v>0.45569999999999999</v>
      </c>
      <c r="L390" s="789">
        <v>0.45569999999999999</v>
      </c>
      <c r="M390" s="789">
        <v>0.45569999999999999</v>
      </c>
    </row>
    <row r="391" spans="1:13">
      <c r="A391" s="785">
        <v>8.3000000000000007</v>
      </c>
      <c r="B391" s="789">
        <v>0.64449999999999996</v>
      </c>
      <c r="C391" s="789">
        <v>0.64449999999999996</v>
      </c>
      <c r="D391" s="789">
        <v>0.60580000000000001</v>
      </c>
      <c r="E391" s="789">
        <v>0.60580000000000001</v>
      </c>
      <c r="F391" s="789">
        <v>0.60580000000000001</v>
      </c>
      <c r="G391" s="789">
        <v>0.53190000000000004</v>
      </c>
      <c r="H391" s="789">
        <v>0.53190000000000004</v>
      </c>
      <c r="I391" s="789">
        <v>0.45429999999999998</v>
      </c>
      <c r="J391" s="789">
        <v>0.45429999999999998</v>
      </c>
      <c r="K391" s="789">
        <v>0.45429999999999998</v>
      </c>
      <c r="L391" s="789">
        <v>0.45429999999999998</v>
      </c>
      <c r="M391" s="789">
        <v>0.45429999999999998</v>
      </c>
    </row>
    <row r="392" spans="1:13">
      <c r="A392" s="785">
        <v>8.4</v>
      </c>
      <c r="B392" s="789">
        <v>0.64349999999999996</v>
      </c>
      <c r="C392" s="789">
        <v>0.64349999999999996</v>
      </c>
      <c r="D392" s="789">
        <v>0.60450000000000004</v>
      </c>
      <c r="E392" s="789">
        <v>0.60450000000000004</v>
      </c>
      <c r="F392" s="789">
        <v>0.60450000000000004</v>
      </c>
      <c r="G392" s="789">
        <v>0.53039999999999998</v>
      </c>
      <c r="H392" s="789">
        <v>0.53039999999999998</v>
      </c>
      <c r="I392" s="789">
        <v>0.45290000000000002</v>
      </c>
      <c r="J392" s="789">
        <v>0.45290000000000002</v>
      </c>
      <c r="K392" s="789">
        <v>0.45290000000000002</v>
      </c>
      <c r="L392" s="789">
        <v>0.45290000000000002</v>
      </c>
      <c r="M392" s="789">
        <v>0.45290000000000002</v>
      </c>
    </row>
    <row r="393" spans="1:13">
      <c r="A393" s="785">
        <v>8.5</v>
      </c>
      <c r="B393" s="789">
        <v>0.64249999999999996</v>
      </c>
      <c r="C393" s="789">
        <v>0.64249999999999996</v>
      </c>
      <c r="D393" s="789">
        <v>0.60319999999999996</v>
      </c>
      <c r="E393" s="789">
        <v>0.60319999999999996</v>
      </c>
      <c r="F393" s="789">
        <v>0.60319999999999996</v>
      </c>
      <c r="G393" s="789">
        <v>0.52900000000000003</v>
      </c>
      <c r="H393" s="789">
        <v>0.52900000000000003</v>
      </c>
      <c r="I393" s="789">
        <v>0.45140000000000002</v>
      </c>
      <c r="J393" s="789">
        <v>0.45140000000000002</v>
      </c>
      <c r="K393" s="789">
        <v>0.45140000000000002</v>
      </c>
      <c r="L393" s="789">
        <v>0.45140000000000002</v>
      </c>
      <c r="M393" s="789">
        <v>0.45140000000000002</v>
      </c>
    </row>
    <row r="394" spans="1:13">
      <c r="A394" s="785">
        <v>8.6</v>
      </c>
      <c r="B394" s="789">
        <v>0.64149999999999996</v>
      </c>
      <c r="C394" s="789">
        <v>0.64149999999999996</v>
      </c>
      <c r="D394" s="789">
        <v>0.60189999999999999</v>
      </c>
      <c r="E394" s="789">
        <v>0.60189999999999999</v>
      </c>
      <c r="F394" s="789">
        <v>0.60189999999999999</v>
      </c>
      <c r="G394" s="789">
        <v>0.52749999999999997</v>
      </c>
      <c r="H394" s="789">
        <v>0.52749999999999997</v>
      </c>
      <c r="I394" s="789">
        <v>0.45</v>
      </c>
      <c r="J394" s="789">
        <v>0.45</v>
      </c>
      <c r="K394" s="789">
        <v>0.45</v>
      </c>
      <c r="L394" s="789">
        <v>0.45</v>
      </c>
      <c r="M394" s="789">
        <v>0.45</v>
      </c>
    </row>
    <row r="395" spans="1:13">
      <c r="A395" s="785">
        <v>8.6999999999999993</v>
      </c>
      <c r="B395" s="789">
        <v>0.64049999999999996</v>
      </c>
      <c r="C395" s="789">
        <v>0.64049999999999996</v>
      </c>
      <c r="D395" s="789">
        <v>0.60060000000000002</v>
      </c>
      <c r="E395" s="789">
        <v>0.60060000000000002</v>
      </c>
      <c r="F395" s="789">
        <v>0.60060000000000002</v>
      </c>
      <c r="G395" s="789">
        <v>0.52610000000000001</v>
      </c>
      <c r="H395" s="789">
        <v>0.52610000000000001</v>
      </c>
      <c r="I395" s="789">
        <v>0.44850000000000001</v>
      </c>
      <c r="J395" s="789">
        <v>0.44850000000000001</v>
      </c>
      <c r="K395" s="789">
        <v>0.44850000000000001</v>
      </c>
      <c r="L395" s="789">
        <v>0.44850000000000001</v>
      </c>
      <c r="M395" s="789">
        <v>0.44850000000000001</v>
      </c>
    </row>
    <row r="396" spans="1:13">
      <c r="A396" s="785">
        <v>8.8000000000000007</v>
      </c>
      <c r="B396" s="789">
        <v>0.63949999999999996</v>
      </c>
      <c r="C396" s="789">
        <v>0.63949999999999996</v>
      </c>
      <c r="D396" s="789">
        <v>0.59930000000000005</v>
      </c>
      <c r="E396" s="789">
        <v>0.59930000000000005</v>
      </c>
      <c r="F396" s="789">
        <v>0.59930000000000005</v>
      </c>
      <c r="G396" s="789">
        <v>0.52459999999999996</v>
      </c>
      <c r="H396" s="789">
        <v>0.52459999999999996</v>
      </c>
      <c r="I396" s="789">
        <v>0.4471</v>
      </c>
      <c r="J396" s="789">
        <v>0.4471</v>
      </c>
      <c r="K396" s="789">
        <v>0.4471</v>
      </c>
      <c r="L396" s="789">
        <v>0.4471</v>
      </c>
      <c r="M396" s="789">
        <v>0.4471</v>
      </c>
    </row>
    <row r="397" spans="1:13">
      <c r="A397" s="785">
        <v>8.9</v>
      </c>
      <c r="B397" s="789">
        <v>0.63849999999999996</v>
      </c>
      <c r="C397" s="789">
        <v>0.63849999999999996</v>
      </c>
      <c r="D397" s="789">
        <v>0.59799999999999998</v>
      </c>
      <c r="E397" s="789">
        <v>0.59799999999999998</v>
      </c>
      <c r="F397" s="789">
        <v>0.59799999999999998</v>
      </c>
      <c r="G397" s="789">
        <v>0.5232</v>
      </c>
      <c r="H397" s="789">
        <v>0.5232</v>
      </c>
      <c r="I397" s="789">
        <v>0.4456</v>
      </c>
      <c r="J397" s="789">
        <v>0.4456</v>
      </c>
      <c r="K397" s="789">
        <v>0.4456</v>
      </c>
      <c r="L397" s="789">
        <v>0.4456</v>
      </c>
      <c r="M397" s="789">
        <v>0.4456</v>
      </c>
    </row>
    <row r="398" spans="1:13">
      <c r="A398" s="791">
        <v>9</v>
      </c>
      <c r="B398" s="789">
        <v>0.63749999999999996</v>
      </c>
      <c r="C398" s="789">
        <v>0.63749999999999996</v>
      </c>
      <c r="D398" s="789">
        <v>0.59670000000000001</v>
      </c>
      <c r="E398" s="789">
        <v>0.59670000000000001</v>
      </c>
      <c r="F398" s="789">
        <v>0.59670000000000001</v>
      </c>
      <c r="G398" s="789">
        <v>0.52170000000000005</v>
      </c>
      <c r="H398" s="789">
        <v>0.52170000000000005</v>
      </c>
      <c r="I398" s="789">
        <v>0.44429999999999997</v>
      </c>
      <c r="J398" s="789">
        <v>0.44429999999999997</v>
      </c>
      <c r="K398" s="789">
        <v>0.44429999999999997</v>
      </c>
      <c r="L398" s="789">
        <v>0.44429999999999997</v>
      </c>
      <c r="M398" s="789">
        <v>0.44429999999999997</v>
      </c>
    </row>
    <row r="399" spans="1:13">
      <c r="A399" s="791">
        <v>9.1</v>
      </c>
      <c r="B399" s="789">
        <v>0.63649999999999995</v>
      </c>
      <c r="C399" s="789">
        <v>0.63649999999999995</v>
      </c>
      <c r="D399" s="789">
        <v>0.59540000000000004</v>
      </c>
      <c r="E399" s="789">
        <v>0.59540000000000004</v>
      </c>
      <c r="F399" s="789">
        <v>0.59540000000000004</v>
      </c>
      <c r="G399" s="789">
        <v>0.52029999999999998</v>
      </c>
      <c r="H399" s="789">
        <v>0.52029999999999998</v>
      </c>
      <c r="I399" s="789">
        <v>0.44290000000000002</v>
      </c>
      <c r="J399" s="789">
        <v>0.44290000000000002</v>
      </c>
      <c r="K399" s="789">
        <v>0.44290000000000002</v>
      </c>
      <c r="L399" s="789">
        <v>0.44290000000000002</v>
      </c>
      <c r="M399" s="789">
        <v>0.44290000000000002</v>
      </c>
    </row>
    <row r="400" spans="1:13">
      <c r="A400" s="791">
        <v>9.1999999999999993</v>
      </c>
      <c r="B400" s="789">
        <v>0.63549999999999995</v>
      </c>
      <c r="C400" s="789">
        <v>0.63549999999999995</v>
      </c>
      <c r="D400" s="789">
        <v>0.59409999999999996</v>
      </c>
      <c r="E400" s="789">
        <v>0.59409999999999996</v>
      </c>
      <c r="F400" s="789">
        <v>0.59409999999999996</v>
      </c>
      <c r="G400" s="789">
        <v>0.51880000000000004</v>
      </c>
      <c r="H400" s="789">
        <v>0.51880000000000004</v>
      </c>
      <c r="I400" s="789">
        <v>0.44159999999999999</v>
      </c>
      <c r="J400" s="789">
        <v>0.44159999999999999</v>
      </c>
      <c r="K400" s="789">
        <v>0.44159999999999999</v>
      </c>
      <c r="L400" s="789">
        <v>0.44159999999999999</v>
      </c>
      <c r="M400" s="789">
        <v>0.44159999999999999</v>
      </c>
    </row>
    <row r="401" spans="1:13">
      <c r="A401" s="791">
        <v>9.3000000000000007</v>
      </c>
      <c r="B401" s="789">
        <v>0.63449999999999995</v>
      </c>
      <c r="C401" s="789">
        <v>0.63449999999999995</v>
      </c>
      <c r="D401" s="789">
        <v>0.59279999999999999</v>
      </c>
      <c r="E401" s="789">
        <v>0.59279999999999999</v>
      </c>
      <c r="F401" s="789">
        <v>0.59279999999999999</v>
      </c>
      <c r="G401" s="789">
        <v>0.51739999999999997</v>
      </c>
      <c r="H401" s="789">
        <v>0.51739999999999997</v>
      </c>
      <c r="I401" s="789">
        <v>0.44019999999999998</v>
      </c>
      <c r="J401" s="789">
        <v>0.44019999999999998</v>
      </c>
      <c r="K401" s="789">
        <v>0.44019999999999998</v>
      </c>
      <c r="L401" s="789">
        <v>0.44019999999999998</v>
      </c>
      <c r="M401" s="789">
        <v>0.44019999999999998</v>
      </c>
    </row>
    <row r="402" spans="1:13">
      <c r="A402" s="791">
        <v>9.4</v>
      </c>
      <c r="B402" s="789">
        <v>0.63349999999999995</v>
      </c>
      <c r="C402" s="789">
        <v>0.63349999999999995</v>
      </c>
      <c r="D402" s="789">
        <v>0.59150000000000003</v>
      </c>
      <c r="E402" s="789">
        <v>0.59150000000000003</v>
      </c>
      <c r="F402" s="789">
        <v>0.59150000000000003</v>
      </c>
      <c r="G402" s="789">
        <v>0.51600000000000001</v>
      </c>
      <c r="H402" s="789">
        <v>0.51600000000000001</v>
      </c>
      <c r="I402" s="789">
        <v>0.43880000000000002</v>
      </c>
      <c r="J402" s="789">
        <v>0.43880000000000002</v>
      </c>
      <c r="K402" s="789">
        <v>0.43880000000000002</v>
      </c>
      <c r="L402" s="789">
        <v>0.43880000000000002</v>
      </c>
      <c r="M402" s="789">
        <v>0.43880000000000002</v>
      </c>
    </row>
    <row r="403" spans="1:13">
      <c r="A403" s="791">
        <v>9.5</v>
      </c>
      <c r="B403" s="789">
        <v>0.63249999999999995</v>
      </c>
      <c r="C403" s="789">
        <v>0.63249999999999995</v>
      </c>
      <c r="D403" s="789">
        <v>0.59030000000000005</v>
      </c>
      <c r="E403" s="789">
        <v>0.59030000000000005</v>
      </c>
      <c r="F403" s="789">
        <v>0.59030000000000005</v>
      </c>
      <c r="G403" s="789">
        <v>0.51470000000000005</v>
      </c>
      <c r="H403" s="789">
        <v>0.51470000000000005</v>
      </c>
      <c r="I403" s="789">
        <v>0.4375</v>
      </c>
      <c r="J403" s="789">
        <v>0.4375</v>
      </c>
      <c r="K403" s="789">
        <v>0.4375</v>
      </c>
      <c r="L403" s="789">
        <v>0.4375</v>
      </c>
      <c r="M403" s="789">
        <v>0.4375</v>
      </c>
    </row>
    <row r="404" spans="1:13">
      <c r="A404" s="791">
        <v>9.6</v>
      </c>
      <c r="B404" s="789">
        <v>0.63149999999999995</v>
      </c>
      <c r="C404" s="789">
        <v>0.63149999999999995</v>
      </c>
      <c r="D404" s="789">
        <v>0.58909999999999996</v>
      </c>
      <c r="E404" s="789">
        <v>0.58909999999999996</v>
      </c>
      <c r="F404" s="789">
        <v>0.58909999999999996</v>
      </c>
      <c r="G404" s="789">
        <v>0.51329999999999998</v>
      </c>
      <c r="H404" s="789">
        <v>0.51329999999999998</v>
      </c>
      <c r="I404" s="789">
        <v>0.43609999999999999</v>
      </c>
      <c r="J404" s="789">
        <v>0.43609999999999999</v>
      </c>
      <c r="K404" s="789">
        <v>0.43609999999999999</v>
      </c>
      <c r="L404" s="789">
        <v>0.43609999999999999</v>
      </c>
      <c r="M404" s="789">
        <v>0.43609999999999999</v>
      </c>
    </row>
    <row r="405" spans="1:13">
      <c r="A405" s="791">
        <v>9.6999999999999993</v>
      </c>
      <c r="B405" s="789">
        <v>0.63049999999999995</v>
      </c>
      <c r="C405" s="789">
        <v>0.63049999999999995</v>
      </c>
      <c r="D405" s="789">
        <v>0.58789999999999998</v>
      </c>
      <c r="E405" s="789">
        <v>0.58789999999999998</v>
      </c>
      <c r="F405" s="789">
        <v>0.58789999999999998</v>
      </c>
      <c r="G405" s="789">
        <v>0.51200000000000001</v>
      </c>
      <c r="H405" s="789">
        <v>0.51200000000000001</v>
      </c>
      <c r="I405" s="789">
        <v>0.43480000000000002</v>
      </c>
      <c r="J405" s="789">
        <v>0.43480000000000002</v>
      </c>
      <c r="K405" s="789">
        <v>0.43480000000000002</v>
      </c>
      <c r="L405" s="789">
        <v>0.43480000000000002</v>
      </c>
      <c r="M405" s="789">
        <v>0.43480000000000002</v>
      </c>
    </row>
    <row r="406" spans="1:13">
      <c r="A406" s="791">
        <v>9.8000000000000007</v>
      </c>
      <c r="B406" s="789">
        <v>0.62949999999999995</v>
      </c>
      <c r="C406" s="789">
        <v>0.62949999999999995</v>
      </c>
      <c r="D406" s="789">
        <v>0.5867</v>
      </c>
      <c r="E406" s="789">
        <v>0.5867</v>
      </c>
      <c r="F406" s="789">
        <v>0.5867</v>
      </c>
      <c r="G406" s="789">
        <v>0.51060000000000005</v>
      </c>
      <c r="H406" s="789">
        <v>0.51060000000000005</v>
      </c>
      <c r="I406" s="789">
        <v>0.43340000000000001</v>
      </c>
      <c r="J406" s="789">
        <v>0.43340000000000001</v>
      </c>
      <c r="K406" s="789">
        <v>0.43340000000000001</v>
      </c>
      <c r="L406" s="789">
        <v>0.43340000000000001</v>
      </c>
      <c r="M406" s="789">
        <v>0.43340000000000001</v>
      </c>
    </row>
    <row r="407" spans="1:13">
      <c r="A407" s="791">
        <v>9.9</v>
      </c>
      <c r="B407" s="789">
        <v>0.62849999999999995</v>
      </c>
      <c r="C407" s="789">
        <v>0.62849999999999995</v>
      </c>
      <c r="D407" s="789">
        <v>0.58550000000000002</v>
      </c>
      <c r="E407" s="789">
        <v>0.58550000000000002</v>
      </c>
      <c r="F407" s="789">
        <v>0.58550000000000002</v>
      </c>
      <c r="G407" s="789">
        <v>0.50919999999999999</v>
      </c>
      <c r="H407" s="789">
        <v>0.50919999999999999</v>
      </c>
      <c r="I407" s="789">
        <v>0.432</v>
      </c>
      <c r="J407" s="789">
        <v>0.432</v>
      </c>
      <c r="K407" s="789">
        <v>0.432</v>
      </c>
      <c r="L407" s="789">
        <v>0.432</v>
      </c>
      <c r="M407" s="789">
        <v>0.432</v>
      </c>
    </row>
    <row r="408" spans="1:13">
      <c r="A408" s="791">
        <v>10</v>
      </c>
      <c r="B408" s="789">
        <v>0.62749999999999995</v>
      </c>
      <c r="C408" s="789">
        <v>0.62749999999999995</v>
      </c>
      <c r="D408" s="789">
        <v>0.58430000000000004</v>
      </c>
      <c r="E408" s="789">
        <v>0.58430000000000004</v>
      </c>
      <c r="F408" s="789">
        <v>0.58430000000000004</v>
      </c>
      <c r="G408" s="789">
        <v>0.50790000000000002</v>
      </c>
      <c r="H408" s="789">
        <v>0.50790000000000002</v>
      </c>
      <c r="I408" s="789">
        <v>0.43070000000000003</v>
      </c>
      <c r="J408" s="789">
        <v>0.43070000000000003</v>
      </c>
      <c r="K408" s="789">
        <v>0.43070000000000003</v>
      </c>
      <c r="L408" s="789">
        <v>0.43070000000000003</v>
      </c>
      <c r="M408" s="789">
        <v>0.43070000000000003</v>
      </c>
    </row>
  </sheetData>
  <sheetProtection password="C66D" sheet="1" objects="1" scenarios="1" formatCells="0" formatColumns="0" formatRows="0"/>
  <phoneticPr fontId="74"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H117"/>
  <sheetViews>
    <sheetView zoomScale="80" zoomScaleNormal="80" workbookViewId="0">
      <selection activeCell="S5" sqref="S5:V5"/>
    </sheetView>
  </sheetViews>
  <sheetFormatPr defaultColWidth="9" defaultRowHeight="12.75"/>
  <cols>
    <col min="1" max="1" width="9" style="2355"/>
    <col min="2" max="6" width="9" style="2355" customWidth="1"/>
    <col min="7" max="7" width="9" style="2398"/>
    <col min="8" max="8" width="9" style="2355"/>
    <col min="9" max="12" width="9" style="2355" customWidth="1"/>
    <col min="13" max="13" width="2.25" style="2355" customWidth="1"/>
    <col min="14" max="14" width="9" style="2398" customWidth="1"/>
    <col min="15" max="17" width="9" style="2355" customWidth="1"/>
    <col min="18" max="18" width="2.375" style="2355" customWidth="1"/>
    <col min="19" max="19" width="7.125" style="2398" customWidth="1"/>
    <col min="20" max="22" width="7.125" style="2355" customWidth="1"/>
    <col min="23" max="23" width="23.875" style="2355" customWidth="1"/>
    <col min="24" max="25" width="9" style="2355"/>
    <col min="26" max="27" width="11.625" style="2355" customWidth="1"/>
    <col min="28" max="28" width="9" style="2355"/>
    <col min="29" max="29" width="2" style="2355" customWidth="1"/>
    <col min="30" max="16384" width="9" style="2355"/>
  </cols>
  <sheetData>
    <row r="1" spans="1:34" s="2333" customFormat="1">
      <c r="B1" s="3552" t="s">
        <v>1020</v>
      </c>
      <c r="C1" s="3552"/>
      <c r="D1" s="3552"/>
      <c r="E1" s="3552"/>
      <c r="F1" s="3552"/>
      <c r="G1" s="3548" t="s">
        <v>1021</v>
      </c>
      <c r="H1" s="3548"/>
      <c r="I1" s="3548"/>
      <c r="J1" s="3548"/>
      <c r="K1" s="3548"/>
      <c r="L1" s="3548"/>
      <c r="N1" s="3548" t="s">
        <v>1022</v>
      </c>
      <c r="O1" s="3548"/>
      <c r="P1" s="3548"/>
      <c r="Q1" s="3548"/>
      <c r="S1" s="3548" t="s">
        <v>1023</v>
      </c>
      <c r="T1" s="3548"/>
      <c r="U1" s="3548"/>
      <c r="V1" s="3548"/>
      <c r="X1" s="3547" t="s">
        <v>1024</v>
      </c>
      <c r="Y1" s="3548"/>
      <c r="Z1" s="3548"/>
      <c r="AA1" s="3548"/>
      <c r="AB1" s="3548"/>
      <c r="AD1" s="3547" t="s">
        <v>1025</v>
      </c>
      <c r="AE1" s="3548"/>
      <c r="AF1" s="3548"/>
      <c r="AG1" s="3548"/>
      <c r="AH1" s="3548"/>
    </row>
    <row r="2" spans="1:34" s="2334" customFormat="1" ht="14.25" thickBot="1">
      <c r="B2" s="2335" t="s">
        <v>1026</v>
      </c>
      <c r="C2" s="2335" t="s">
        <v>1027</v>
      </c>
      <c r="D2" s="2336" t="s">
        <v>1028</v>
      </c>
      <c r="E2" s="2336" t="s">
        <v>1029</v>
      </c>
      <c r="F2" s="2335" t="s">
        <v>1030</v>
      </c>
      <c r="G2" s="2337"/>
      <c r="I2" s="2335" t="s">
        <v>1247</v>
      </c>
      <c r="J2" s="2336" t="s">
        <v>1248</v>
      </c>
      <c r="K2" s="2336" t="s">
        <v>1249</v>
      </c>
      <c r="L2" s="2335" t="s">
        <v>1250</v>
      </c>
      <c r="N2" s="2335" t="s">
        <v>1026</v>
      </c>
      <c r="O2" s="2336" t="s">
        <v>1251</v>
      </c>
      <c r="P2" s="2336" t="s">
        <v>728</v>
      </c>
      <c r="Q2" s="2335" t="s">
        <v>1030</v>
      </c>
      <c r="S2" s="2335" t="s">
        <v>1026</v>
      </c>
      <c r="T2" s="2336" t="s">
        <v>1251</v>
      </c>
      <c r="U2" s="2336" t="s">
        <v>728</v>
      </c>
      <c r="V2" s="2335" t="s">
        <v>1030</v>
      </c>
      <c r="X2" s="2335" t="s">
        <v>1031</v>
      </c>
      <c r="Y2" s="2335" t="s">
        <v>1032</v>
      </c>
      <c r="Z2" s="2336" t="s">
        <v>1033</v>
      </c>
      <c r="AA2" s="2336" t="s">
        <v>1034</v>
      </c>
      <c r="AB2" s="2335" t="s">
        <v>1035</v>
      </c>
      <c r="AD2" s="2335" t="s">
        <v>1031</v>
      </c>
      <c r="AE2" s="2335" t="s">
        <v>1032</v>
      </c>
      <c r="AF2" s="2336" t="s">
        <v>1033</v>
      </c>
      <c r="AG2" s="2336" t="s">
        <v>1034</v>
      </c>
      <c r="AH2" s="2335" t="s">
        <v>1035</v>
      </c>
    </row>
    <row r="3" spans="1:34" s="2345" customFormat="1" ht="14.25">
      <c r="A3" s="2338" t="s">
        <v>2705</v>
      </c>
      <c r="B3" s="2339"/>
      <c r="C3" s="2339"/>
      <c r="D3" s="2340"/>
      <c r="E3" s="2340"/>
      <c r="F3" s="2339"/>
      <c r="G3" s="2341"/>
      <c r="H3" s="2342"/>
      <c r="I3" s="2343">
        <f>ROUND(AVERAGE(I4:I34),2)</f>
        <v>1.73</v>
      </c>
      <c r="J3" s="2343">
        <f>ROUND(AVERAGE(J4:J34),2)</f>
        <v>1.0900000000000001</v>
      </c>
      <c r="K3" s="2343">
        <f>ROUND(AVERAGE(K4:K34),2)</f>
        <v>1.9</v>
      </c>
      <c r="L3" s="2344">
        <f>ROUND(AVERAGE(L4:L34),2)</f>
        <v>1.25</v>
      </c>
      <c r="N3" s="2341"/>
      <c r="S3" s="2341"/>
      <c r="W3" s="2346"/>
      <c r="X3" s="2347">
        <f>ROUND(SUMPRODUCT(PRODUCT(1+N3:N$33)),4)</f>
        <v>1.619</v>
      </c>
      <c r="Y3" s="2347">
        <f>ROUND(SUMPRODUCT(PRODUCT(1+O3:O$33)),4)</f>
        <v>1.3491</v>
      </c>
      <c r="Z3" s="2347">
        <f t="shared" ref="Z3:Z31" si="0">Y3</f>
        <v>1.3491</v>
      </c>
      <c r="AA3" s="2347">
        <f>ROUND(SUMPRODUCT(PRODUCT(1+P3:P$33)),4)</f>
        <v>1.6988000000000001</v>
      </c>
      <c r="AB3" s="2347">
        <f>ROUND(SUMPRODUCT(PRODUCT(1+Q3:Q$33)),4)</f>
        <v>1.4315</v>
      </c>
      <c r="AD3" s="2348">
        <f>ROUND(AVERAGE(I3:I$34)/100,4)</f>
        <v>1.7299999999999999E-2</v>
      </c>
      <c r="AE3" s="2348">
        <f>ROUND(AVERAGE(J3:J$34)/100,4)</f>
        <v>1.09E-2</v>
      </c>
      <c r="AF3" s="2348">
        <f t="shared" ref="AF3:AF22" si="1">AE3</f>
        <v>1.09E-2</v>
      </c>
      <c r="AG3" s="2348">
        <f>ROUND(AVERAGE(K3:K$34)/100,4)</f>
        <v>1.9E-2</v>
      </c>
      <c r="AH3" s="2348">
        <f>ROUND(AVERAGE(L3:L$34)/100,4)</f>
        <v>1.2500000000000001E-2</v>
      </c>
    </row>
    <row r="4" spans="1:34" s="2349" customFormat="1" ht="14.25">
      <c r="B4" s="2350"/>
      <c r="C4" s="2350"/>
      <c r="D4" s="2351"/>
      <c r="E4" s="2351"/>
      <c r="F4" s="2350"/>
      <c r="G4" s="2352"/>
      <c r="H4" s="2353"/>
      <c r="I4" s="2354"/>
      <c r="J4" s="2354"/>
      <c r="K4" s="2354"/>
      <c r="L4" s="2354"/>
      <c r="N4" s="2352"/>
      <c r="S4" s="2352"/>
      <c r="X4" s="2355"/>
      <c r="Y4" s="2355"/>
      <c r="Z4" s="2355"/>
      <c r="AA4" s="2355"/>
      <c r="AB4" s="2355"/>
      <c r="AD4" s="2356"/>
      <c r="AE4" s="2356"/>
      <c r="AF4" s="2356"/>
      <c r="AG4" s="2356"/>
      <c r="AH4" s="2356"/>
    </row>
    <row r="5" spans="1:34" s="2364" customFormat="1">
      <c r="A5" s="2357" t="s">
        <v>2890</v>
      </c>
      <c r="B5" s="2358">
        <f t="shared" ref="B5" si="2">B6*(1+N5)</f>
        <v>497.92799851020823</v>
      </c>
      <c r="C5" s="2358">
        <f t="shared" ref="C5" si="3">C6*(1+O5)</f>
        <v>347.77173663537445</v>
      </c>
      <c r="D5" s="2359">
        <f t="shared" ref="D5" si="4">C5</f>
        <v>347.77173663537445</v>
      </c>
      <c r="E5" s="2358">
        <f t="shared" ref="E5" si="5">E6*(1+P5)</f>
        <v>718.44695593258189</v>
      </c>
      <c r="F5" s="2358">
        <f t="shared" ref="F5" si="6">F6*(1+Q5)</f>
        <v>329.12600580153247</v>
      </c>
      <c r="G5" s="3156">
        <v>2021</v>
      </c>
      <c r="H5" s="2361">
        <v>2</v>
      </c>
      <c r="I5" s="2362">
        <v>0</v>
      </c>
      <c r="J5" s="2362">
        <v>0</v>
      </c>
      <c r="K5" s="2362">
        <v>0</v>
      </c>
      <c r="L5" s="2363">
        <v>0</v>
      </c>
      <c r="N5" s="2365">
        <f t="shared" ref="N5" si="7">I5/100</f>
        <v>0</v>
      </c>
      <c r="O5" s="2365">
        <f t="shared" ref="O5" si="8">J5/100</f>
        <v>0</v>
      </c>
      <c r="P5" s="2365">
        <f t="shared" ref="P5" si="9">K5/100</f>
        <v>0</v>
      </c>
      <c r="Q5" s="2365">
        <f t="shared" ref="Q5" si="10">L5/100</f>
        <v>0</v>
      </c>
      <c r="S5" s="2374"/>
      <c r="T5" s="2375"/>
      <c r="U5" s="2375"/>
      <c r="V5" s="2375"/>
      <c r="W5" s="2366" t="s">
        <v>2704</v>
      </c>
      <c r="X5" s="2367">
        <f>ROUND(SUMPRODUCT(PRODUCT(1+N5:N$33)),4)</f>
        <v>1.619</v>
      </c>
      <c r="Y5" s="2367">
        <f>ROUND(SUMPRODUCT(PRODUCT(1+O5:O$33)),4)</f>
        <v>1.3491</v>
      </c>
      <c r="Z5" s="2367">
        <f t="shared" ref="Z5" si="11">Y5</f>
        <v>1.3491</v>
      </c>
      <c r="AA5" s="2367">
        <f>ROUND(SUMPRODUCT(PRODUCT(1+P5:P$33)),4)</f>
        <v>1.6988000000000001</v>
      </c>
      <c r="AB5" s="2367">
        <f>ROUND(SUMPRODUCT(PRODUCT(1+Q5:Q$33)),4)</f>
        <v>1.4315</v>
      </c>
      <c r="AD5" s="2368">
        <f>ROUND(AVERAGE(I5:I$34)/100,4)</f>
        <v>1.7299999999999999E-2</v>
      </c>
      <c r="AE5" s="2368">
        <f>ROUND(AVERAGE(J5:J$34)/100,4)</f>
        <v>1.09E-2</v>
      </c>
      <c r="AF5" s="2368">
        <f t="shared" ref="AF5" si="12">AE5</f>
        <v>1.09E-2</v>
      </c>
      <c r="AG5" s="2368">
        <f>ROUND(AVERAGE(K5:K$34)/100,4)</f>
        <v>1.9E-2</v>
      </c>
      <c r="AH5" s="2368">
        <f>ROUND(AVERAGE(L5:L$34)/100,4)</f>
        <v>1.2500000000000001E-2</v>
      </c>
    </row>
    <row r="6" spans="1:34" s="2376" customFormat="1" ht="14.45" customHeight="1">
      <c r="A6" s="2369" t="s">
        <v>2889</v>
      </c>
      <c r="B6" s="2370">
        <f t="shared" ref="B6" si="13">B7*(1+N6)</f>
        <v>497.92799851020823</v>
      </c>
      <c r="C6" s="2370">
        <f t="shared" ref="C6" si="14">C7*(1+O6)</f>
        <v>347.77173663537445</v>
      </c>
      <c r="D6" s="2370">
        <f t="shared" ref="D6" si="15">C6</f>
        <v>347.77173663537445</v>
      </c>
      <c r="E6" s="2370">
        <f t="shared" ref="E6" si="16">E7*(1+P6)</f>
        <v>718.44695593258189</v>
      </c>
      <c r="F6" s="2370">
        <f t="shared" ref="F6" si="17">F7*(1+Q6)</f>
        <v>329.12600580153247</v>
      </c>
      <c r="G6" s="3156">
        <v>2021</v>
      </c>
      <c r="H6" s="2371">
        <v>1</v>
      </c>
      <c r="I6" s="3157">
        <v>0.97</v>
      </c>
      <c r="J6" s="3157">
        <v>0.16</v>
      </c>
      <c r="K6" s="3157">
        <v>1.1100000000000001</v>
      </c>
      <c r="L6" s="3158">
        <v>0.36</v>
      </c>
      <c r="M6" s="2373"/>
      <c r="N6" s="2374">
        <f t="shared" ref="N6" si="18">I6/100</f>
        <v>9.7000000000000003E-3</v>
      </c>
      <c r="O6" s="2375">
        <f t="shared" ref="O6" si="19">J6/100</f>
        <v>1.6000000000000001E-3</v>
      </c>
      <c r="P6" s="2375">
        <f t="shared" ref="P6" si="20">K6/100</f>
        <v>1.11E-2</v>
      </c>
      <c r="Q6" s="2375">
        <f t="shared" ref="Q6" si="21">L6/100</f>
        <v>3.5999999999999999E-3</v>
      </c>
      <c r="R6" s="2373"/>
      <c r="S6" s="2374">
        <f>B6/B7-1</f>
        <v>9.7000000000000419E-3</v>
      </c>
      <c r="T6" s="2375">
        <f>C6/C7-1</f>
        <v>1.6000000000000458E-3</v>
      </c>
      <c r="U6" s="2375">
        <f>E6/E7-1</f>
        <v>1.110000000000011E-2</v>
      </c>
      <c r="V6" s="2375">
        <f>F6/F7-1</f>
        <v>3.6000000000000476E-3</v>
      </c>
      <c r="W6" s="2373"/>
      <c r="X6" s="2373">
        <f>ROUND(SUMPRODUCT(PRODUCT(1+N6:N$33)),4)</f>
        <v>1.619</v>
      </c>
      <c r="Y6" s="2373">
        <f>ROUND(SUMPRODUCT(PRODUCT(1+O6:O$33)),4)</f>
        <v>1.3491</v>
      </c>
      <c r="Z6" s="2373">
        <f t="shared" ref="Z6" si="22">Y6</f>
        <v>1.3491</v>
      </c>
      <c r="AA6" s="2373">
        <f>ROUND(SUMPRODUCT(PRODUCT(1+P6:P$33)),4)</f>
        <v>1.6988000000000001</v>
      </c>
      <c r="AB6" s="2373">
        <f>ROUND(SUMPRODUCT(PRODUCT(1+Q6:Q$33)),4)</f>
        <v>1.4315</v>
      </c>
      <c r="AC6" s="2373"/>
      <c r="AD6" s="2375">
        <f>ROUND(AVERAGE(I6:I$34)/100,4)</f>
        <v>1.7899999999999999E-2</v>
      </c>
      <c r="AE6" s="2375">
        <f>ROUND(AVERAGE(J6:J$34)/100,4)</f>
        <v>1.12E-2</v>
      </c>
      <c r="AF6" s="2375">
        <f t="shared" ref="AF6" si="23">AE6</f>
        <v>1.12E-2</v>
      </c>
      <c r="AG6" s="2375">
        <f>ROUND(AVERAGE(K6:K$34)/100,4)</f>
        <v>1.9699999999999999E-2</v>
      </c>
      <c r="AH6" s="2375">
        <f>ROUND(AVERAGE(L6:L$34)/100,4)</f>
        <v>1.29E-2</v>
      </c>
    </row>
    <row r="7" spans="1:34" s="2376" customFormat="1" ht="14.45" customHeight="1">
      <c r="A7" s="2369" t="s">
        <v>2886</v>
      </c>
      <c r="B7" s="2370">
        <f t="shared" ref="B7" si="24">B8*(1+N7)</f>
        <v>493.14449689037161</v>
      </c>
      <c r="C7" s="2370">
        <f t="shared" ref="C7" si="25">C8*(1+O7)</f>
        <v>347.21619073020611</v>
      </c>
      <c r="D7" s="2370">
        <f t="shared" ref="D7" si="26">C7</f>
        <v>347.21619073020611</v>
      </c>
      <c r="E7" s="2370">
        <f t="shared" ref="E7" si="27">E8*(1+P7)</f>
        <v>710.55974278763904</v>
      </c>
      <c r="F7" s="2370">
        <f t="shared" ref="F7" si="28">F8*(1+Q7)</f>
        <v>327.94540235306141</v>
      </c>
      <c r="G7" s="3147">
        <v>2020</v>
      </c>
      <c r="H7" s="2371">
        <v>4</v>
      </c>
      <c r="I7" s="2371">
        <v>2.0699999999999998</v>
      </c>
      <c r="J7" s="2371">
        <v>0.37</v>
      </c>
      <c r="K7" s="2371">
        <v>2.35</v>
      </c>
      <c r="L7" s="2372">
        <v>2.69</v>
      </c>
      <c r="M7" s="2373"/>
      <c r="N7" s="2374">
        <f t="shared" ref="N7" si="29">I7/100</f>
        <v>2.07E-2</v>
      </c>
      <c r="O7" s="2375">
        <f t="shared" ref="O7" si="30">J7/100</f>
        <v>3.7000000000000002E-3</v>
      </c>
      <c r="P7" s="2375">
        <f t="shared" ref="P7" si="31">K7/100</f>
        <v>2.35E-2</v>
      </c>
      <c r="Q7" s="2375">
        <f t="shared" ref="Q7" si="32">L7/100</f>
        <v>2.69E-2</v>
      </c>
      <c r="R7" s="2373"/>
      <c r="S7" s="2374"/>
      <c r="T7" s="2375"/>
      <c r="U7" s="2375"/>
      <c r="V7" s="2375"/>
      <c r="W7" s="2373"/>
      <c r="X7" s="2373">
        <f>ROUND(SUMPRODUCT(PRODUCT(1+N7:N$33)),4)</f>
        <v>1.6034999999999999</v>
      </c>
      <c r="Y7" s="2373">
        <f>ROUND(SUMPRODUCT(PRODUCT(1+O7:O$33)),4)</f>
        <v>1.3469</v>
      </c>
      <c r="Z7" s="2373">
        <f t="shared" ref="Z7" si="33">Y7</f>
        <v>1.3469</v>
      </c>
      <c r="AA7" s="2373">
        <f>ROUND(SUMPRODUCT(PRODUCT(1+P7:P$33)),4)</f>
        <v>1.6801999999999999</v>
      </c>
      <c r="AB7" s="2373">
        <f>ROUND(SUMPRODUCT(PRODUCT(1+Q7:Q$33)),4)</f>
        <v>1.4263999999999999</v>
      </c>
      <c r="AC7" s="2373"/>
      <c r="AD7" s="2375">
        <f>ROUND(AVERAGE(I7:I$34)/100,4)</f>
        <v>1.8200000000000001E-2</v>
      </c>
      <c r="AE7" s="2375">
        <f>ROUND(AVERAGE(J7:J$34)/100,4)</f>
        <v>1.1599999999999999E-2</v>
      </c>
      <c r="AF7" s="2375">
        <f t="shared" ref="AF7" si="34">AE7</f>
        <v>1.1599999999999999E-2</v>
      </c>
      <c r="AG7" s="2375">
        <f>ROUND(AVERAGE(K7:K$34)/100,4)</f>
        <v>0.02</v>
      </c>
      <c r="AH7" s="2375">
        <f>ROUND(AVERAGE(L7:L$34)/100,4)</f>
        <v>1.3299999999999999E-2</v>
      </c>
    </row>
    <row r="8" spans="1:34" s="2376" customFormat="1" ht="14.45" customHeight="1">
      <c r="A8" s="2369" t="s">
        <v>2885</v>
      </c>
      <c r="B8" s="2370">
        <f t="shared" ref="B8" si="35">B9*(1+N8)</f>
        <v>483.1434279321756</v>
      </c>
      <c r="C8" s="2370">
        <f t="shared" ref="C8" si="36">C9*(1+O8)</f>
        <v>345.93622669144776</v>
      </c>
      <c r="D8" s="2370">
        <f t="shared" ref="D8" si="37">C8</f>
        <v>345.93622669144776</v>
      </c>
      <c r="E8" s="2370">
        <f t="shared" ref="E8" si="38">E9*(1+P8)</f>
        <v>694.24498562544113</v>
      </c>
      <c r="F8" s="2370">
        <f t="shared" ref="F8" si="39">F9*(1+Q8)</f>
        <v>319.35475932716082</v>
      </c>
      <c r="G8" s="3146">
        <v>2020</v>
      </c>
      <c r="H8" s="2371">
        <v>3</v>
      </c>
      <c r="I8" s="2371">
        <v>0.36</v>
      </c>
      <c r="J8" s="2371">
        <v>-0.39</v>
      </c>
      <c r="K8" s="2371">
        <v>0.49</v>
      </c>
      <c r="L8" s="2372">
        <v>7.0000000000000007E-2</v>
      </c>
      <c r="M8" s="2373"/>
      <c r="N8" s="2374">
        <f t="shared" ref="N8" si="40">I8/100</f>
        <v>3.5999999999999999E-3</v>
      </c>
      <c r="O8" s="2375">
        <f t="shared" ref="O8" si="41">J8/100</f>
        <v>-3.9000000000000003E-3</v>
      </c>
      <c r="P8" s="2375">
        <f t="shared" ref="P8" si="42">K8/100</f>
        <v>4.8999999999999998E-3</v>
      </c>
      <c r="Q8" s="2375">
        <f t="shared" ref="Q8" si="43">L8/100</f>
        <v>7.000000000000001E-4</v>
      </c>
      <c r="R8" s="2373"/>
      <c r="S8" s="2374"/>
      <c r="T8" s="2375"/>
      <c r="U8" s="2375"/>
      <c r="V8" s="2375"/>
      <c r="W8" s="2373"/>
      <c r="X8" s="2373">
        <f>ROUND(SUMPRODUCT(PRODUCT(1+N8:N$33)),4)</f>
        <v>1.571</v>
      </c>
      <c r="Y8" s="2373">
        <f>ROUND(SUMPRODUCT(PRODUCT(1+O8:O$33)),4)</f>
        <v>1.3420000000000001</v>
      </c>
      <c r="Z8" s="2373">
        <f t="shared" ref="Z8" si="44">Y8</f>
        <v>1.3420000000000001</v>
      </c>
      <c r="AA8" s="2373">
        <f>ROUND(SUMPRODUCT(PRODUCT(1+P8:P$33)),4)</f>
        <v>1.6415999999999999</v>
      </c>
      <c r="AB8" s="2373">
        <f>ROUND(SUMPRODUCT(PRODUCT(1+Q8:Q$33)),4)</f>
        <v>1.389</v>
      </c>
      <c r="AC8" s="2373"/>
      <c r="AD8" s="2375">
        <f>ROUND(AVERAGE(I8:I$34)/100,4)</f>
        <v>1.8100000000000002E-2</v>
      </c>
      <c r="AE8" s="2375">
        <f>ROUND(AVERAGE(J8:J$34)/100,4)</f>
        <v>1.1900000000000001E-2</v>
      </c>
      <c r="AF8" s="2375">
        <f t="shared" ref="AF8" si="45">AE8</f>
        <v>1.1900000000000001E-2</v>
      </c>
      <c r="AG8" s="2375">
        <f>ROUND(AVERAGE(K8:K$34)/100,4)</f>
        <v>1.9900000000000001E-2</v>
      </c>
      <c r="AH8" s="2375">
        <f>ROUND(AVERAGE(L8:L$34)/100,4)</f>
        <v>1.2800000000000001E-2</v>
      </c>
    </row>
    <row r="9" spans="1:34" s="2376" customFormat="1" ht="14.45" customHeight="1">
      <c r="A9" s="2369" t="s">
        <v>2737</v>
      </c>
      <c r="B9" s="2370">
        <f t="shared" ref="B9" si="46">B10*(1+N9)</f>
        <v>481.4103506697644</v>
      </c>
      <c r="C9" s="2370">
        <f t="shared" ref="C9" si="47">C10*(1+O9)</f>
        <v>347.29066026648707</v>
      </c>
      <c r="D9" s="2370">
        <f t="shared" ref="D9" si="48">C9</f>
        <v>347.29066026648707</v>
      </c>
      <c r="E9" s="2370">
        <f t="shared" ref="E9" si="49">E10*(1+P9)</f>
        <v>690.85977273901995</v>
      </c>
      <c r="F9" s="2370">
        <f t="shared" ref="F9" si="50">F10*(1+Q9)</f>
        <v>319.13136737000184</v>
      </c>
      <c r="G9" s="2360">
        <v>2020</v>
      </c>
      <c r="H9" s="2371">
        <v>2</v>
      </c>
      <c r="I9" s="2371">
        <v>0.31</v>
      </c>
      <c r="J9" s="2371">
        <v>-0.78</v>
      </c>
      <c r="K9" s="2371">
        <v>0.5</v>
      </c>
      <c r="L9" s="2372">
        <v>0.47</v>
      </c>
      <c r="M9" s="2373"/>
      <c r="N9" s="2374">
        <f t="shared" ref="N9" si="51">I9/100</f>
        <v>3.0999999999999999E-3</v>
      </c>
      <c r="O9" s="2375">
        <f t="shared" ref="O9" si="52">J9/100</f>
        <v>-7.8000000000000005E-3</v>
      </c>
      <c r="P9" s="2375">
        <f t="shared" ref="P9" si="53">K9/100</f>
        <v>5.0000000000000001E-3</v>
      </c>
      <c r="Q9" s="2375">
        <f t="shared" ref="Q9" si="54">L9/100</f>
        <v>4.6999999999999993E-3</v>
      </c>
      <c r="R9" s="2373"/>
      <c r="S9" s="2374"/>
      <c r="T9" s="2375"/>
      <c r="U9" s="2375"/>
      <c r="V9" s="2375"/>
      <c r="W9" s="2373"/>
      <c r="X9" s="2373">
        <f>ROUND(SUMPRODUCT(PRODUCT(1+N9:N$33)),4)</f>
        <v>1.5652999999999999</v>
      </c>
      <c r="Y9" s="2373">
        <f>ROUND(SUMPRODUCT(PRODUCT(1+O9:O$33)),4)</f>
        <v>1.3472</v>
      </c>
      <c r="Z9" s="2373">
        <f t="shared" ref="Z9" si="55">Y9</f>
        <v>1.3472</v>
      </c>
      <c r="AA9" s="2373">
        <f>ROUND(SUMPRODUCT(PRODUCT(1+P9:P$33)),4)</f>
        <v>1.6335999999999999</v>
      </c>
      <c r="AB9" s="2373">
        <f>ROUND(SUMPRODUCT(PRODUCT(1+Q9:Q$33)),4)</f>
        <v>1.3880999999999999</v>
      </c>
      <c r="AC9" s="2373"/>
      <c r="AD9" s="2375">
        <f>ROUND(AVERAGE(I9:I$34)/100,4)</f>
        <v>1.8599999999999998E-2</v>
      </c>
      <c r="AE9" s="2375">
        <f>ROUND(AVERAGE(J9:J$34)/100,4)</f>
        <v>1.2500000000000001E-2</v>
      </c>
      <c r="AF9" s="2375">
        <f t="shared" ref="AF9" si="56">AE9</f>
        <v>1.2500000000000001E-2</v>
      </c>
      <c r="AG9" s="2375">
        <f>ROUND(AVERAGE(K9:K$34)/100,4)</f>
        <v>2.0400000000000001E-2</v>
      </c>
      <c r="AH9" s="2375">
        <f>ROUND(AVERAGE(L9:L$34)/100,4)</f>
        <v>1.32E-2</v>
      </c>
    </row>
    <row r="10" spans="1:34" s="2376" customFormat="1" ht="14.45" customHeight="1">
      <c r="A10" s="2369" t="s">
        <v>2734</v>
      </c>
      <c r="B10" s="2370">
        <f t="shared" ref="B10" si="57">B11*(1+N10)</f>
        <v>479.92259063878413</v>
      </c>
      <c r="C10" s="2370">
        <f t="shared" ref="C10" si="58">C11*(1+O10)</f>
        <v>350.02082268341775</v>
      </c>
      <c r="D10" s="2370">
        <f t="shared" ref="D10" si="59">C10</f>
        <v>350.02082268341775</v>
      </c>
      <c r="E10" s="2370">
        <f t="shared" ref="E10" si="60">E11*(1+P10)</f>
        <v>687.42265944181099</v>
      </c>
      <c r="F10" s="2370">
        <f t="shared" ref="F10" si="61">F11*(1+Q10)</f>
        <v>317.63846657708956</v>
      </c>
      <c r="G10" s="2360">
        <v>2020</v>
      </c>
      <c r="H10" s="2371">
        <v>1</v>
      </c>
      <c r="I10" s="2371">
        <v>0.12</v>
      </c>
      <c r="J10" s="2371">
        <v>-0.4</v>
      </c>
      <c r="K10" s="2371">
        <v>0.21</v>
      </c>
      <c r="L10" s="2372">
        <v>0.27</v>
      </c>
      <c r="M10" s="2373"/>
      <c r="N10" s="2374">
        <f t="shared" ref="N10" si="62">I10/100</f>
        <v>1.1999999999999999E-3</v>
      </c>
      <c r="O10" s="2375">
        <f t="shared" ref="O10" si="63">J10/100</f>
        <v>-4.0000000000000001E-3</v>
      </c>
      <c r="P10" s="2375">
        <f t="shared" ref="P10" si="64">K10/100</f>
        <v>2.0999999999999999E-3</v>
      </c>
      <c r="Q10" s="2375">
        <f t="shared" ref="Q10" si="65">L10/100</f>
        <v>2.7000000000000001E-3</v>
      </c>
      <c r="R10" s="2373"/>
      <c r="S10" s="2374">
        <f>B10/B11-1</f>
        <v>1.2000000000000899E-3</v>
      </c>
      <c r="T10" s="2375">
        <f>C10/C11-1</f>
        <v>-4.0000000000000036E-3</v>
      </c>
      <c r="U10" s="2375">
        <f>E10/E11-1</f>
        <v>2.0999999999999908E-3</v>
      </c>
      <c r="V10" s="2375">
        <f>F10/F11-1</f>
        <v>2.6999999999999247E-3</v>
      </c>
      <c r="W10" s="2373"/>
      <c r="X10" s="2373">
        <f>ROUND(SUMPRODUCT(PRODUCT(1+N10:N$33)),4)</f>
        <v>1.5605</v>
      </c>
      <c r="Y10" s="2373">
        <f>ROUND(SUMPRODUCT(PRODUCT(1+O10:O$33)),4)</f>
        <v>1.3577999999999999</v>
      </c>
      <c r="Z10" s="2373">
        <f t="shared" ref="Z10" si="66">Y10</f>
        <v>1.3577999999999999</v>
      </c>
      <c r="AA10" s="2373">
        <f>ROUND(SUMPRODUCT(PRODUCT(1+P10:P$33)),4)</f>
        <v>1.6254999999999999</v>
      </c>
      <c r="AB10" s="2373">
        <f>ROUND(SUMPRODUCT(PRODUCT(1+Q10:Q$33)),4)</f>
        <v>1.3815999999999999</v>
      </c>
      <c r="AC10" s="2373"/>
      <c r="AD10" s="2375">
        <f>ROUND(AVERAGE(I10:I$34)/100,4)</f>
        <v>1.9199999999999998E-2</v>
      </c>
      <c r="AE10" s="2375">
        <f>ROUND(AVERAGE(J10:J$34)/100,4)</f>
        <v>1.3299999999999999E-2</v>
      </c>
      <c r="AF10" s="2375">
        <f t="shared" ref="AF10" si="67">AE10</f>
        <v>1.3299999999999999E-2</v>
      </c>
      <c r="AG10" s="2375">
        <f>ROUND(AVERAGE(K10:K$34)/100,4)</f>
        <v>2.1100000000000001E-2</v>
      </c>
      <c r="AH10" s="2375">
        <f>ROUND(AVERAGE(L10:L$34)/100,4)</f>
        <v>1.3599999999999999E-2</v>
      </c>
    </row>
    <row r="11" spans="1:34" s="2376" customFormat="1" ht="14.45" customHeight="1">
      <c r="A11" s="2369" t="s">
        <v>2732</v>
      </c>
      <c r="B11" s="2370">
        <f t="shared" ref="B11:B16" si="68">B12*(1+N11)</f>
        <v>479.34737379023579</v>
      </c>
      <c r="C11" s="2370">
        <f t="shared" ref="C11" si="69">C12*(1+O11)</f>
        <v>351.4265287986122</v>
      </c>
      <c r="D11" s="2370">
        <f t="shared" ref="D11" si="70">C11</f>
        <v>351.4265287986122</v>
      </c>
      <c r="E11" s="2370">
        <f t="shared" ref="E11" si="71">E12*(1+P11)</f>
        <v>685.98209703803116</v>
      </c>
      <c r="F11" s="2370">
        <f t="shared" ref="F11" si="72">F12*(1+Q11)</f>
        <v>316.78315206651001</v>
      </c>
      <c r="G11" s="2360">
        <v>2019</v>
      </c>
      <c r="H11" s="2371">
        <v>4</v>
      </c>
      <c r="I11" s="2371">
        <v>0.45</v>
      </c>
      <c r="J11" s="2371">
        <v>-0.12</v>
      </c>
      <c r="K11" s="2371">
        <v>0.54</v>
      </c>
      <c r="L11" s="2372">
        <v>0.48</v>
      </c>
      <c r="M11" s="2373"/>
      <c r="N11" s="2374">
        <f t="shared" ref="N11:N16" si="73">I11/100</f>
        <v>4.5000000000000005E-3</v>
      </c>
      <c r="O11" s="2375">
        <f t="shared" ref="O11" si="74">J11/100</f>
        <v>-1.1999999999999999E-3</v>
      </c>
      <c r="P11" s="2375">
        <f t="shared" ref="P11" si="75">K11/100</f>
        <v>5.4000000000000003E-3</v>
      </c>
      <c r="Q11" s="2375">
        <f t="shared" ref="Q11" si="76">L11/100</f>
        <v>4.7999999999999996E-3</v>
      </c>
      <c r="R11" s="2373"/>
      <c r="S11" s="2374"/>
      <c r="T11" s="2375"/>
      <c r="U11" s="2375"/>
      <c r="V11" s="2375"/>
      <c r="W11" s="2373"/>
      <c r="X11" s="2373">
        <f>ROUND(SUMPRODUCT(PRODUCT(1+N11:N$33)),4)</f>
        <v>1.5586</v>
      </c>
      <c r="Y11" s="2373">
        <f>ROUND(SUMPRODUCT(PRODUCT(1+O11:O$33)),4)</f>
        <v>1.3633</v>
      </c>
      <c r="Z11" s="2373">
        <f t="shared" ref="Z11" si="77">Y11</f>
        <v>1.3633</v>
      </c>
      <c r="AA11" s="2373">
        <f>ROUND(SUMPRODUCT(PRODUCT(1+P11:P$33)),4)</f>
        <v>1.6221000000000001</v>
      </c>
      <c r="AB11" s="2373">
        <f>ROUND(SUMPRODUCT(PRODUCT(1+Q11:Q$33)),4)</f>
        <v>1.3777999999999999</v>
      </c>
      <c r="AC11" s="2373"/>
      <c r="AD11" s="2375">
        <f>ROUND(AVERAGE(I11:I$34)/100,4)</f>
        <v>0.02</v>
      </c>
      <c r="AE11" s="2375">
        <f>ROUND(AVERAGE(J11:J$34)/100,4)</f>
        <v>1.4E-2</v>
      </c>
      <c r="AF11" s="2375">
        <f t="shared" ref="AF11" si="78">AE11</f>
        <v>1.4E-2</v>
      </c>
      <c r="AG11" s="2375">
        <f>ROUND(AVERAGE(K11:K$34)/100,4)</f>
        <v>2.1899999999999999E-2</v>
      </c>
      <c r="AH11" s="2375">
        <f>ROUND(AVERAGE(L11:L$34)/100,4)</f>
        <v>1.4E-2</v>
      </c>
    </row>
    <row r="12" spans="1:34" s="2376" customFormat="1" ht="14.45" customHeight="1" thickBot="1">
      <c r="A12" s="2369" t="s">
        <v>2729</v>
      </c>
      <c r="B12" s="2370">
        <f t="shared" si="68"/>
        <v>477.19997390765138</v>
      </c>
      <c r="C12" s="2370">
        <f t="shared" ref="C12" si="79">C13*(1+O12)</f>
        <v>351.84874729536665</v>
      </c>
      <c r="D12" s="2370">
        <f t="shared" ref="D12" si="80">C12</f>
        <v>351.84874729536665</v>
      </c>
      <c r="E12" s="2370">
        <f t="shared" ref="E12" si="81">E13*(1+P12)</f>
        <v>682.29768951465201</v>
      </c>
      <c r="F12" s="2370">
        <f t="shared" ref="F12" si="82">F13*(1+Q12)</f>
        <v>315.26985675409043</v>
      </c>
      <c r="G12" s="2360">
        <v>2019</v>
      </c>
      <c r="H12" s="2371">
        <v>3</v>
      </c>
      <c r="I12" s="2371">
        <v>0.61</v>
      </c>
      <c r="J12" s="2371">
        <v>0.67</v>
      </c>
      <c r="K12" s="2371">
        <v>0.6</v>
      </c>
      <c r="L12" s="2372">
        <v>1.03</v>
      </c>
      <c r="M12" s="2373"/>
      <c r="N12" s="2374">
        <f t="shared" si="73"/>
        <v>6.0999999999999995E-3</v>
      </c>
      <c r="O12" s="2375">
        <f t="shared" ref="O12" si="83">J12/100</f>
        <v>6.7000000000000002E-3</v>
      </c>
      <c r="P12" s="2375">
        <f t="shared" ref="P12" si="84">K12/100</f>
        <v>6.0000000000000001E-3</v>
      </c>
      <c r="Q12" s="2375">
        <f t="shared" ref="Q12" si="85">L12/100</f>
        <v>1.03E-2</v>
      </c>
      <c r="R12" s="2373"/>
      <c r="S12" s="2374"/>
      <c r="T12" s="2375"/>
      <c r="U12" s="2375"/>
      <c r="V12" s="2375"/>
      <c r="W12" s="2373"/>
      <c r="X12" s="2373">
        <f>ROUND(SUMPRODUCT(PRODUCT(1+N12:N$33)),4)</f>
        <v>1.5516000000000001</v>
      </c>
      <c r="Y12" s="2373">
        <f>ROUND(SUMPRODUCT(PRODUCT(1+O12:O$33)),4)</f>
        <v>1.3649</v>
      </c>
      <c r="Z12" s="2373">
        <f t="shared" ref="Z12" si="86">Y12</f>
        <v>1.3649</v>
      </c>
      <c r="AA12" s="2373">
        <f>ROUND(SUMPRODUCT(PRODUCT(1+P12:P$33)),4)</f>
        <v>1.6133999999999999</v>
      </c>
      <c r="AB12" s="2373">
        <f>ROUND(SUMPRODUCT(PRODUCT(1+Q12:Q$33)),4)</f>
        <v>1.3713</v>
      </c>
      <c r="AC12" s="2373"/>
      <c r="AD12" s="2375">
        <f>ROUND(AVERAGE(I12:I$34)/100,4)</f>
        <v>2.07E-2</v>
      </c>
      <c r="AE12" s="2375">
        <f>ROUND(AVERAGE(J12:J$34)/100,4)</f>
        <v>1.47E-2</v>
      </c>
      <c r="AF12" s="2375">
        <f t="shared" ref="AF12" si="87">AE12</f>
        <v>1.47E-2</v>
      </c>
      <c r="AG12" s="2375">
        <f>ROUND(AVERAGE(K12:K$34)/100,4)</f>
        <v>2.2599999999999999E-2</v>
      </c>
      <c r="AH12" s="2375">
        <f>ROUND(AVERAGE(L12:L$34)/100,4)</f>
        <v>1.44E-2</v>
      </c>
    </row>
    <row r="13" spans="1:34" s="2376" customFormat="1" ht="14.45" customHeight="1">
      <c r="A13" s="2369" t="s">
        <v>2723</v>
      </c>
      <c r="B13" s="2370">
        <f t="shared" si="68"/>
        <v>474.30670301923408</v>
      </c>
      <c r="C13" s="2370">
        <f t="shared" ref="C13" si="88">C14*(1+O13)</f>
        <v>349.50705005996491</v>
      </c>
      <c r="D13" s="2370">
        <f t="shared" ref="D13" si="89">C13</f>
        <v>349.50705005996491</v>
      </c>
      <c r="E13" s="2370">
        <f t="shared" ref="E13" si="90">E14*(1+P13)</f>
        <v>678.22831959706957</v>
      </c>
      <c r="F13" s="2370">
        <f t="shared" ref="F13" si="91">F14*(1+Q13)</f>
        <v>312.0556832169558</v>
      </c>
      <c r="G13" s="2360">
        <v>2019</v>
      </c>
      <c r="H13" s="2377">
        <v>2</v>
      </c>
      <c r="I13" s="2377">
        <v>1.53</v>
      </c>
      <c r="J13" s="2377">
        <v>1.01</v>
      </c>
      <c r="K13" s="2377">
        <v>1.62</v>
      </c>
      <c r="L13" s="2378">
        <v>1.25</v>
      </c>
      <c r="M13" s="2373"/>
      <c r="N13" s="2374">
        <f t="shared" si="73"/>
        <v>1.5300000000000001E-2</v>
      </c>
      <c r="O13" s="2375">
        <f t="shared" ref="O13" si="92">J13/100</f>
        <v>1.01E-2</v>
      </c>
      <c r="P13" s="2375">
        <f t="shared" ref="P13" si="93">K13/100</f>
        <v>1.6200000000000003E-2</v>
      </c>
      <c r="Q13" s="2375">
        <f t="shared" ref="Q13" si="94">L13/100</f>
        <v>1.2500000000000001E-2</v>
      </c>
      <c r="R13" s="2373"/>
      <c r="S13" s="2374"/>
      <c r="T13" s="2375"/>
      <c r="U13" s="2375"/>
      <c r="V13" s="2375"/>
      <c r="W13" s="2373"/>
      <c r="X13" s="2373">
        <f>ROUND(SUMPRODUCT(PRODUCT(1+N13:N$33)),4)</f>
        <v>1.5422</v>
      </c>
      <c r="Y13" s="2373">
        <f>ROUND(SUMPRODUCT(PRODUCT(1+O13:O$33)),4)</f>
        <v>1.3557999999999999</v>
      </c>
      <c r="Z13" s="2373">
        <f t="shared" ref="Z13" si="95">Y13</f>
        <v>1.3557999999999999</v>
      </c>
      <c r="AA13" s="2373">
        <f>ROUND(SUMPRODUCT(PRODUCT(1+P13:P$33)),4)</f>
        <v>1.6036999999999999</v>
      </c>
      <c r="AB13" s="2373">
        <f>ROUND(SUMPRODUCT(PRODUCT(1+Q13:Q$33)),4)</f>
        <v>1.3573</v>
      </c>
      <c r="AC13" s="2373"/>
      <c r="AD13" s="2375">
        <f>ROUND(AVERAGE(I13:I$34)/100,4)</f>
        <v>2.1299999999999999E-2</v>
      </c>
      <c r="AE13" s="2375">
        <f>ROUND(AVERAGE(J13:J$34)/100,4)</f>
        <v>1.4999999999999999E-2</v>
      </c>
      <c r="AF13" s="2375">
        <f t="shared" ref="AF13" si="96">AE13</f>
        <v>1.4999999999999999E-2</v>
      </c>
      <c r="AG13" s="2375">
        <f>ROUND(AVERAGE(K13:K$34)/100,4)</f>
        <v>2.3300000000000001E-2</v>
      </c>
      <c r="AH13" s="2375">
        <f>ROUND(AVERAGE(L13:L$34)/100,4)</f>
        <v>1.46E-2</v>
      </c>
    </row>
    <row r="14" spans="1:34" s="2376" customFormat="1" ht="14.45" customHeight="1" thickBot="1">
      <c r="A14" s="2369" t="s">
        <v>2724</v>
      </c>
      <c r="B14" s="2370">
        <f t="shared" si="68"/>
        <v>467.15916775261894</v>
      </c>
      <c r="C14" s="2370">
        <f t="shared" ref="C14" si="97">C15*(1+O14)</f>
        <v>346.01232557169084</v>
      </c>
      <c r="D14" s="2370">
        <f t="shared" ref="D14" si="98">C14</f>
        <v>346.01232557169084</v>
      </c>
      <c r="E14" s="2370">
        <f t="shared" ref="E14" si="99">E15*(1+P14)</f>
        <v>667.41617752122568</v>
      </c>
      <c r="F14" s="2370">
        <f t="shared" ref="F14" si="100">F15*(1+Q14)</f>
        <v>308.20314391798104</v>
      </c>
      <c r="G14" s="2360">
        <v>2019</v>
      </c>
      <c r="H14" s="2371">
        <v>1</v>
      </c>
      <c r="I14" s="2371">
        <v>0.6</v>
      </c>
      <c r="J14" s="2371">
        <v>0.37</v>
      </c>
      <c r="K14" s="2371">
        <v>0.63</v>
      </c>
      <c r="L14" s="2372">
        <v>1.1299999999999999</v>
      </c>
      <c r="M14" s="2373"/>
      <c r="N14" s="2374">
        <f t="shared" si="73"/>
        <v>6.0000000000000001E-3</v>
      </c>
      <c r="O14" s="2375">
        <f t="shared" ref="O14" si="101">J14/100</f>
        <v>3.7000000000000002E-3</v>
      </c>
      <c r="P14" s="2375">
        <f t="shared" ref="P14" si="102">K14/100</f>
        <v>6.3E-3</v>
      </c>
      <c r="Q14" s="2375">
        <f t="shared" ref="Q14" si="103">L14/100</f>
        <v>1.1299999999999999E-2</v>
      </c>
      <c r="R14" s="2373"/>
      <c r="S14" s="2374">
        <f>B14/B15-1</f>
        <v>6.0000000000000053E-3</v>
      </c>
      <c r="T14" s="2375">
        <f>C14/C15-1</f>
        <v>3.7000000000000366E-3</v>
      </c>
      <c r="U14" s="2375">
        <f>E14/E15-1</f>
        <v>6.2999999999999723E-3</v>
      </c>
      <c r="V14" s="2375">
        <f>F14/F15-1</f>
        <v>1.1300000000000088E-2</v>
      </c>
      <c r="W14" s="2373"/>
      <c r="X14" s="2373">
        <f>ROUND(SUMPRODUCT(PRODUCT(1+N14:N$33)),4)</f>
        <v>1.5189999999999999</v>
      </c>
      <c r="Y14" s="2373">
        <f>ROUND(SUMPRODUCT(PRODUCT(1+O14:O$33)),4)</f>
        <v>1.3423</v>
      </c>
      <c r="Z14" s="2373">
        <f t="shared" ref="Z14" si="104">Y14</f>
        <v>1.3423</v>
      </c>
      <c r="AA14" s="2373">
        <f>ROUND(SUMPRODUCT(PRODUCT(1+P14:P$33)),4)</f>
        <v>1.5782</v>
      </c>
      <c r="AB14" s="2373">
        <f>ROUND(SUMPRODUCT(PRODUCT(1+Q14:Q$33)),4)</f>
        <v>1.3405</v>
      </c>
      <c r="AC14" s="2373"/>
      <c r="AD14" s="2375">
        <f>ROUND(AVERAGE(I14:I$34)/100,4)</f>
        <v>2.1600000000000001E-2</v>
      </c>
      <c r="AE14" s="2375">
        <f>ROUND(AVERAGE(J14:J$34)/100,4)</f>
        <v>1.5299999999999999E-2</v>
      </c>
      <c r="AF14" s="2375">
        <f t="shared" ref="AF14" si="105">AE14</f>
        <v>1.5299999999999999E-2</v>
      </c>
      <c r="AG14" s="2375">
        <f>ROUND(AVERAGE(K14:K$34)/100,4)</f>
        <v>2.3699999999999999E-2</v>
      </c>
      <c r="AH14" s="2375">
        <f>ROUND(AVERAGE(L14:L$34)/100,4)</f>
        <v>1.47E-2</v>
      </c>
    </row>
    <row r="15" spans="1:34">
      <c r="A15" s="2369" t="s">
        <v>2718</v>
      </c>
      <c r="B15" s="2379">
        <f t="shared" si="68"/>
        <v>464.37293017158942</v>
      </c>
      <c r="C15" s="2379">
        <f t="shared" ref="C15" si="106">C16*(1+O15)</f>
        <v>344.73679941385956</v>
      </c>
      <c r="D15" s="2379">
        <f t="shared" ref="D15" si="107">C15</f>
        <v>344.73679941385956</v>
      </c>
      <c r="E15" s="2379">
        <f t="shared" ref="E15" si="108">E16*(1+P15)</f>
        <v>663.2377795103107</v>
      </c>
      <c r="F15" s="2380">
        <f t="shared" ref="F15" si="109">F16*(1+Q15)</f>
        <v>304.75936311478398</v>
      </c>
      <c r="G15" s="3550">
        <v>2018</v>
      </c>
      <c r="H15" s="2377">
        <v>4</v>
      </c>
      <c r="I15" s="2377">
        <v>0.96</v>
      </c>
      <c r="J15" s="2377">
        <v>1.03</v>
      </c>
      <c r="K15" s="2377">
        <v>0.92</v>
      </c>
      <c r="L15" s="2378">
        <v>1.29</v>
      </c>
      <c r="N15" s="2381">
        <f t="shared" si="73"/>
        <v>9.5999999999999992E-3</v>
      </c>
      <c r="O15" s="2382">
        <f t="shared" ref="O15" si="110">J15/100</f>
        <v>1.03E-2</v>
      </c>
      <c r="P15" s="2382">
        <f t="shared" ref="P15" si="111">K15/100</f>
        <v>9.1999999999999998E-3</v>
      </c>
      <c r="Q15" s="2382">
        <f t="shared" ref="Q15" si="112">L15/100</f>
        <v>1.29E-2</v>
      </c>
      <c r="R15" s="2383"/>
      <c r="S15" s="2384"/>
      <c r="T15" s="2385"/>
      <c r="U15" s="2385"/>
      <c r="V15" s="2385"/>
      <c r="X15" s="2355">
        <f>ROUND(SUMPRODUCT(PRODUCT(1+N15:N$33)),4)</f>
        <v>1.5099</v>
      </c>
      <c r="Y15" s="2355">
        <f>ROUND(SUMPRODUCT(PRODUCT(1+O15:O$33)),4)</f>
        <v>1.3372999999999999</v>
      </c>
      <c r="Z15" s="2355">
        <f t="shared" ref="Z15" si="113">Y15</f>
        <v>1.3372999999999999</v>
      </c>
      <c r="AA15" s="2355">
        <f>ROUND(SUMPRODUCT(PRODUCT(1+P15:P$33)),4)</f>
        <v>1.5683</v>
      </c>
      <c r="AB15" s="2355">
        <f>ROUND(SUMPRODUCT(PRODUCT(1+Q15:Q$33)),4)</f>
        <v>1.3255999999999999</v>
      </c>
      <c r="AD15" s="2356">
        <f>ROUND(AVERAGE(I15:I$34)/100,4)</f>
        <v>2.24E-2</v>
      </c>
      <c r="AE15" s="2356">
        <f>ROUND(AVERAGE(J15:J$34)/100,4)</f>
        <v>1.5800000000000002E-2</v>
      </c>
      <c r="AF15" s="2356">
        <f t="shared" ref="AF15" si="114">AE15</f>
        <v>1.5800000000000002E-2</v>
      </c>
      <c r="AG15" s="2356">
        <f>ROUND(AVERAGE(K15:K$34)/100,4)</f>
        <v>2.4500000000000001E-2</v>
      </c>
      <c r="AH15" s="2356">
        <f>ROUND(AVERAGE(L15:L$34)/100,4)</f>
        <v>1.49E-2</v>
      </c>
    </row>
    <row r="16" spans="1:34" s="2388" customFormat="1" ht="14.45" customHeight="1">
      <c r="A16" s="2369" t="s">
        <v>2713</v>
      </c>
      <c r="B16" s="2386">
        <f t="shared" si="68"/>
        <v>459.95733971036987</v>
      </c>
      <c r="C16" s="2386">
        <f t="shared" ref="C16" si="115">C17*(1+O16)</f>
        <v>341.22221064422405</v>
      </c>
      <c r="D16" s="2386">
        <f t="shared" ref="D16" si="116">C16</f>
        <v>341.22221064422405</v>
      </c>
      <c r="E16" s="2386">
        <f t="shared" ref="E16" si="117">E17*(1+P16)</f>
        <v>657.19161663724799</v>
      </c>
      <c r="F16" s="2386">
        <f t="shared" ref="F16" si="118">F17*(1+Q16)</f>
        <v>300.87803644464805</v>
      </c>
      <c r="G16" s="3550"/>
      <c r="H16" s="2371">
        <v>3</v>
      </c>
      <c r="I16" s="2371">
        <v>1.51</v>
      </c>
      <c r="J16" s="2371">
        <v>1.41</v>
      </c>
      <c r="K16" s="2371">
        <v>1.52</v>
      </c>
      <c r="L16" s="2372">
        <v>1.74</v>
      </c>
      <c r="M16" s="2355"/>
      <c r="N16" s="2387">
        <f t="shared" si="73"/>
        <v>1.5100000000000001E-2</v>
      </c>
      <c r="O16" s="2356">
        <f t="shared" ref="O16" si="119">J16/100</f>
        <v>1.41E-2</v>
      </c>
      <c r="P16" s="2356">
        <f t="shared" ref="P16" si="120">K16/100</f>
        <v>1.52E-2</v>
      </c>
      <c r="Q16" s="2356">
        <f t="shared" ref="Q16" si="121">L16/100</f>
        <v>1.7399999999999999E-2</v>
      </c>
      <c r="R16" s="2355"/>
      <c r="S16" s="2387"/>
      <c r="T16" s="2356"/>
      <c r="U16" s="2356"/>
      <c r="V16" s="2356"/>
      <c r="W16" s="2355"/>
      <c r="X16" s="2355">
        <f>ROUND(SUMPRODUCT(PRODUCT(1+N16:N$33)),4)</f>
        <v>1.4956</v>
      </c>
      <c r="Y16" s="2355">
        <f>ROUND(SUMPRODUCT(PRODUCT(1+O16:O$33)),4)</f>
        <v>1.3237000000000001</v>
      </c>
      <c r="Z16" s="2355">
        <f t="shared" ref="Z16" si="122">Y16</f>
        <v>1.3237000000000001</v>
      </c>
      <c r="AA16" s="2355">
        <f>ROUND(SUMPRODUCT(PRODUCT(1+P16:P$33)),4)</f>
        <v>1.554</v>
      </c>
      <c r="AB16" s="2355">
        <f>ROUND(SUMPRODUCT(PRODUCT(1+Q16:Q$33)),4)</f>
        <v>1.3087</v>
      </c>
      <c r="AC16" s="2355"/>
      <c r="AD16" s="2356">
        <f>ROUND(AVERAGE(I16:I$34)/100,4)</f>
        <v>2.3099999999999999E-2</v>
      </c>
      <c r="AE16" s="2356">
        <f>ROUND(AVERAGE(J16:J$34)/100,4)</f>
        <v>1.61E-2</v>
      </c>
      <c r="AF16" s="2356">
        <f t="shared" ref="AF16" si="123">AE16</f>
        <v>1.61E-2</v>
      </c>
      <c r="AG16" s="2356">
        <f>ROUND(AVERAGE(K16:K$34)/100,4)</f>
        <v>2.53E-2</v>
      </c>
      <c r="AH16" s="2356">
        <f>ROUND(AVERAGE(L16:L$34)/100,4)</f>
        <v>1.4999999999999999E-2</v>
      </c>
    </row>
    <row r="17" spans="1:34" s="2388" customFormat="1" ht="14.45" customHeight="1">
      <c r="A17" s="2369" t="s">
        <v>2712</v>
      </c>
      <c r="B17" s="2386">
        <f t="shared" ref="B17:B22" si="124">B18*(1+N17)</f>
        <v>453.11529869999993</v>
      </c>
      <c r="C17" s="2386">
        <f t="shared" ref="C17" si="125">C18*(1+O17)</f>
        <v>336.47787264000004</v>
      </c>
      <c r="D17" s="2386">
        <f t="shared" ref="D17" si="126">C17</f>
        <v>336.47787264000004</v>
      </c>
      <c r="E17" s="2386">
        <f t="shared" ref="E17" si="127">E18*(1+P17)</f>
        <v>647.35186823999993</v>
      </c>
      <c r="F17" s="2386">
        <f t="shared" ref="F17" si="128">F18*(1+Q17)</f>
        <v>295.73229452000004</v>
      </c>
      <c r="G17" s="3550"/>
      <c r="H17" s="2389">
        <v>2</v>
      </c>
      <c r="I17" s="2389">
        <v>1.49</v>
      </c>
      <c r="J17" s="2389">
        <v>0.96</v>
      </c>
      <c r="K17" s="2389">
        <v>1.58</v>
      </c>
      <c r="L17" s="2390">
        <v>2.44</v>
      </c>
      <c r="M17" s="2355"/>
      <c r="N17" s="2387">
        <f t="shared" ref="N17" si="129">I17/100</f>
        <v>1.49E-2</v>
      </c>
      <c r="O17" s="2356">
        <f t="shared" ref="O17" si="130">J17/100</f>
        <v>9.5999999999999992E-3</v>
      </c>
      <c r="P17" s="2356">
        <f t="shared" ref="P17" si="131">K17/100</f>
        <v>1.5800000000000002E-2</v>
      </c>
      <c r="Q17" s="2356">
        <f t="shared" ref="Q17" si="132">L17/100</f>
        <v>2.4399999999999998E-2</v>
      </c>
      <c r="R17" s="2355"/>
      <c r="S17" s="2387"/>
      <c r="T17" s="2356"/>
      <c r="U17" s="2356"/>
      <c r="V17" s="2356"/>
      <c r="W17" s="2355"/>
      <c r="X17" s="2355">
        <f>ROUND(SUMPRODUCT(PRODUCT(1+N17:N$33)),4)</f>
        <v>1.4733000000000001</v>
      </c>
      <c r="Y17" s="2355">
        <f>ROUND(SUMPRODUCT(PRODUCT(1+O17:O$33)),4)</f>
        <v>1.3052999999999999</v>
      </c>
      <c r="Z17" s="2355">
        <f t="shared" ref="Z17" si="133">Y17</f>
        <v>1.3052999999999999</v>
      </c>
      <c r="AA17" s="2355">
        <f>ROUND(SUMPRODUCT(PRODUCT(1+P17:P$33)),4)</f>
        <v>1.5306999999999999</v>
      </c>
      <c r="AB17" s="2355">
        <f>ROUND(SUMPRODUCT(PRODUCT(1+Q17:Q$33)),4)</f>
        <v>1.2863</v>
      </c>
      <c r="AC17" s="2355"/>
      <c r="AD17" s="2356">
        <f>ROUND(AVERAGE(I17:I$34)/100,4)</f>
        <v>2.35E-2</v>
      </c>
      <c r="AE17" s="2356">
        <f>ROUND(AVERAGE(J17:J$34)/100,4)</f>
        <v>1.6199999999999999E-2</v>
      </c>
      <c r="AF17" s="2356">
        <f t="shared" ref="AF17" si="134">AE17</f>
        <v>1.6199999999999999E-2</v>
      </c>
      <c r="AG17" s="2356">
        <f>ROUND(AVERAGE(K17:K$34)/100,4)</f>
        <v>2.5899999999999999E-2</v>
      </c>
      <c r="AH17" s="2356">
        <f>ROUND(AVERAGE(L17:L$34)/100,4)</f>
        <v>1.49E-2</v>
      </c>
    </row>
    <row r="18" spans="1:34" s="2388" customFormat="1" ht="15" customHeight="1" thickBot="1">
      <c r="A18" s="2369" t="s">
        <v>2709</v>
      </c>
      <c r="B18" s="2386">
        <f t="shared" si="124"/>
        <v>446.46299999999997</v>
      </c>
      <c r="C18" s="2386">
        <f t="shared" ref="C18" si="135">C19*(1+O18)</f>
        <v>333.27840000000003</v>
      </c>
      <c r="D18" s="2386">
        <f t="shared" ref="D18:D23" si="136">C18</f>
        <v>333.27840000000003</v>
      </c>
      <c r="E18" s="2386">
        <f t="shared" ref="E18" si="137">E19*(1+P18)</f>
        <v>637.28279999999995</v>
      </c>
      <c r="F18" s="2386">
        <f t="shared" ref="F18" si="138">F19*(1+Q18)</f>
        <v>288.68830000000003</v>
      </c>
      <c r="G18" s="3557"/>
      <c r="H18" s="2371">
        <v>1</v>
      </c>
      <c r="I18" s="2371">
        <v>1.7</v>
      </c>
      <c r="J18" s="2371">
        <v>1.92</v>
      </c>
      <c r="K18" s="2371">
        <v>1.64</v>
      </c>
      <c r="L18" s="2372">
        <v>2.0099999999999998</v>
      </c>
      <c r="M18" s="2355"/>
      <c r="N18" s="2387">
        <f t="shared" ref="N18:N23" si="139">I18/100</f>
        <v>1.7000000000000001E-2</v>
      </c>
      <c r="O18" s="2356">
        <f t="shared" ref="O18" si="140">J18/100</f>
        <v>1.9199999999999998E-2</v>
      </c>
      <c r="P18" s="2356">
        <f t="shared" ref="P18" si="141">K18/100</f>
        <v>1.6399999999999998E-2</v>
      </c>
      <c r="Q18" s="2356">
        <f t="shared" ref="Q18" si="142">L18/100</f>
        <v>2.0099999999999996E-2</v>
      </c>
      <c r="R18" s="2355"/>
      <c r="S18" s="2391">
        <f>B18/B19-1</f>
        <v>1.6999999999999904E-2</v>
      </c>
      <c r="T18" s="2392">
        <f>C18/C19-1</f>
        <v>1.9200000000000106E-2</v>
      </c>
      <c r="U18" s="2392">
        <f>E18/E19-1</f>
        <v>1.639999999999997E-2</v>
      </c>
      <c r="V18" s="2392">
        <f>F18/F19-1</f>
        <v>2.0100000000000007E-2</v>
      </c>
      <c r="W18" s="2355"/>
      <c r="X18" s="2355">
        <f>ROUND(SUMPRODUCT(PRODUCT(1+N18:N$33)),4)</f>
        <v>1.4517</v>
      </c>
      <c r="Y18" s="2355">
        <f>ROUND(SUMPRODUCT(PRODUCT(1+O18:O$33)),4)</f>
        <v>1.2928999999999999</v>
      </c>
      <c r="Z18" s="2355">
        <f t="shared" ref="Z18" si="143">Y18</f>
        <v>1.2928999999999999</v>
      </c>
      <c r="AA18" s="2355">
        <f>ROUND(SUMPRODUCT(PRODUCT(1+P18:P$33)),4)</f>
        <v>1.5068999999999999</v>
      </c>
      <c r="AB18" s="2355">
        <f>ROUND(SUMPRODUCT(PRODUCT(1+Q18:Q$33)),4)</f>
        <v>1.2557</v>
      </c>
      <c r="AC18" s="2355"/>
      <c r="AD18" s="2356">
        <f>ROUND(AVERAGE(I18:I$34)/100,4)</f>
        <v>2.4E-2</v>
      </c>
      <c r="AE18" s="2356">
        <f>ROUND(AVERAGE(J18:J$34)/100,4)</f>
        <v>1.66E-2</v>
      </c>
      <c r="AF18" s="2356">
        <f t="shared" ref="AF18" si="144">AE18</f>
        <v>1.66E-2</v>
      </c>
      <c r="AG18" s="2356">
        <f>ROUND(AVERAGE(K18:K$34)/100,4)</f>
        <v>2.6499999999999999E-2</v>
      </c>
      <c r="AH18" s="2356">
        <f>ROUND(AVERAGE(L18:L$34)/100,4)</f>
        <v>1.43E-2</v>
      </c>
    </row>
    <row r="19" spans="1:34">
      <c r="A19" s="2369" t="s">
        <v>2706</v>
      </c>
      <c r="B19" s="2379">
        <v>439</v>
      </c>
      <c r="C19" s="2379">
        <v>327</v>
      </c>
      <c r="D19" s="2379">
        <f t="shared" si="136"/>
        <v>327</v>
      </c>
      <c r="E19" s="2379">
        <v>627</v>
      </c>
      <c r="F19" s="2380">
        <v>283</v>
      </c>
      <c r="G19" s="3553">
        <v>2017</v>
      </c>
      <c r="H19" s="2377">
        <v>4</v>
      </c>
      <c r="I19" s="2377">
        <v>1.71</v>
      </c>
      <c r="J19" s="2377">
        <v>1.78</v>
      </c>
      <c r="K19" s="2377">
        <v>1.71</v>
      </c>
      <c r="L19" s="2378">
        <v>1.43</v>
      </c>
      <c r="N19" s="2381">
        <f t="shared" si="139"/>
        <v>1.7100000000000001E-2</v>
      </c>
      <c r="O19" s="2382">
        <f t="shared" ref="O19" si="145">J19/100</f>
        <v>1.78E-2</v>
      </c>
      <c r="P19" s="2382">
        <f t="shared" ref="P19" si="146">K19/100</f>
        <v>1.7100000000000001E-2</v>
      </c>
      <c r="Q19" s="2382">
        <f t="shared" ref="Q19" si="147">L19/100</f>
        <v>1.43E-2</v>
      </c>
      <c r="R19" s="2383"/>
      <c r="S19" s="2384"/>
      <c r="T19" s="2385"/>
      <c r="U19" s="2385"/>
      <c r="V19" s="2385"/>
      <c r="X19" s="2355">
        <f>ROUND(SUMPRODUCT(PRODUCT(1+N19:N$33)),4)</f>
        <v>1.4274</v>
      </c>
      <c r="Y19" s="2355">
        <f>ROUND(SUMPRODUCT(PRODUCT(1+O19:O$33)),4)</f>
        <v>1.2685</v>
      </c>
      <c r="Z19" s="2355">
        <f t="shared" si="0"/>
        <v>1.2685</v>
      </c>
      <c r="AA19" s="2355">
        <f>ROUND(SUMPRODUCT(PRODUCT(1+P19:P$33)),4)</f>
        <v>1.4825999999999999</v>
      </c>
      <c r="AB19" s="2355">
        <f>ROUND(SUMPRODUCT(PRODUCT(1+Q19:Q$33)),4)</f>
        <v>1.2309000000000001</v>
      </c>
      <c r="AD19" s="2356">
        <f>ROUND(AVERAGE(I19:I$34)/100,4)</f>
        <v>2.4500000000000001E-2</v>
      </c>
      <c r="AE19" s="2356">
        <f>ROUND(AVERAGE(J19:J$34)/100,4)</f>
        <v>1.6500000000000001E-2</v>
      </c>
      <c r="AF19" s="2356">
        <f t="shared" si="1"/>
        <v>1.6500000000000001E-2</v>
      </c>
      <c r="AG19" s="2356">
        <f>ROUND(AVERAGE(K19:K$34)/100,4)</f>
        <v>2.7099999999999999E-2</v>
      </c>
      <c r="AH19" s="2356">
        <f>ROUND(AVERAGE(L19:L$34)/100,4)</f>
        <v>1.3899999999999999E-2</v>
      </c>
    </row>
    <row r="20" spans="1:34" s="2388" customFormat="1" ht="14.45" customHeight="1">
      <c r="A20" s="2369" t="s">
        <v>2703</v>
      </c>
      <c r="B20" s="2386">
        <f t="shared" si="124"/>
        <v>431.80730811680002</v>
      </c>
      <c r="C20" s="2386">
        <f t="shared" ref="C20" si="148">C21*(1+O20)</f>
        <v>320.57880516480003</v>
      </c>
      <c r="D20" s="2386">
        <f t="shared" si="136"/>
        <v>320.57880516480003</v>
      </c>
      <c r="E20" s="2386">
        <f t="shared" ref="E20:F22" si="149">E21*(1+P20)</f>
        <v>615.96110553196797</v>
      </c>
      <c r="F20" s="2386">
        <f t="shared" si="149"/>
        <v>279.46777300108801</v>
      </c>
      <c r="G20" s="3550"/>
      <c r="H20" s="2371">
        <v>3</v>
      </c>
      <c r="I20" s="2371">
        <v>2.98</v>
      </c>
      <c r="J20" s="2371">
        <v>2.11</v>
      </c>
      <c r="K20" s="2371">
        <v>3.24</v>
      </c>
      <c r="L20" s="2372">
        <v>1.72</v>
      </c>
      <c r="M20" s="2355"/>
      <c r="N20" s="2387">
        <f t="shared" si="139"/>
        <v>2.98E-2</v>
      </c>
      <c r="O20" s="2393">
        <f t="shared" ref="O20" si="150">J20/100</f>
        <v>2.1099999999999997E-2</v>
      </c>
      <c r="P20" s="2393">
        <f t="shared" ref="P20" si="151">K20/100</f>
        <v>3.2400000000000005E-2</v>
      </c>
      <c r="Q20" s="2393">
        <f t="shared" ref="Q20" si="152">L20/100</f>
        <v>1.72E-2</v>
      </c>
      <c r="R20" s="2355"/>
      <c r="S20" s="2387"/>
      <c r="T20" s="2356"/>
      <c r="U20" s="2356"/>
      <c r="V20" s="2356"/>
      <c r="W20" s="2355"/>
      <c r="X20" s="2355">
        <f>ROUND(SUMPRODUCT(PRODUCT(1+N20:N$33)),4)</f>
        <v>1.4034</v>
      </c>
      <c r="Y20" s="2355">
        <f>ROUND(SUMPRODUCT(PRODUCT(1+O20:O$33)),4)</f>
        <v>1.2463</v>
      </c>
      <c r="Z20" s="2355">
        <f t="shared" si="0"/>
        <v>1.2463</v>
      </c>
      <c r="AA20" s="2355">
        <f>ROUND(SUMPRODUCT(PRODUCT(1+P20:P$33)),4)</f>
        <v>1.4577</v>
      </c>
      <c r="AB20" s="2355">
        <f>ROUND(SUMPRODUCT(PRODUCT(1+Q20:Q$33)),4)</f>
        <v>1.2136</v>
      </c>
      <c r="AC20" s="2355"/>
      <c r="AD20" s="2356">
        <f>ROUND(AVERAGE(I20:I$34)/100,4)</f>
        <v>2.4899999999999999E-2</v>
      </c>
      <c r="AE20" s="2356">
        <f>ROUND(AVERAGE(J20:J$34)/100,4)</f>
        <v>1.6400000000000001E-2</v>
      </c>
      <c r="AF20" s="2356">
        <f t="shared" si="1"/>
        <v>1.6400000000000001E-2</v>
      </c>
      <c r="AG20" s="2356">
        <f>ROUND(AVERAGE(K20:K$34)/100,4)</f>
        <v>2.7799999999999998E-2</v>
      </c>
      <c r="AH20" s="2356">
        <f>ROUND(AVERAGE(L20:L$34)/100,4)</f>
        <v>1.3899999999999999E-2</v>
      </c>
    </row>
    <row r="21" spans="1:34" s="2364" customFormat="1" ht="14.45" customHeight="1">
      <c r="A21" s="2369" t="s">
        <v>1246</v>
      </c>
      <c r="B21" s="2386">
        <f t="shared" si="124"/>
        <v>419.31181600000002</v>
      </c>
      <c r="C21" s="2386">
        <f t="shared" ref="C21" si="153">C22*(1+O21)</f>
        <v>313.95436800000004</v>
      </c>
      <c r="D21" s="2386">
        <f t="shared" si="136"/>
        <v>313.95436800000004</v>
      </c>
      <c r="E21" s="2386">
        <f t="shared" si="149"/>
        <v>596.63028431999999</v>
      </c>
      <c r="F21" s="2386">
        <f t="shared" si="149"/>
        <v>274.74220703999998</v>
      </c>
      <c r="G21" s="3550"/>
      <c r="H21" s="2389">
        <v>2</v>
      </c>
      <c r="I21" s="2389">
        <v>3.4</v>
      </c>
      <c r="J21" s="2389">
        <v>2</v>
      </c>
      <c r="K21" s="2389">
        <v>3.82</v>
      </c>
      <c r="L21" s="2390">
        <v>1.68</v>
      </c>
      <c r="M21" s="2355"/>
      <c r="N21" s="2387">
        <f t="shared" si="139"/>
        <v>3.4000000000000002E-2</v>
      </c>
      <c r="O21" s="2393">
        <f t="shared" ref="O21" si="154">J21/100</f>
        <v>0.02</v>
      </c>
      <c r="P21" s="2393">
        <f t="shared" ref="P21" si="155">K21/100</f>
        <v>3.8199999999999998E-2</v>
      </c>
      <c r="Q21" s="2393">
        <f t="shared" ref="Q21" si="156">L21/100</f>
        <v>1.6799999999999999E-2</v>
      </c>
      <c r="R21" s="2355"/>
      <c r="S21" s="2387"/>
      <c r="T21" s="2356"/>
      <c r="U21" s="2356"/>
      <c r="V21" s="2356"/>
      <c r="W21" s="2355"/>
      <c r="X21" s="2394">
        <f>ROUND(SUMPRODUCT(PRODUCT(1+N21:N$33)),4)</f>
        <v>1.3628</v>
      </c>
      <c r="Y21" s="2394">
        <f>ROUND(SUMPRODUCT(PRODUCT(1+O21:O$33)),4)</f>
        <v>1.2205999999999999</v>
      </c>
      <c r="Z21" s="2394">
        <f t="shared" si="0"/>
        <v>1.2205999999999999</v>
      </c>
      <c r="AA21" s="2394">
        <f>ROUND(SUMPRODUCT(PRODUCT(1+P21:P$33)),4)</f>
        <v>1.4118999999999999</v>
      </c>
      <c r="AB21" s="2394">
        <f>ROUND(SUMPRODUCT(PRODUCT(1+Q21:Q$33)),4)</f>
        <v>1.1930000000000001</v>
      </c>
      <c r="AC21" s="2349"/>
      <c r="AD21" s="2395">
        <f>ROUND(AVERAGE(I21:I$34)/100,4)</f>
        <v>2.46E-2</v>
      </c>
      <c r="AE21" s="2395">
        <f>ROUND(AVERAGE(J21:J$34)/100,4)</f>
        <v>1.6E-2</v>
      </c>
      <c r="AF21" s="2395">
        <f t="shared" si="1"/>
        <v>1.6E-2</v>
      </c>
      <c r="AG21" s="2395">
        <f>ROUND(AVERAGE(K21:K$34)/100,4)</f>
        <v>2.75E-2</v>
      </c>
      <c r="AH21" s="2395">
        <f>ROUND(AVERAGE(L21:L$34)/100,4)</f>
        <v>1.37E-2</v>
      </c>
    </row>
    <row r="22" spans="1:34" s="2388" customFormat="1" ht="15" customHeight="1" thickBot="1">
      <c r="A22" s="2369" t="s">
        <v>1036</v>
      </c>
      <c r="B22" s="2386">
        <f t="shared" si="124"/>
        <v>405.524</v>
      </c>
      <c r="C22" s="2386">
        <f t="shared" ref="C22" si="157">C23*(1+O22)</f>
        <v>307.79840000000002</v>
      </c>
      <c r="D22" s="2386">
        <f t="shared" si="136"/>
        <v>307.79840000000002</v>
      </c>
      <c r="E22" s="2386">
        <f t="shared" si="149"/>
        <v>574.67759999999998</v>
      </c>
      <c r="F22" s="2386">
        <f t="shared" si="149"/>
        <v>270.20280000000002</v>
      </c>
      <c r="G22" s="3557"/>
      <c r="H22" s="2371">
        <v>1</v>
      </c>
      <c r="I22" s="2371">
        <v>3.45</v>
      </c>
      <c r="J22" s="2371">
        <v>1.92</v>
      </c>
      <c r="K22" s="2371">
        <v>3.92</v>
      </c>
      <c r="L22" s="2372">
        <v>1.58</v>
      </c>
      <c r="M22" s="2355"/>
      <c r="N22" s="2391">
        <f t="shared" si="139"/>
        <v>3.4500000000000003E-2</v>
      </c>
      <c r="O22" s="2392">
        <f t="shared" ref="O22:Q37" si="158">J22/100</f>
        <v>1.9199999999999998E-2</v>
      </c>
      <c r="P22" s="2392">
        <f t="shared" si="158"/>
        <v>3.9199999999999999E-2</v>
      </c>
      <c r="Q22" s="2392">
        <f t="shared" si="158"/>
        <v>1.5800000000000002E-2</v>
      </c>
      <c r="R22" s="2355"/>
      <c r="S22" s="2391">
        <f>B22/B23-1</f>
        <v>3.4499999999999975E-2</v>
      </c>
      <c r="T22" s="2392">
        <f>C22/C23-1</f>
        <v>1.9200000000000106E-2</v>
      </c>
      <c r="U22" s="2392">
        <f>E22/E23-1</f>
        <v>3.9199999999999902E-2</v>
      </c>
      <c r="V22" s="2392">
        <f>F22/F23-1</f>
        <v>1.5800000000000036E-2</v>
      </c>
      <c r="W22" s="2355"/>
      <c r="X22" s="2355">
        <f>ROUND(SUMPRODUCT(PRODUCT(1+N22:N$33)),4)</f>
        <v>1.3180000000000001</v>
      </c>
      <c r="Y22" s="2355">
        <f>ROUND(SUMPRODUCT(PRODUCT(1+O22:O$33)),4)</f>
        <v>1.1966000000000001</v>
      </c>
      <c r="Z22" s="2355">
        <f t="shared" si="0"/>
        <v>1.1966000000000001</v>
      </c>
      <c r="AA22" s="2355">
        <f>ROUND(SUMPRODUCT(PRODUCT(1+P22:P$33)),4)</f>
        <v>1.36</v>
      </c>
      <c r="AB22" s="2355">
        <f>ROUND(SUMPRODUCT(PRODUCT(1+Q22:Q$33)),4)</f>
        <v>1.1733</v>
      </c>
      <c r="AC22" s="2355"/>
      <c r="AD22" s="2356">
        <f>ROUND(AVERAGE(I22:I$34)/100,4)</f>
        <v>2.3900000000000001E-2</v>
      </c>
      <c r="AE22" s="2356">
        <f>ROUND(AVERAGE(J22:J$34)/100,4)</f>
        <v>1.5699999999999999E-2</v>
      </c>
      <c r="AF22" s="2356">
        <f t="shared" si="1"/>
        <v>1.5699999999999999E-2</v>
      </c>
      <c r="AG22" s="2356">
        <f>ROUND(AVERAGE(K22:K$34)/100,4)</f>
        <v>2.6599999999999999E-2</v>
      </c>
      <c r="AH22" s="2356">
        <f>ROUND(AVERAGE(L22:L$34)/100,4)</f>
        <v>1.34E-2</v>
      </c>
    </row>
    <row r="23" spans="1:34">
      <c r="A23" s="2369" t="s">
        <v>1037</v>
      </c>
      <c r="B23" s="2379">
        <v>392</v>
      </c>
      <c r="C23" s="2379">
        <v>302</v>
      </c>
      <c r="D23" s="2379">
        <f t="shared" si="136"/>
        <v>302</v>
      </c>
      <c r="E23" s="2379">
        <v>553</v>
      </c>
      <c r="F23" s="2380">
        <v>266</v>
      </c>
      <c r="G23" s="3553">
        <v>2016</v>
      </c>
      <c r="H23" s="2377">
        <v>4</v>
      </c>
      <c r="I23" s="2377">
        <v>4.5599999999999996</v>
      </c>
      <c r="J23" s="2377">
        <v>2.15</v>
      </c>
      <c r="K23" s="2377">
        <v>5.32</v>
      </c>
      <c r="L23" s="2378">
        <v>1.57</v>
      </c>
      <c r="N23" s="2387">
        <f t="shared" si="139"/>
        <v>4.5599999999999995E-2</v>
      </c>
      <c r="O23" s="2356">
        <f t="shared" si="158"/>
        <v>2.1499999999999998E-2</v>
      </c>
      <c r="P23" s="2356">
        <f t="shared" si="158"/>
        <v>5.3200000000000004E-2</v>
      </c>
      <c r="Q23" s="2356">
        <f t="shared" si="158"/>
        <v>1.5700000000000002E-2</v>
      </c>
      <c r="R23" s="2383"/>
      <c r="S23" s="2384"/>
      <c r="T23" s="2385"/>
      <c r="U23" s="2385"/>
      <c r="V23" s="2385"/>
      <c r="X23" s="2355">
        <f>ROUND(SUMPRODUCT(PRODUCT(1+N23:N$33)),4)</f>
        <v>1.274</v>
      </c>
      <c r="Y23" s="2355">
        <f>ROUND(SUMPRODUCT(PRODUCT(1+O23:O$33)),4)</f>
        <v>1.1740999999999999</v>
      </c>
      <c r="Z23" s="2355">
        <f t="shared" si="0"/>
        <v>1.1740999999999999</v>
      </c>
      <c r="AA23" s="2355">
        <f>ROUND(SUMPRODUCT(PRODUCT(1+P23:P$33)),4)</f>
        <v>1.3087</v>
      </c>
      <c r="AB23" s="2355">
        <f>ROUND(SUMPRODUCT(PRODUCT(1+Q23:Q$33)),4)</f>
        <v>1.1551</v>
      </c>
      <c r="AD23" s="2356">
        <f>ROUND(AVERAGE(I23:I$34)/100,4)</f>
        <v>2.3E-2</v>
      </c>
      <c r="AE23" s="2356">
        <f>ROUND(AVERAGE(J23:J$34)/100,4)</f>
        <v>1.55E-2</v>
      </c>
      <c r="AF23" s="2356">
        <f t="shared" ref="AF23:AF32" si="159">AE23</f>
        <v>1.55E-2</v>
      </c>
      <c r="AG23" s="2356">
        <f>ROUND(AVERAGE(K23:K$34)/100,4)</f>
        <v>2.5600000000000001E-2</v>
      </c>
      <c r="AH23" s="2356">
        <f>ROUND(AVERAGE(L23:L$34)/100,4)</f>
        <v>1.32E-2</v>
      </c>
    </row>
    <row r="24" spans="1:34">
      <c r="A24" s="2369" t="s">
        <v>103</v>
      </c>
      <c r="B24" s="2386">
        <f t="shared" ref="B24:C26" si="160">B23/(1+N23)</f>
        <v>374.90436113236416</v>
      </c>
      <c r="C24" s="2386">
        <f t="shared" si="160"/>
        <v>295.64366128242779</v>
      </c>
      <c r="D24" s="2386">
        <f t="shared" ref="D24:D83" si="161">C24</f>
        <v>295.64366128242779</v>
      </c>
      <c r="E24" s="2386">
        <f t="shared" ref="E24:F26" si="162">E23/(1+P23)</f>
        <v>525.06646410938095</v>
      </c>
      <c r="F24" s="2386">
        <f t="shared" si="162"/>
        <v>261.88835286009646</v>
      </c>
      <c r="G24" s="3550"/>
      <c r="H24" s="2371">
        <v>3</v>
      </c>
      <c r="I24" s="2371">
        <v>4.12</v>
      </c>
      <c r="J24" s="2371">
        <v>2</v>
      </c>
      <c r="K24" s="2371">
        <v>4.79</v>
      </c>
      <c r="L24" s="2372">
        <v>1.97</v>
      </c>
      <c r="N24" s="2387">
        <f t="shared" ref="N24:Q58" si="163">I24/100</f>
        <v>4.1200000000000001E-2</v>
      </c>
      <c r="O24" s="2356">
        <f t="shared" si="158"/>
        <v>0.02</v>
      </c>
      <c r="P24" s="2356">
        <f t="shared" si="158"/>
        <v>4.7899999999999998E-2</v>
      </c>
      <c r="Q24" s="2356">
        <f t="shared" si="158"/>
        <v>1.9699999999999999E-2</v>
      </c>
      <c r="R24" s="2383"/>
      <c r="S24" s="2387"/>
      <c r="T24" s="2356"/>
      <c r="U24" s="2356"/>
      <c r="V24" s="2356"/>
      <c r="X24" s="2355">
        <f>ROUND(SUMPRODUCT(PRODUCT(1+N24:N$33)),4)</f>
        <v>1.2184999999999999</v>
      </c>
      <c r="Y24" s="2355">
        <f>ROUND(SUMPRODUCT(PRODUCT(1+O24:O$33)),4)</f>
        <v>1.1494</v>
      </c>
      <c r="Z24" s="2355">
        <f t="shared" si="0"/>
        <v>1.1494</v>
      </c>
      <c r="AA24" s="2355">
        <f>ROUND(SUMPRODUCT(PRODUCT(1+P24:P$33)),4)</f>
        <v>1.2425999999999999</v>
      </c>
      <c r="AB24" s="2355">
        <f>ROUND(SUMPRODUCT(PRODUCT(1+Q24:Q$33)),4)</f>
        <v>1.1372</v>
      </c>
      <c r="AD24" s="2356">
        <f>ROUND(AVERAGE(I24:I$34)/100,4)</f>
        <v>2.0899999999999998E-2</v>
      </c>
      <c r="AE24" s="2356">
        <f>ROUND(AVERAGE(J24:J$34)/100,4)</f>
        <v>1.49E-2</v>
      </c>
      <c r="AF24" s="2356">
        <f t="shared" si="159"/>
        <v>1.49E-2</v>
      </c>
      <c r="AG24" s="2356">
        <f>ROUND(AVERAGE(K24:K$34)/100,4)</f>
        <v>2.3099999999999999E-2</v>
      </c>
      <c r="AH24" s="2356">
        <f>ROUND(AVERAGE(L24:L$34)/100,4)</f>
        <v>1.2999999999999999E-2</v>
      </c>
    </row>
    <row r="25" spans="1:34">
      <c r="A25" s="2369" t="s">
        <v>93</v>
      </c>
      <c r="B25" s="2386">
        <f t="shared" si="160"/>
        <v>360.06949782209392</v>
      </c>
      <c r="C25" s="2386">
        <f t="shared" si="160"/>
        <v>289.84672674747821</v>
      </c>
      <c r="D25" s="2386">
        <f t="shared" si="161"/>
        <v>289.84672674747821</v>
      </c>
      <c r="E25" s="2386">
        <f t="shared" si="162"/>
        <v>501.06543001181495</v>
      </c>
      <c r="F25" s="2386">
        <f t="shared" si="162"/>
        <v>256.82882500744967</v>
      </c>
      <c r="G25" s="3550"/>
      <c r="H25" s="2389">
        <v>2</v>
      </c>
      <c r="I25" s="2389">
        <v>3.85</v>
      </c>
      <c r="J25" s="2389">
        <v>1.95</v>
      </c>
      <c r="K25" s="2389">
        <v>4.4800000000000004</v>
      </c>
      <c r="L25" s="2390">
        <v>1.41</v>
      </c>
      <c r="N25" s="2387">
        <f t="shared" si="163"/>
        <v>3.85E-2</v>
      </c>
      <c r="O25" s="2356">
        <f t="shared" si="158"/>
        <v>1.95E-2</v>
      </c>
      <c r="P25" s="2356">
        <f t="shared" si="158"/>
        <v>4.4800000000000006E-2</v>
      </c>
      <c r="Q25" s="2356">
        <f t="shared" si="158"/>
        <v>1.41E-2</v>
      </c>
      <c r="R25" s="2383"/>
      <c r="S25" s="2387"/>
      <c r="T25" s="2356"/>
      <c r="U25" s="2356"/>
      <c r="V25" s="2356"/>
      <c r="X25" s="2355">
        <f>ROUND(SUMPRODUCT(PRODUCT(1+N25:N$33)),4)</f>
        <v>1.1702999999999999</v>
      </c>
      <c r="Y25" s="2355">
        <f>ROUND(SUMPRODUCT(PRODUCT(1+O25:O$33)),4)</f>
        <v>1.1269</v>
      </c>
      <c r="Z25" s="2355">
        <f t="shared" si="0"/>
        <v>1.1269</v>
      </c>
      <c r="AA25" s="2355">
        <f>ROUND(SUMPRODUCT(PRODUCT(1+P25:P$33)),4)</f>
        <v>1.1858</v>
      </c>
      <c r="AB25" s="2355">
        <f>ROUND(SUMPRODUCT(PRODUCT(1+Q25:Q$33)),4)</f>
        <v>1.1152</v>
      </c>
      <c r="AD25" s="2356">
        <f>ROUND(AVERAGE(I25:I$34)/100,4)</f>
        <v>1.89E-2</v>
      </c>
      <c r="AE25" s="2356">
        <f>ROUND(AVERAGE(J25:J$34)/100,4)</f>
        <v>1.44E-2</v>
      </c>
      <c r="AF25" s="2356">
        <f t="shared" si="159"/>
        <v>1.44E-2</v>
      </c>
      <c r="AG25" s="2356">
        <f>ROUND(AVERAGE(K25:K$34)/100,4)</f>
        <v>2.06E-2</v>
      </c>
      <c r="AH25" s="2356">
        <f>ROUND(AVERAGE(L25:L$34)/100,4)</f>
        <v>1.23E-2</v>
      </c>
    </row>
    <row r="26" spans="1:34" ht="13.5" thickBot="1">
      <c r="A26" s="2369" t="s">
        <v>102</v>
      </c>
      <c r="B26" s="2386">
        <f t="shared" si="160"/>
        <v>346.720748986128</v>
      </c>
      <c r="C26" s="2386">
        <f t="shared" si="160"/>
        <v>284.30282172386285</v>
      </c>
      <c r="D26" s="2386">
        <f t="shared" si="161"/>
        <v>284.30282172386285</v>
      </c>
      <c r="E26" s="2386">
        <f t="shared" si="162"/>
        <v>479.58023546306947</v>
      </c>
      <c r="F26" s="2386">
        <f t="shared" si="162"/>
        <v>253.25788877571213</v>
      </c>
      <c r="G26" s="3551"/>
      <c r="H26" s="2371">
        <v>1</v>
      </c>
      <c r="I26" s="2371">
        <v>4.09</v>
      </c>
      <c r="J26" s="2371">
        <v>2.93</v>
      </c>
      <c r="K26" s="2371">
        <v>4.54</v>
      </c>
      <c r="L26" s="2372">
        <v>1.48</v>
      </c>
      <c r="N26" s="2387">
        <f t="shared" si="163"/>
        <v>4.0899999999999999E-2</v>
      </c>
      <c r="O26" s="2356">
        <f t="shared" si="158"/>
        <v>2.9300000000000003E-2</v>
      </c>
      <c r="P26" s="2356">
        <f t="shared" si="158"/>
        <v>4.5400000000000003E-2</v>
      </c>
      <c r="Q26" s="2356">
        <f t="shared" si="158"/>
        <v>1.4800000000000001E-2</v>
      </c>
      <c r="R26" s="2383"/>
      <c r="S26" s="2391">
        <f>B26/B27-1</f>
        <v>4.1203450408792808E-2</v>
      </c>
      <c r="T26" s="2392">
        <f>C26/C27-1</f>
        <v>2.6363977342465095E-2</v>
      </c>
      <c r="U26" s="2392">
        <f>E26/E27-1</f>
        <v>4.4837114298626357E-2</v>
      </c>
      <c r="V26" s="2392">
        <f>F26/F27-1</f>
        <v>1.7099954922538574E-2</v>
      </c>
      <c r="X26" s="2355">
        <f>ROUND(SUMPRODUCT(PRODUCT(1+N26:N$33)),4)</f>
        <v>1.1269</v>
      </c>
      <c r="Y26" s="2355">
        <f>ROUND(SUMPRODUCT(PRODUCT(1+O26:O$33)),4)</f>
        <v>1.1052999999999999</v>
      </c>
      <c r="Z26" s="2355">
        <f t="shared" si="0"/>
        <v>1.1052999999999999</v>
      </c>
      <c r="AA26" s="2355">
        <f>ROUND(SUMPRODUCT(PRODUCT(1+P26:P$33)),4)</f>
        <v>1.1349</v>
      </c>
      <c r="AB26" s="2355">
        <f>ROUND(SUMPRODUCT(PRODUCT(1+Q26:Q$33)),4)</f>
        <v>1.0996999999999999</v>
      </c>
      <c r="AD26" s="2356">
        <f>ROUND(AVERAGE(I26:I$34)/100,4)</f>
        <v>1.67E-2</v>
      </c>
      <c r="AE26" s="2356">
        <f>ROUND(AVERAGE(J26:J$34)/100,4)</f>
        <v>1.38E-2</v>
      </c>
      <c r="AF26" s="2356">
        <f t="shared" si="159"/>
        <v>1.38E-2</v>
      </c>
      <c r="AG26" s="2356">
        <f>ROUND(AVERAGE(K26:K$34)/100,4)</f>
        <v>1.7899999999999999E-2</v>
      </c>
      <c r="AH26" s="2356">
        <f>ROUND(AVERAGE(L26:L$34)/100,4)</f>
        <v>1.21E-2</v>
      </c>
    </row>
    <row r="27" spans="1:34" ht="13.5" thickBot="1">
      <c r="A27" s="2369" t="s">
        <v>101</v>
      </c>
      <c r="B27" s="2379">
        <v>333</v>
      </c>
      <c r="C27" s="2379">
        <v>277</v>
      </c>
      <c r="D27" s="2379">
        <f t="shared" si="161"/>
        <v>277</v>
      </c>
      <c r="E27" s="2379">
        <v>459</v>
      </c>
      <c r="F27" s="2380">
        <v>249</v>
      </c>
      <c r="G27" s="3549">
        <v>2015</v>
      </c>
      <c r="H27" s="2396">
        <v>4</v>
      </c>
      <c r="I27" s="2396">
        <v>1.63</v>
      </c>
      <c r="J27" s="2396">
        <v>1.1100000000000001</v>
      </c>
      <c r="K27" s="2396">
        <v>1.77</v>
      </c>
      <c r="L27" s="2397">
        <v>1.89</v>
      </c>
      <c r="N27" s="2381">
        <f t="shared" si="163"/>
        <v>1.6299999999999999E-2</v>
      </c>
      <c r="O27" s="2382">
        <f t="shared" si="158"/>
        <v>1.11E-2</v>
      </c>
      <c r="P27" s="2382">
        <f t="shared" si="158"/>
        <v>1.77E-2</v>
      </c>
      <c r="Q27" s="2382">
        <f t="shared" si="158"/>
        <v>1.89E-2</v>
      </c>
      <c r="R27" s="2383"/>
      <c r="X27" s="2355">
        <f>ROUND(SUMPRODUCT(PRODUCT(1+N27:N$33)),4)</f>
        <v>1.0826</v>
      </c>
      <c r="Y27" s="2355">
        <f>ROUND(SUMPRODUCT(PRODUCT(1+O27:O$33)),4)</f>
        <v>1.0738000000000001</v>
      </c>
      <c r="Z27" s="2355">
        <f t="shared" si="0"/>
        <v>1.0738000000000001</v>
      </c>
      <c r="AA27" s="2355">
        <f>ROUND(SUMPRODUCT(PRODUCT(1+P27:P$33)),4)</f>
        <v>1.0855999999999999</v>
      </c>
      <c r="AB27" s="2355">
        <f>ROUND(SUMPRODUCT(PRODUCT(1+Q27:Q$33)),4)</f>
        <v>1.0837000000000001</v>
      </c>
      <c r="AD27" s="2356">
        <f>ROUND(AVERAGE(I27:I$34)/100,4)</f>
        <v>1.37E-2</v>
      </c>
      <c r="AE27" s="2356">
        <f>ROUND(AVERAGE(J27:J$34)/100,4)</f>
        <v>1.1900000000000001E-2</v>
      </c>
      <c r="AF27" s="2356">
        <f t="shared" si="159"/>
        <v>1.1900000000000001E-2</v>
      </c>
      <c r="AG27" s="2356">
        <f>ROUND(AVERAGE(K27:K$34)/100,4)</f>
        <v>1.4500000000000001E-2</v>
      </c>
      <c r="AH27" s="2356">
        <f>ROUND(AVERAGE(L27:L$34)/100,4)</f>
        <v>1.18E-2</v>
      </c>
    </row>
    <row r="28" spans="1:34">
      <c r="A28" s="2369" t="s">
        <v>100</v>
      </c>
      <c r="B28" s="2386">
        <f t="shared" ref="B28:C30" si="164">B27/(1+N27)</f>
        <v>327.65915576109415</v>
      </c>
      <c r="C28" s="2386">
        <f t="shared" si="164"/>
        <v>273.95905449510434</v>
      </c>
      <c r="D28" s="2386">
        <f t="shared" si="161"/>
        <v>273.95905449510434</v>
      </c>
      <c r="E28" s="2386">
        <f t="shared" ref="E28:F30" si="165">E27/(1+P27)</f>
        <v>451.01699911565294</v>
      </c>
      <c r="F28" s="2386">
        <f t="shared" si="165"/>
        <v>244.38119540681129</v>
      </c>
      <c r="G28" s="3550"/>
      <c r="H28" s="2399">
        <v>3</v>
      </c>
      <c r="I28" s="2399">
        <v>1.65</v>
      </c>
      <c r="J28" s="2399">
        <v>0.92</v>
      </c>
      <c r="K28" s="2399">
        <v>1.88</v>
      </c>
      <c r="L28" s="2400">
        <v>1.26</v>
      </c>
      <c r="N28" s="2387">
        <f t="shared" si="163"/>
        <v>1.6500000000000001E-2</v>
      </c>
      <c r="O28" s="2393">
        <f t="shared" si="158"/>
        <v>9.1999999999999998E-3</v>
      </c>
      <c r="P28" s="2393">
        <f t="shared" si="158"/>
        <v>1.8799999999999997E-2</v>
      </c>
      <c r="Q28" s="2393">
        <f t="shared" si="158"/>
        <v>1.26E-2</v>
      </c>
      <c r="R28" s="2383"/>
      <c r="S28" s="2387"/>
      <c r="T28" s="2356"/>
      <c r="U28" s="2356"/>
      <c r="V28" s="2356"/>
      <c r="X28" s="2355">
        <f>ROUND(SUMPRODUCT(PRODUCT(1+N28:N$33)),4)</f>
        <v>1.0651999999999999</v>
      </c>
      <c r="Y28" s="2355">
        <f>ROUND(SUMPRODUCT(PRODUCT(1+O28:O$33)),4)</f>
        <v>1.0621</v>
      </c>
      <c r="Z28" s="2355">
        <f t="shared" si="0"/>
        <v>1.0621</v>
      </c>
      <c r="AA28" s="2355">
        <f>ROUND(SUMPRODUCT(PRODUCT(1+P28:P$33)),4)</f>
        <v>1.0668</v>
      </c>
      <c r="AB28" s="2355">
        <f>ROUND(SUMPRODUCT(PRODUCT(1+Q28:Q$33)),4)</f>
        <v>1.0636000000000001</v>
      </c>
      <c r="AD28" s="2356">
        <f>ROUND(AVERAGE(I28:I$34)/100,4)</f>
        <v>1.3299999999999999E-2</v>
      </c>
      <c r="AE28" s="2356">
        <f>ROUND(AVERAGE(J28:J$34)/100,4)</f>
        <v>1.2E-2</v>
      </c>
      <c r="AF28" s="2356">
        <f t="shared" si="159"/>
        <v>1.2E-2</v>
      </c>
      <c r="AG28" s="2356">
        <f>ROUND(AVERAGE(K28:K$34)/100,4)</f>
        <v>1.4E-2</v>
      </c>
      <c r="AH28" s="2356">
        <f>ROUND(AVERAGE(L28:L$34)/100,4)</f>
        <v>1.0800000000000001E-2</v>
      </c>
    </row>
    <row r="29" spans="1:34">
      <c r="A29" s="2369" t="s">
        <v>99</v>
      </c>
      <c r="B29" s="2386">
        <f t="shared" si="164"/>
        <v>322.34053690220776</v>
      </c>
      <c r="C29" s="2386">
        <f t="shared" si="164"/>
        <v>271.46160770422546</v>
      </c>
      <c r="D29" s="2386">
        <f t="shared" si="161"/>
        <v>271.46160770422546</v>
      </c>
      <c r="E29" s="2386">
        <f t="shared" si="165"/>
        <v>442.69434542172456</v>
      </c>
      <c r="F29" s="2386">
        <f t="shared" si="165"/>
        <v>241.34030753190925</v>
      </c>
      <c r="G29" s="3550"/>
      <c r="H29" s="2389">
        <v>2</v>
      </c>
      <c r="I29" s="2389">
        <v>0.77</v>
      </c>
      <c r="J29" s="2389">
        <v>0.69</v>
      </c>
      <c r="K29" s="2389">
        <v>0.8</v>
      </c>
      <c r="L29" s="2390">
        <v>0.88</v>
      </c>
      <c r="N29" s="2387">
        <f t="shared" si="163"/>
        <v>7.7000000000000002E-3</v>
      </c>
      <c r="O29" s="2393">
        <f t="shared" si="158"/>
        <v>6.8999999999999999E-3</v>
      </c>
      <c r="P29" s="2393">
        <f t="shared" si="158"/>
        <v>8.0000000000000002E-3</v>
      </c>
      <c r="Q29" s="2393">
        <f t="shared" si="158"/>
        <v>8.8000000000000005E-3</v>
      </c>
      <c r="R29" s="2383"/>
      <c r="S29" s="2387"/>
      <c r="T29" s="2356"/>
      <c r="U29" s="2356"/>
      <c r="V29" s="2356"/>
      <c r="X29" s="2355">
        <f>ROUND(SUMPRODUCT(PRODUCT(1+N29:N$33)),4)</f>
        <v>1.048</v>
      </c>
      <c r="Y29" s="2355">
        <f>ROUND(SUMPRODUCT(PRODUCT(1+O29:O$33)),4)</f>
        <v>1.0524</v>
      </c>
      <c r="Z29" s="2355">
        <f t="shared" si="0"/>
        <v>1.0524</v>
      </c>
      <c r="AA29" s="2355">
        <f>ROUND(SUMPRODUCT(PRODUCT(1+P29:P$33)),4)</f>
        <v>1.0470999999999999</v>
      </c>
      <c r="AB29" s="2355">
        <f>ROUND(SUMPRODUCT(PRODUCT(1+Q29:Q$33)),4)</f>
        <v>1.0504</v>
      </c>
      <c r="AD29" s="2356">
        <f>ROUND(AVERAGE(I29:I$34)/100,4)</f>
        <v>1.2800000000000001E-2</v>
      </c>
      <c r="AE29" s="2356">
        <f>ROUND(AVERAGE(J29:J$34)/100,4)</f>
        <v>1.2500000000000001E-2</v>
      </c>
      <c r="AF29" s="2356">
        <f t="shared" si="159"/>
        <v>1.2500000000000001E-2</v>
      </c>
      <c r="AG29" s="2356">
        <f>ROUND(AVERAGE(K29:K$34)/100,4)</f>
        <v>1.32E-2</v>
      </c>
      <c r="AH29" s="2356">
        <f>ROUND(AVERAGE(L29:L$34)/100,4)</f>
        <v>1.0500000000000001E-2</v>
      </c>
    </row>
    <row r="30" spans="1:34">
      <c r="A30" s="2369" t="s">
        <v>98</v>
      </c>
      <c r="B30" s="2386">
        <f t="shared" si="164"/>
        <v>319.87748030386797</v>
      </c>
      <c r="C30" s="2386">
        <f t="shared" si="164"/>
        <v>269.60135833173649</v>
      </c>
      <c r="D30" s="2386">
        <f t="shared" si="161"/>
        <v>269.60135833173649</v>
      </c>
      <c r="E30" s="2386">
        <f t="shared" si="165"/>
        <v>439.18089823583784</v>
      </c>
      <c r="F30" s="2386">
        <f t="shared" si="165"/>
        <v>239.23503918706311</v>
      </c>
      <c r="G30" s="3551"/>
      <c r="H30" s="2371">
        <v>1</v>
      </c>
      <c r="I30" s="2371">
        <v>0.51</v>
      </c>
      <c r="J30" s="2371">
        <v>0.54</v>
      </c>
      <c r="K30" s="2371">
        <v>0.48</v>
      </c>
      <c r="L30" s="2372">
        <v>0.93</v>
      </c>
      <c r="N30" s="2391">
        <f t="shared" si="163"/>
        <v>5.1000000000000004E-3</v>
      </c>
      <c r="O30" s="2392">
        <f t="shared" si="158"/>
        <v>5.4000000000000003E-3</v>
      </c>
      <c r="P30" s="2392">
        <f t="shared" si="158"/>
        <v>4.7999999999999996E-3</v>
      </c>
      <c r="Q30" s="2392">
        <f t="shared" si="158"/>
        <v>9.300000000000001E-3</v>
      </c>
      <c r="R30" s="2383"/>
      <c r="S30" s="2391">
        <f>B30/B31-1</f>
        <v>5.9040261127922822E-3</v>
      </c>
      <c r="T30" s="2392">
        <f>C30/C31-1</f>
        <v>5.9752176557332781E-3</v>
      </c>
      <c r="U30" s="2392">
        <f>E30/E31-1</f>
        <v>4.9906138119859556E-3</v>
      </c>
      <c r="V30" s="2392">
        <f>F30/F31-1</f>
        <v>9.4305450930933787E-3</v>
      </c>
      <c r="X30" s="2355">
        <f>ROUND(SUMPRODUCT(PRODUCT(1+N30:N$33)),4)</f>
        <v>1.0399</v>
      </c>
      <c r="Y30" s="2355">
        <f>ROUND(SUMPRODUCT(PRODUCT(1+O30:O$33)),4)</f>
        <v>1.0451999999999999</v>
      </c>
      <c r="Z30" s="2355">
        <f t="shared" si="0"/>
        <v>1.0451999999999999</v>
      </c>
      <c r="AA30" s="2355">
        <f>ROUND(SUMPRODUCT(PRODUCT(1+P30:P$33)),4)</f>
        <v>1.0387999999999999</v>
      </c>
      <c r="AB30" s="2355">
        <f>ROUND(SUMPRODUCT(PRODUCT(1+Q30:Q$33)),4)</f>
        <v>1.0411999999999999</v>
      </c>
      <c r="AD30" s="2356">
        <f>ROUND(AVERAGE(I30:I$34)/100,4)</f>
        <v>1.38E-2</v>
      </c>
      <c r="AE30" s="2356">
        <f>ROUND(AVERAGE(J30:J$34)/100,4)</f>
        <v>1.3599999999999999E-2</v>
      </c>
      <c r="AF30" s="2356">
        <f t="shared" si="159"/>
        <v>1.3599999999999999E-2</v>
      </c>
      <c r="AG30" s="2356">
        <f>ROUND(AVERAGE(K30:K$34)/100,4)</f>
        <v>1.4200000000000001E-2</v>
      </c>
      <c r="AH30" s="2356">
        <f>ROUND(AVERAGE(L30:L$34)/100,4)</f>
        <v>1.0800000000000001E-2</v>
      </c>
    </row>
    <row r="31" spans="1:34" ht="13.5" thickBot="1">
      <c r="A31" s="2369" t="s">
        <v>97</v>
      </c>
      <c r="B31" s="2401">
        <v>318</v>
      </c>
      <c r="C31" s="2401">
        <v>268</v>
      </c>
      <c r="D31" s="2401">
        <f t="shared" si="161"/>
        <v>268</v>
      </c>
      <c r="E31" s="2401">
        <v>437</v>
      </c>
      <c r="F31" s="2402">
        <v>237</v>
      </c>
      <c r="G31" s="3549">
        <v>2014</v>
      </c>
      <c r="H31" s="2396">
        <v>4</v>
      </c>
      <c r="I31" s="2396">
        <v>0.21</v>
      </c>
      <c r="J31" s="2396">
        <v>0.41</v>
      </c>
      <c r="K31" s="2396">
        <v>0.12</v>
      </c>
      <c r="L31" s="2397">
        <v>0.89</v>
      </c>
      <c r="N31" s="2387">
        <f t="shared" si="163"/>
        <v>2.0999999999999999E-3</v>
      </c>
      <c r="O31" s="2356">
        <f t="shared" si="158"/>
        <v>4.0999999999999995E-3</v>
      </c>
      <c r="P31" s="2356">
        <f t="shared" si="158"/>
        <v>1.1999999999999999E-3</v>
      </c>
      <c r="Q31" s="2356">
        <f t="shared" si="158"/>
        <v>8.8999999999999999E-3</v>
      </c>
      <c r="R31" s="2383"/>
      <c r="S31" s="2384"/>
      <c r="T31" s="2385"/>
      <c r="U31" s="2385"/>
      <c r="V31" s="2385"/>
      <c r="X31" s="2355">
        <f>ROUND(SUMPRODUCT(PRODUCT(1+N31:N$33)),4)</f>
        <v>1.0347</v>
      </c>
      <c r="Y31" s="2355">
        <f>ROUND(SUMPRODUCT(PRODUCT(1+O31:O$33)),4)</f>
        <v>1.0395000000000001</v>
      </c>
      <c r="Z31" s="2355">
        <f t="shared" si="0"/>
        <v>1.0395000000000001</v>
      </c>
      <c r="AA31" s="2355">
        <f>ROUND(SUMPRODUCT(PRODUCT(1+P31:P$33)),4)</f>
        <v>1.0338000000000001</v>
      </c>
      <c r="AB31" s="2355">
        <f>ROUND(SUMPRODUCT(PRODUCT(1+Q31:Q$33)),4)</f>
        <v>1.0316000000000001</v>
      </c>
      <c r="AD31" s="2356">
        <f>ROUND(AVERAGE(I31:I$34)/100,4)</f>
        <v>1.6E-2</v>
      </c>
      <c r="AE31" s="2356">
        <f>ROUND(AVERAGE(J31:J$34)/100,4)</f>
        <v>1.5599999999999999E-2</v>
      </c>
      <c r="AF31" s="2356">
        <f t="shared" si="159"/>
        <v>1.5599999999999999E-2</v>
      </c>
      <c r="AG31" s="2356">
        <f>ROUND(AVERAGE(K31:K$34)/100,4)</f>
        <v>1.66E-2</v>
      </c>
      <c r="AH31" s="2356">
        <f>ROUND(AVERAGE(L31:L$34)/100,4)</f>
        <v>1.12E-2</v>
      </c>
    </row>
    <row r="32" spans="1:34">
      <c r="A32" s="2369" t="s">
        <v>96</v>
      </c>
      <c r="B32" s="2386">
        <f t="shared" ref="B32:C34" si="166">B31/(1+N31)</f>
        <v>317.33359944117353</v>
      </c>
      <c r="C32" s="2386">
        <f t="shared" si="166"/>
        <v>266.90568668459315</v>
      </c>
      <c r="D32" s="2386">
        <f t="shared" si="161"/>
        <v>266.90568668459315</v>
      </c>
      <c r="E32" s="2386">
        <f t="shared" ref="E32:F34" si="167">E31/(1+P31)</f>
        <v>436.47622852576905</v>
      </c>
      <c r="F32" s="2386">
        <f t="shared" si="167"/>
        <v>234.90930716622066</v>
      </c>
      <c r="G32" s="3550"/>
      <c r="H32" s="2403">
        <v>3</v>
      </c>
      <c r="I32" s="2403">
        <v>0.83</v>
      </c>
      <c r="J32" s="2403">
        <v>1.47</v>
      </c>
      <c r="K32" s="2403">
        <v>0.65</v>
      </c>
      <c r="L32" s="2404">
        <v>0.72</v>
      </c>
      <c r="N32" s="2387">
        <f t="shared" si="163"/>
        <v>8.3000000000000001E-3</v>
      </c>
      <c r="O32" s="2356">
        <f t="shared" si="158"/>
        <v>1.47E-2</v>
      </c>
      <c r="P32" s="2356">
        <f t="shared" si="158"/>
        <v>6.5000000000000006E-3</v>
      </c>
      <c r="Q32" s="2356">
        <f t="shared" si="158"/>
        <v>7.1999999999999998E-3</v>
      </c>
      <c r="R32" s="2383"/>
      <c r="S32" s="2387"/>
      <c r="T32" s="2356"/>
      <c r="U32" s="2356"/>
      <c r="V32" s="2356"/>
      <c r="X32" s="2355">
        <f>ROUND(SUMPRODUCT(PRODUCT(1+N32:N$33)),4)</f>
        <v>1.0325</v>
      </c>
      <c r="Y32" s="2355">
        <f>ROUND(SUMPRODUCT(PRODUCT(1+O32:O$33)),4)</f>
        <v>1.0353000000000001</v>
      </c>
      <c r="Z32" s="2355">
        <f t="shared" ref="Z32:Z33" si="168">Y32</f>
        <v>1.0353000000000001</v>
      </c>
      <c r="AA32" s="2355">
        <f>ROUND(SUMPRODUCT(PRODUCT(1+P32:P$33)),4)</f>
        <v>1.0326</v>
      </c>
      <c r="AB32" s="2355">
        <f>ROUND(SUMPRODUCT(PRODUCT(1+Q32:Q$33)),4)</f>
        <v>1.0225</v>
      </c>
      <c r="AD32" s="2356">
        <f>ROUND(AVERAGE(I32:I$34)/100,4)</f>
        <v>2.07E-2</v>
      </c>
      <c r="AE32" s="2356">
        <f>ROUND(AVERAGE(J32:J$34)/100,4)</f>
        <v>1.95E-2</v>
      </c>
      <c r="AF32" s="2356">
        <f t="shared" si="159"/>
        <v>1.95E-2</v>
      </c>
      <c r="AG32" s="2356">
        <f>ROUND(AVERAGE(K32:K$34)/100,4)</f>
        <v>2.1700000000000001E-2</v>
      </c>
      <c r="AH32" s="2356">
        <f>ROUND(AVERAGE(L32:L$34)/100,4)</f>
        <v>1.2E-2</v>
      </c>
    </row>
    <row r="33" spans="1:34" ht="13.5" thickBot="1">
      <c r="A33" s="2369" t="s">
        <v>95</v>
      </c>
      <c r="B33" s="2386">
        <f t="shared" si="166"/>
        <v>314.72141172386546</v>
      </c>
      <c r="C33" s="2386">
        <f t="shared" si="166"/>
        <v>263.03901319069001</v>
      </c>
      <c r="D33" s="2386">
        <f t="shared" si="161"/>
        <v>263.03901319069001</v>
      </c>
      <c r="E33" s="2386">
        <f t="shared" si="167"/>
        <v>433.65745506782821</v>
      </c>
      <c r="F33" s="2386">
        <f t="shared" si="167"/>
        <v>233.23005080045735</v>
      </c>
      <c r="G33" s="3550"/>
      <c r="H33" s="2396">
        <v>2</v>
      </c>
      <c r="I33" s="2396">
        <v>2.4</v>
      </c>
      <c r="J33" s="2396">
        <v>2.0299999999999998</v>
      </c>
      <c r="K33" s="2396">
        <v>2.59</v>
      </c>
      <c r="L33" s="2397">
        <v>1.52</v>
      </c>
      <c r="N33" s="2387">
        <f t="shared" si="163"/>
        <v>2.4E-2</v>
      </c>
      <c r="O33" s="2356">
        <f t="shared" si="158"/>
        <v>2.0299999999999999E-2</v>
      </c>
      <c r="P33" s="2356">
        <f t="shared" si="158"/>
        <v>2.5899999999999999E-2</v>
      </c>
      <c r="Q33" s="2356">
        <f t="shared" si="158"/>
        <v>1.52E-2</v>
      </c>
      <c r="R33" s="2383"/>
      <c r="S33" s="2387"/>
      <c r="T33" s="2356"/>
      <c r="U33" s="2356"/>
      <c r="V33" s="2356"/>
      <c r="X33" s="2355">
        <f>1+N33</f>
        <v>1.024</v>
      </c>
      <c r="Y33" s="2355">
        <f>1+O33</f>
        <v>1.0203</v>
      </c>
      <c r="Z33" s="2355">
        <f t="shared" si="168"/>
        <v>1.0203</v>
      </c>
      <c r="AA33" s="2355">
        <f>1+P33</f>
        <v>1.0259</v>
      </c>
      <c r="AB33" s="2355">
        <f>1+Q33</f>
        <v>1.0152000000000001</v>
      </c>
      <c r="AD33" s="2356">
        <f>ROUND(AVERAGE(I33:I$34)/100,4)</f>
        <v>2.69E-2</v>
      </c>
      <c r="AE33" s="2356">
        <f>ROUND(AVERAGE(J33:J$34)/100,4)</f>
        <v>2.1899999999999999E-2</v>
      </c>
      <c r="AF33" s="2356">
        <f t="shared" ref="AF33" si="169">AE33</f>
        <v>2.1899999999999999E-2</v>
      </c>
      <c r="AG33" s="2356">
        <f>ROUND(AVERAGE(K33:K$34)/100,4)</f>
        <v>2.9399999999999999E-2</v>
      </c>
      <c r="AH33" s="2356">
        <f>ROUND(AVERAGE(L33:L$34)/100,4)</f>
        <v>1.44E-2</v>
      </c>
    </row>
    <row r="34" spans="1:34" s="2409" customFormat="1" ht="13.5" thickBot="1">
      <c r="A34" s="2405" t="s">
        <v>94</v>
      </c>
      <c r="B34" s="2406">
        <f t="shared" si="166"/>
        <v>307.34512863658733</v>
      </c>
      <c r="C34" s="2406">
        <f t="shared" si="166"/>
        <v>257.80556031626975</v>
      </c>
      <c r="D34" s="2406">
        <f t="shared" si="161"/>
        <v>257.80556031626975</v>
      </c>
      <c r="E34" s="2406">
        <f t="shared" si="167"/>
        <v>422.70928459677179</v>
      </c>
      <c r="F34" s="2406">
        <f t="shared" si="167"/>
        <v>229.73803270336617</v>
      </c>
      <c r="G34" s="3551"/>
      <c r="H34" s="2407">
        <v>1</v>
      </c>
      <c r="I34" s="2407">
        <v>2.97</v>
      </c>
      <c r="J34" s="2407">
        <v>2.34</v>
      </c>
      <c r="K34" s="2407">
        <v>3.28</v>
      </c>
      <c r="L34" s="2408">
        <v>1.36</v>
      </c>
      <c r="N34" s="2410">
        <f t="shared" si="163"/>
        <v>2.9700000000000001E-2</v>
      </c>
      <c r="O34" s="2411">
        <f t="shared" si="158"/>
        <v>2.3399999999999997E-2</v>
      </c>
      <c r="P34" s="2411">
        <f t="shared" si="158"/>
        <v>3.2799999999999996E-2</v>
      </c>
      <c r="Q34" s="2411">
        <f t="shared" si="158"/>
        <v>1.3600000000000001E-2</v>
      </c>
      <c r="R34" s="2412"/>
      <c r="S34" s="2413">
        <f>B34/B35-1</f>
        <v>2.7910129219355539E-2</v>
      </c>
      <c r="T34" s="2414">
        <f>C34/C35-1</f>
        <v>2.3037937762975247E-2</v>
      </c>
      <c r="U34" s="2414">
        <f>E34/E35-1</f>
        <v>3.3519033243940788E-2</v>
      </c>
      <c r="V34" s="2414">
        <f>F34/F35-1</f>
        <v>1.2061818076502862E-2</v>
      </c>
      <c r="W34" s="2415" t="s">
        <v>1205</v>
      </c>
      <c r="X34" s="2416">
        <v>1</v>
      </c>
      <c r="Y34" s="2416">
        <v>1</v>
      </c>
      <c r="Z34" s="2416">
        <v>1</v>
      </c>
      <c r="AA34" s="2416">
        <v>1</v>
      </c>
      <c r="AB34" s="2416">
        <v>1</v>
      </c>
      <c r="AD34" s="2411">
        <f>I34/100</f>
        <v>2.9700000000000001E-2</v>
      </c>
      <c r="AE34" s="2411">
        <f>J34/100</f>
        <v>2.3399999999999997E-2</v>
      </c>
      <c r="AF34" s="2411">
        <f>AE34</f>
        <v>2.3399999999999997E-2</v>
      </c>
      <c r="AG34" s="2411">
        <f>K34/100</f>
        <v>3.2799999999999996E-2</v>
      </c>
      <c r="AH34" s="2411">
        <f>L34/100</f>
        <v>1.3600000000000001E-2</v>
      </c>
    </row>
    <row r="35" spans="1:34" ht="13.5" thickBot="1">
      <c r="A35" s="2369" t="s">
        <v>1038</v>
      </c>
      <c r="B35" s="2379">
        <v>299</v>
      </c>
      <c r="C35" s="2379">
        <v>252</v>
      </c>
      <c r="D35" s="2379">
        <f t="shared" si="161"/>
        <v>252</v>
      </c>
      <c r="E35" s="2379">
        <v>409</v>
      </c>
      <c r="F35" s="2380">
        <v>227</v>
      </c>
      <c r="G35" s="3554">
        <v>2013</v>
      </c>
      <c r="H35" s="2417">
        <v>4</v>
      </c>
      <c r="I35" s="2417">
        <v>1.83</v>
      </c>
      <c r="J35" s="2417">
        <v>1.68</v>
      </c>
      <c r="K35" s="2417">
        <v>1.97</v>
      </c>
      <c r="L35" s="2418">
        <v>0.87</v>
      </c>
      <c r="N35" s="2381">
        <f t="shared" si="163"/>
        <v>1.83E-2</v>
      </c>
      <c r="O35" s="2382">
        <f t="shared" si="158"/>
        <v>1.6799999999999999E-2</v>
      </c>
      <c r="P35" s="2382">
        <f t="shared" si="158"/>
        <v>1.9699999999999999E-2</v>
      </c>
      <c r="Q35" s="2382">
        <f t="shared" si="158"/>
        <v>8.6999999999999994E-3</v>
      </c>
      <c r="R35" s="2383"/>
      <c r="S35" s="2384"/>
      <c r="T35" s="2385"/>
      <c r="U35" s="2385"/>
      <c r="V35" s="2385"/>
      <c r="X35" s="2385"/>
      <c r="Y35" s="2385"/>
      <c r="Z35" s="2385"/>
    </row>
    <row r="36" spans="1:34">
      <c r="A36" s="2369" t="s">
        <v>1039</v>
      </c>
      <c r="B36" s="2386">
        <f t="shared" ref="B36:C38" si="170">B35/(1+N35)</f>
        <v>293.62663262299913</v>
      </c>
      <c r="C36" s="2386">
        <f t="shared" si="170"/>
        <v>247.83634933123525</v>
      </c>
      <c r="D36" s="2386">
        <f t="shared" si="161"/>
        <v>247.83634933123525</v>
      </c>
      <c r="E36" s="2386">
        <f t="shared" ref="E36:F38" si="171">E35/(1+P35)</f>
        <v>401.09836226341076</v>
      </c>
      <c r="F36" s="2386">
        <f t="shared" si="171"/>
        <v>225.04213343908003</v>
      </c>
      <c r="G36" s="3555"/>
      <c r="H36" s="2399">
        <v>3</v>
      </c>
      <c r="I36" s="2399">
        <v>1.86</v>
      </c>
      <c r="J36" s="2399">
        <v>1.72</v>
      </c>
      <c r="K36" s="2399">
        <v>1.98</v>
      </c>
      <c r="L36" s="2400">
        <v>0.88</v>
      </c>
      <c r="N36" s="2387">
        <f t="shared" si="163"/>
        <v>1.8600000000000002E-2</v>
      </c>
      <c r="O36" s="2393">
        <f t="shared" si="158"/>
        <v>1.72E-2</v>
      </c>
      <c r="P36" s="2393">
        <f t="shared" si="158"/>
        <v>1.9799999999999998E-2</v>
      </c>
      <c r="Q36" s="2393">
        <f t="shared" si="158"/>
        <v>8.8000000000000005E-3</v>
      </c>
      <c r="R36" s="2383"/>
      <c r="S36" s="2387"/>
      <c r="T36" s="2356"/>
      <c r="U36" s="2356"/>
      <c r="V36" s="2356"/>
    </row>
    <row r="37" spans="1:34">
      <c r="A37" s="2369" t="s">
        <v>1040</v>
      </c>
      <c r="B37" s="2386">
        <f t="shared" si="170"/>
        <v>288.2649053828776</v>
      </c>
      <c r="C37" s="2386">
        <f t="shared" si="170"/>
        <v>243.64564425013293</v>
      </c>
      <c r="D37" s="2386">
        <f t="shared" si="161"/>
        <v>243.64564425013293</v>
      </c>
      <c r="E37" s="2386">
        <f t="shared" si="171"/>
        <v>393.31080825986544</v>
      </c>
      <c r="F37" s="2386">
        <f t="shared" si="171"/>
        <v>223.07903790551154</v>
      </c>
      <c r="G37" s="3555"/>
      <c r="H37" s="2389">
        <v>2</v>
      </c>
      <c r="I37" s="2389">
        <v>2.04</v>
      </c>
      <c r="J37" s="2389">
        <v>2.33</v>
      </c>
      <c r="K37" s="2389">
        <v>2.0699999999999998</v>
      </c>
      <c r="L37" s="2390">
        <v>0.69</v>
      </c>
      <c r="N37" s="2387">
        <f t="shared" si="163"/>
        <v>2.0400000000000001E-2</v>
      </c>
      <c r="O37" s="2393">
        <f t="shared" si="158"/>
        <v>2.3300000000000001E-2</v>
      </c>
      <c r="P37" s="2393">
        <f t="shared" si="158"/>
        <v>2.07E-2</v>
      </c>
      <c r="Q37" s="2393">
        <f t="shared" si="158"/>
        <v>6.8999999999999999E-3</v>
      </c>
      <c r="R37" s="2383"/>
      <c r="S37" s="2387"/>
      <c r="T37" s="2356"/>
      <c r="U37" s="2356"/>
      <c r="V37" s="2356"/>
      <c r="X37" s="2419"/>
      <c r="Y37" s="2420"/>
    </row>
    <row r="38" spans="1:34">
      <c r="A38" s="2369" t="s">
        <v>1041</v>
      </c>
      <c r="B38" s="2386">
        <f t="shared" si="170"/>
        <v>282.50186729015837</v>
      </c>
      <c r="C38" s="2386">
        <f t="shared" si="170"/>
        <v>238.09796174155468</v>
      </c>
      <c r="D38" s="2386">
        <f t="shared" si="161"/>
        <v>238.09796174155468</v>
      </c>
      <c r="E38" s="2386">
        <f t="shared" si="171"/>
        <v>385.33438646014054</v>
      </c>
      <c r="F38" s="2386">
        <f t="shared" si="171"/>
        <v>221.55034055567739</v>
      </c>
      <c r="G38" s="3556"/>
      <c r="H38" s="2371">
        <v>1</v>
      </c>
      <c r="I38" s="2371">
        <v>1.67</v>
      </c>
      <c r="J38" s="2371">
        <v>1.31</v>
      </c>
      <c r="K38" s="2371">
        <v>1.85</v>
      </c>
      <c r="L38" s="2372">
        <v>0.96</v>
      </c>
      <c r="N38" s="2391">
        <f t="shared" si="163"/>
        <v>1.67E-2</v>
      </c>
      <c r="O38" s="2392">
        <f t="shared" si="163"/>
        <v>1.3100000000000001E-2</v>
      </c>
      <c r="P38" s="2392">
        <f t="shared" si="163"/>
        <v>1.8500000000000003E-2</v>
      </c>
      <c r="Q38" s="2392">
        <f t="shared" si="163"/>
        <v>9.5999999999999992E-3</v>
      </c>
      <c r="R38" s="2383"/>
      <c r="S38" s="2391">
        <f>B38/B39-1</f>
        <v>1.6193767230785472E-2</v>
      </c>
      <c r="T38" s="2392">
        <f>C38/C39-1</f>
        <v>1.7512657015190891E-2</v>
      </c>
      <c r="U38" s="2392">
        <f>E38/E39-1</f>
        <v>1.6713420739157048E-2</v>
      </c>
      <c r="V38" s="2392">
        <f>F38/F39-1</f>
        <v>7.0470025258062563E-3</v>
      </c>
      <c r="X38" s="2421"/>
      <c r="Y38" s="2356"/>
      <c r="Z38" s="2356"/>
    </row>
    <row r="39" spans="1:34" ht="13.5" thickBot="1">
      <c r="A39" s="2369" t="s">
        <v>1042</v>
      </c>
      <c r="B39" s="2422">
        <v>278</v>
      </c>
      <c r="C39" s="2422">
        <v>234</v>
      </c>
      <c r="D39" s="2422">
        <f t="shared" si="161"/>
        <v>234</v>
      </c>
      <c r="E39" s="2422">
        <v>379</v>
      </c>
      <c r="F39" s="2423">
        <v>220</v>
      </c>
      <c r="G39" s="3549">
        <v>2012</v>
      </c>
      <c r="H39" s="2396">
        <v>4</v>
      </c>
      <c r="I39" s="2396">
        <v>0.91</v>
      </c>
      <c r="J39" s="2396">
        <v>0.68</v>
      </c>
      <c r="K39" s="2396">
        <v>0.98</v>
      </c>
      <c r="L39" s="2397">
        <v>0.9</v>
      </c>
      <c r="N39" s="2387">
        <f t="shared" si="163"/>
        <v>9.1000000000000004E-3</v>
      </c>
      <c r="O39" s="2356">
        <f t="shared" si="163"/>
        <v>6.8000000000000005E-3</v>
      </c>
      <c r="P39" s="2356">
        <f t="shared" si="163"/>
        <v>9.7999999999999997E-3</v>
      </c>
      <c r="Q39" s="2356">
        <f t="shared" si="163"/>
        <v>9.0000000000000011E-3</v>
      </c>
      <c r="R39" s="2383"/>
      <c r="S39" s="2384"/>
      <c r="T39" s="2385"/>
      <c r="U39" s="2385"/>
      <c r="V39" s="2385"/>
      <c r="X39" s="2385"/>
      <c r="Y39" s="2385"/>
      <c r="Z39" s="2385"/>
    </row>
    <row r="40" spans="1:34">
      <c r="A40" s="2369" t="s">
        <v>1043</v>
      </c>
      <c r="B40" s="2386">
        <f>B39/(1+N39)</f>
        <v>275.49301357645425</v>
      </c>
      <c r="C40" s="2386">
        <f>C39/(1+O39)</f>
        <v>232.41954707985698</v>
      </c>
      <c r="D40" s="2386">
        <f t="shared" si="161"/>
        <v>232.41954707985698</v>
      </c>
      <c r="E40" s="2386">
        <f t="shared" ref="E40:F42" si="172">E39/(1+P39)</f>
        <v>375.32184591008121</v>
      </c>
      <c r="F40" s="2386">
        <f t="shared" si="172"/>
        <v>218.03766105054513</v>
      </c>
      <c r="G40" s="3550"/>
      <c r="H40" s="2399">
        <v>3</v>
      </c>
      <c r="I40" s="2399">
        <v>0.09</v>
      </c>
      <c r="J40" s="2399">
        <v>0.28999999999999998</v>
      </c>
      <c r="K40" s="2399">
        <v>-0.01</v>
      </c>
      <c r="L40" s="2400">
        <v>0.57999999999999996</v>
      </c>
      <c r="N40" s="2387">
        <f t="shared" si="163"/>
        <v>8.9999999999999998E-4</v>
      </c>
      <c r="O40" s="2356">
        <f t="shared" si="163"/>
        <v>2.8999999999999998E-3</v>
      </c>
      <c r="P40" s="2356">
        <f t="shared" si="163"/>
        <v>-1E-4</v>
      </c>
      <c r="Q40" s="2356">
        <f t="shared" si="163"/>
        <v>5.7999999999999996E-3</v>
      </c>
      <c r="R40" s="2383"/>
      <c r="S40" s="2387"/>
      <c r="T40" s="2356"/>
      <c r="U40" s="2356"/>
      <c r="V40" s="2356"/>
    </row>
    <row r="41" spans="1:34">
      <c r="A41" s="2369" t="s">
        <v>1044</v>
      </c>
      <c r="B41" s="2386">
        <f>B40/(1+N40)</f>
        <v>275.24529281292263</v>
      </c>
      <c r="C41" s="2386">
        <f>C40/(1+O40)</f>
        <v>231.74747938962707</v>
      </c>
      <c r="D41" s="2386">
        <f t="shared" si="161"/>
        <v>231.74747938962707</v>
      </c>
      <c r="E41" s="2386">
        <f t="shared" si="172"/>
        <v>375.35938184826603</v>
      </c>
      <c r="F41" s="2386">
        <f t="shared" si="172"/>
        <v>216.78033510692495</v>
      </c>
      <c r="G41" s="3550"/>
      <c r="H41" s="2389">
        <v>2</v>
      </c>
      <c r="I41" s="2389">
        <v>0.02</v>
      </c>
      <c r="J41" s="2389">
        <v>0.12</v>
      </c>
      <c r="K41" s="2389">
        <v>-0.08</v>
      </c>
      <c r="L41" s="2390">
        <v>1.24</v>
      </c>
      <c r="N41" s="2387">
        <f t="shared" si="163"/>
        <v>2.0000000000000001E-4</v>
      </c>
      <c r="O41" s="2356">
        <f t="shared" si="163"/>
        <v>1.1999999999999999E-3</v>
      </c>
      <c r="P41" s="2356">
        <f t="shared" si="163"/>
        <v>-8.0000000000000004E-4</v>
      </c>
      <c r="Q41" s="2356">
        <f t="shared" si="163"/>
        <v>1.24E-2</v>
      </c>
      <c r="R41" s="2383"/>
      <c r="S41" s="2387"/>
      <c r="T41" s="2356"/>
      <c r="U41" s="2356"/>
      <c r="V41" s="2356"/>
    </row>
    <row r="42" spans="1:34" ht="13.5" thickBot="1">
      <c r="A42" s="2369" t="s">
        <v>1045</v>
      </c>
      <c r="B42" s="2386">
        <f>B41/(1+N41)</f>
        <v>275.19025476197027</v>
      </c>
      <c r="C42" s="2424">
        <v>232</v>
      </c>
      <c r="D42" s="2424">
        <f t="shared" si="161"/>
        <v>232</v>
      </c>
      <c r="E42" s="2386">
        <f t="shared" si="172"/>
        <v>375.65990977608692</v>
      </c>
      <c r="F42" s="2386">
        <f t="shared" si="172"/>
        <v>214.12518283971252</v>
      </c>
      <c r="G42" s="3551"/>
      <c r="H42" s="2371">
        <v>1</v>
      </c>
      <c r="I42" s="2371">
        <v>0.02</v>
      </c>
      <c r="J42" s="2371">
        <v>0.13</v>
      </c>
      <c r="K42" s="2371">
        <v>-0.04</v>
      </c>
      <c r="L42" s="2372">
        <v>0.46</v>
      </c>
      <c r="N42" s="2387">
        <f t="shared" si="163"/>
        <v>2.0000000000000001E-4</v>
      </c>
      <c r="O42" s="2356">
        <f t="shared" si="163"/>
        <v>1.2999999999999999E-3</v>
      </c>
      <c r="P42" s="2356">
        <f t="shared" si="163"/>
        <v>-4.0000000000000002E-4</v>
      </c>
      <c r="Q42" s="2356">
        <f t="shared" si="163"/>
        <v>4.5999999999999999E-3</v>
      </c>
      <c r="R42" s="2383"/>
      <c r="S42" s="2391">
        <f>B42/B43-1</f>
        <v>6.9183549807361189E-4</v>
      </c>
      <c r="T42" s="2392">
        <f>C42/C43-1</f>
        <v>0</v>
      </c>
      <c r="U42" s="2392">
        <f>E42/E43-1</f>
        <v>-9.0449527636460303E-4</v>
      </c>
      <c r="V42" s="2392">
        <f>F42/F43-1</f>
        <v>5.2825485432512753E-3</v>
      </c>
      <c r="X42" s="2356"/>
      <c r="Y42" s="2356"/>
      <c r="Z42" s="2356"/>
    </row>
    <row r="43" spans="1:34" ht="13.5" thickBot="1">
      <c r="A43" s="2369" t="s">
        <v>1046</v>
      </c>
      <c r="B43" s="2379">
        <v>275</v>
      </c>
      <c r="C43" s="2379">
        <v>232</v>
      </c>
      <c r="D43" s="2379">
        <f t="shared" si="161"/>
        <v>232</v>
      </c>
      <c r="E43" s="2379">
        <v>376</v>
      </c>
      <c r="F43" s="2380">
        <v>213</v>
      </c>
      <c r="G43" s="3549">
        <v>2011</v>
      </c>
      <c r="H43" s="2396">
        <v>4</v>
      </c>
      <c r="I43" s="2396">
        <v>-0.2</v>
      </c>
      <c r="J43" s="2396">
        <v>0.04</v>
      </c>
      <c r="K43" s="2396">
        <v>-0.34</v>
      </c>
      <c r="L43" s="2397">
        <v>0.46</v>
      </c>
      <c r="N43" s="2381">
        <f t="shared" si="163"/>
        <v>-2E-3</v>
      </c>
      <c r="O43" s="2382">
        <f t="shared" si="163"/>
        <v>4.0000000000000002E-4</v>
      </c>
      <c r="P43" s="2382">
        <f t="shared" si="163"/>
        <v>-3.4000000000000002E-3</v>
      </c>
      <c r="Q43" s="2382">
        <f t="shared" si="163"/>
        <v>4.5999999999999999E-3</v>
      </c>
      <c r="R43" s="2383"/>
      <c r="S43" s="2384"/>
      <c r="T43" s="2385"/>
      <c r="U43" s="2385"/>
      <c r="V43" s="2385"/>
      <c r="X43" s="2385"/>
      <c r="Y43" s="2385"/>
      <c r="Z43" s="2385"/>
    </row>
    <row r="44" spans="1:34">
      <c r="A44" s="2369" t="s">
        <v>1047</v>
      </c>
      <c r="B44" s="2386">
        <f t="shared" ref="B44:C46" si="173">B43/(1+N43)</f>
        <v>275.55110220440883</v>
      </c>
      <c r="C44" s="2386">
        <f t="shared" si="173"/>
        <v>231.90723710515795</v>
      </c>
      <c r="D44" s="2386">
        <f t="shared" si="161"/>
        <v>231.90723710515795</v>
      </c>
      <c r="E44" s="2386">
        <f t="shared" ref="E44:F46" si="174">E43/(1+P43)</f>
        <v>377.28276138872161</v>
      </c>
      <c r="F44" s="2386">
        <f t="shared" si="174"/>
        <v>212.02468644236512</v>
      </c>
      <c r="G44" s="3550">
        <v>2011</v>
      </c>
      <c r="H44" s="2399">
        <v>3</v>
      </c>
      <c r="I44" s="2399">
        <v>0.13</v>
      </c>
      <c r="J44" s="2399">
        <v>0.75</v>
      </c>
      <c r="K44" s="2399">
        <v>-0.08</v>
      </c>
      <c r="L44" s="2400">
        <v>0.53</v>
      </c>
      <c r="N44" s="2387">
        <f t="shared" si="163"/>
        <v>1.2999999999999999E-3</v>
      </c>
      <c r="O44" s="2393">
        <f t="shared" si="163"/>
        <v>7.4999999999999997E-3</v>
      </c>
      <c r="P44" s="2393">
        <f t="shared" si="163"/>
        <v>-8.0000000000000004E-4</v>
      </c>
      <c r="Q44" s="2393">
        <f t="shared" si="163"/>
        <v>5.3E-3</v>
      </c>
      <c r="R44" s="2383"/>
      <c r="S44" s="2387"/>
      <c r="T44" s="2356"/>
      <c r="U44" s="2356"/>
      <c r="V44" s="2356"/>
    </row>
    <row r="45" spans="1:34">
      <c r="A45" s="2369" t="s">
        <v>1048</v>
      </c>
      <c r="B45" s="2386">
        <f t="shared" si="173"/>
        <v>275.19335084830601</v>
      </c>
      <c r="C45" s="2386">
        <f t="shared" si="173"/>
        <v>230.18088050139744</v>
      </c>
      <c r="D45" s="2386">
        <f t="shared" si="161"/>
        <v>230.18088050139744</v>
      </c>
      <c r="E45" s="2386">
        <f t="shared" si="174"/>
        <v>377.58482925212331</v>
      </c>
      <c r="F45" s="2386">
        <f t="shared" si="174"/>
        <v>210.90687997847917</v>
      </c>
      <c r="G45" s="3550">
        <v>2011</v>
      </c>
      <c r="H45" s="2389">
        <v>2</v>
      </c>
      <c r="I45" s="2389">
        <v>-0.4</v>
      </c>
      <c r="J45" s="2389">
        <v>0.17</v>
      </c>
      <c r="K45" s="2389">
        <v>-0.57999999999999996</v>
      </c>
      <c r="L45" s="2390">
        <v>-0.2</v>
      </c>
      <c r="N45" s="2387">
        <f t="shared" si="163"/>
        <v>-4.0000000000000001E-3</v>
      </c>
      <c r="O45" s="2393">
        <f t="shared" si="163"/>
        <v>1.7000000000000001E-3</v>
      </c>
      <c r="P45" s="2393">
        <f t="shared" si="163"/>
        <v>-5.7999999999999996E-3</v>
      </c>
      <c r="Q45" s="2393">
        <f t="shared" si="163"/>
        <v>-2E-3</v>
      </c>
      <c r="R45" s="2383"/>
      <c r="S45" s="2387"/>
      <c r="T45" s="2356"/>
      <c r="U45" s="2356"/>
      <c r="V45" s="2356"/>
    </row>
    <row r="46" spans="1:34" ht="13.5" thickBot="1">
      <c r="A46" s="2369" t="s">
        <v>1049</v>
      </c>
      <c r="B46" s="2386">
        <f t="shared" si="173"/>
        <v>276.29854502841971</v>
      </c>
      <c r="C46" s="2386">
        <f t="shared" si="173"/>
        <v>229.79023709833027</v>
      </c>
      <c r="D46" s="2386">
        <f t="shared" si="161"/>
        <v>229.79023709833027</v>
      </c>
      <c r="E46" s="2386">
        <f t="shared" si="174"/>
        <v>379.78759731655936</v>
      </c>
      <c r="F46" s="2386">
        <f t="shared" si="174"/>
        <v>211.32953905659235</v>
      </c>
      <c r="G46" s="3551">
        <v>2011</v>
      </c>
      <c r="H46" s="2371">
        <v>1</v>
      </c>
      <c r="I46" s="2371">
        <v>2.65</v>
      </c>
      <c r="J46" s="2371">
        <v>3.76</v>
      </c>
      <c r="K46" s="2371">
        <v>1.89</v>
      </c>
      <c r="L46" s="2372">
        <v>7.95</v>
      </c>
      <c r="N46" s="2391">
        <f t="shared" si="163"/>
        <v>2.6499999999999999E-2</v>
      </c>
      <c r="O46" s="2392">
        <f t="shared" si="163"/>
        <v>3.7599999999999995E-2</v>
      </c>
      <c r="P46" s="2392">
        <f t="shared" si="163"/>
        <v>1.89E-2</v>
      </c>
      <c r="Q46" s="2392">
        <f t="shared" si="163"/>
        <v>7.9500000000000001E-2</v>
      </c>
      <c r="R46" s="2383"/>
      <c r="S46" s="2391">
        <f>B46/B47-1</f>
        <v>2.713213765211786E-2</v>
      </c>
      <c r="T46" s="2392">
        <f>C46/C47-1</f>
        <v>3.9774828499231862E-2</v>
      </c>
      <c r="U46" s="2392">
        <f>E46/E47-1</f>
        <v>1.8197311840641772E-2</v>
      </c>
      <c r="V46" s="2392">
        <f>F46/F47-1</f>
        <v>7.8211933962205826E-2</v>
      </c>
      <c r="X46" s="2356"/>
      <c r="Y46" s="2356"/>
      <c r="Z46" s="2356"/>
    </row>
    <row r="47" spans="1:34" ht="13.5" thickBot="1">
      <c r="A47" s="2369" t="s">
        <v>1050</v>
      </c>
      <c r="B47" s="2379">
        <v>269</v>
      </c>
      <c r="C47" s="2379">
        <v>221</v>
      </c>
      <c r="D47" s="2379">
        <f t="shared" si="161"/>
        <v>221</v>
      </c>
      <c r="E47" s="2379">
        <v>373</v>
      </c>
      <c r="F47" s="2380">
        <v>196</v>
      </c>
      <c r="G47" s="3549">
        <v>2010</v>
      </c>
      <c r="H47" s="2396">
        <v>4</v>
      </c>
      <c r="I47" s="2396">
        <v>5.72</v>
      </c>
      <c r="J47" s="2396">
        <v>6.57</v>
      </c>
      <c r="K47" s="2396">
        <v>5.72</v>
      </c>
      <c r="L47" s="2397">
        <v>2.72</v>
      </c>
      <c r="N47" s="2387">
        <f t="shared" si="163"/>
        <v>5.7200000000000001E-2</v>
      </c>
      <c r="O47" s="2356">
        <f t="shared" si="163"/>
        <v>6.5700000000000008E-2</v>
      </c>
      <c r="P47" s="2356">
        <f t="shared" si="163"/>
        <v>5.7200000000000001E-2</v>
      </c>
      <c r="Q47" s="2356">
        <f t="shared" si="163"/>
        <v>2.7200000000000002E-2</v>
      </c>
      <c r="R47" s="2383"/>
      <c r="S47" s="2384"/>
      <c r="T47" s="2385"/>
      <c r="U47" s="2385"/>
      <c r="V47" s="2385"/>
      <c r="X47" s="2385"/>
      <c r="Y47" s="2385"/>
      <c r="Z47" s="2385"/>
    </row>
    <row r="48" spans="1:34">
      <c r="A48" s="2369" t="s">
        <v>1051</v>
      </c>
      <c r="B48" s="2386">
        <f t="shared" ref="B48:C50" si="175">B47/(1+N47)</f>
        <v>254.44570563753314</v>
      </c>
      <c r="C48" s="2386">
        <f t="shared" si="175"/>
        <v>207.37543398705074</v>
      </c>
      <c r="D48" s="2386">
        <f t="shared" si="161"/>
        <v>207.37543398705074</v>
      </c>
      <c r="E48" s="2386">
        <f t="shared" ref="E48:F50" si="176">E47/(1+P47)</f>
        <v>352.81876655315932</v>
      </c>
      <c r="F48" s="2386">
        <f t="shared" si="176"/>
        <v>190.809968847352</v>
      </c>
      <c r="G48" s="3550">
        <v>2010</v>
      </c>
      <c r="H48" s="2399">
        <v>3</v>
      </c>
      <c r="I48" s="2399">
        <v>4.7300000000000004</v>
      </c>
      <c r="J48" s="2399">
        <v>3.9</v>
      </c>
      <c r="K48" s="2399">
        <v>5.03</v>
      </c>
      <c r="L48" s="2400">
        <v>4.21</v>
      </c>
      <c r="N48" s="2387">
        <f t="shared" si="163"/>
        <v>4.7300000000000002E-2</v>
      </c>
      <c r="O48" s="2356">
        <f t="shared" si="163"/>
        <v>3.9E-2</v>
      </c>
      <c r="P48" s="2356">
        <f t="shared" si="163"/>
        <v>5.0300000000000004E-2</v>
      </c>
      <c r="Q48" s="2356">
        <f t="shared" si="163"/>
        <v>4.2099999999999999E-2</v>
      </c>
      <c r="R48" s="2383"/>
      <c r="S48" s="2387"/>
      <c r="T48" s="2356"/>
      <c r="U48" s="2356"/>
      <c r="V48" s="2356"/>
    </row>
    <row r="49" spans="1:26">
      <c r="A49" s="2369" t="s">
        <v>1052</v>
      </c>
      <c r="B49" s="2386">
        <f t="shared" si="175"/>
        <v>242.95398227588385</v>
      </c>
      <c r="C49" s="2386">
        <f t="shared" si="175"/>
        <v>199.59137053614126</v>
      </c>
      <c r="D49" s="2386">
        <f t="shared" si="161"/>
        <v>199.59137053614126</v>
      </c>
      <c r="E49" s="2386">
        <f t="shared" si="176"/>
        <v>335.92189522342125</v>
      </c>
      <c r="F49" s="2386">
        <f t="shared" si="176"/>
        <v>183.10139991109489</v>
      </c>
      <c r="G49" s="3550">
        <v>2010</v>
      </c>
      <c r="H49" s="2389">
        <v>2</v>
      </c>
      <c r="I49" s="2389">
        <v>4.6900000000000004</v>
      </c>
      <c r="J49" s="2389">
        <v>3.55</v>
      </c>
      <c r="K49" s="2389">
        <v>5.07</v>
      </c>
      <c r="L49" s="2390">
        <v>4.2300000000000004</v>
      </c>
      <c r="N49" s="2387">
        <f t="shared" si="163"/>
        <v>4.6900000000000004E-2</v>
      </c>
      <c r="O49" s="2356">
        <f t="shared" si="163"/>
        <v>3.5499999999999997E-2</v>
      </c>
      <c r="P49" s="2356">
        <f t="shared" si="163"/>
        <v>5.0700000000000002E-2</v>
      </c>
      <c r="Q49" s="2356">
        <f t="shared" si="163"/>
        <v>4.2300000000000004E-2</v>
      </c>
      <c r="R49" s="2383"/>
      <c r="S49" s="2387"/>
      <c r="T49" s="2356"/>
      <c r="U49" s="2356"/>
      <c r="V49" s="2356"/>
    </row>
    <row r="50" spans="1:26" ht="13.5" thickBot="1">
      <c r="A50" s="2369" t="s">
        <v>1053</v>
      </c>
      <c r="B50" s="2386">
        <f t="shared" si="175"/>
        <v>232.06990378821649</v>
      </c>
      <c r="C50" s="2386">
        <f t="shared" si="175"/>
        <v>192.74878854286936</v>
      </c>
      <c r="D50" s="2386">
        <f t="shared" si="161"/>
        <v>192.74878854286936</v>
      </c>
      <c r="E50" s="2386">
        <f t="shared" si="176"/>
        <v>319.71247284992984</v>
      </c>
      <c r="F50" s="2386">
        <f t="shared" si="176"/>
        <v>175.67053622862409</v>
      </c>
      <c r="G50" s="3551">
        <v>2010</v>
      </c>
      <c r="H50" s="2371">
        <v>1</v>
      </c>
      <c r="I50" s="2371">
        <v>5.4</v>
      </c>
      <c r="J50" s="2371">
        <v>3.2</v>
      </c>
      <c r="K50" s="2371">
        <v>6.16</v>
      </c>
      <c r="L50" s="2372">
        <v>4.51</v>
      </c>
      <c r="N50" s="2387">
        <f t="shared" si="163"/>
        <v>5.4000000000000006E-2</v>
      </c>
      <c r="O50" s="2356">
        <f t="shared" si="163"/>
        <v>3.2000000000000001E-2</v>
      </c>
      <c r="P50" s="2356">
        <f t="shared" si="163"/>
        <v>6.1600000000000002E-2</v>
      </c>
      <c r="Q50" s="2356">
        <f t="shared" si="163"/>
        <v>4.5100000000000001E-2</v>
      </c>
      <c r="R50" s="2383"/>
      <c r="S50" s="2391">
        <f>B50/B51-1</f>
        <v>5.4863199037347599E-2</v>
      </c>
      <c r="T50" s="2392">
        <f>C50/C51-1</f>
        <v>3.0742184721226584E-2</v>
      </c>
      <c r="U50" s="2392">
        <f>E50/E51-1</f>
        <v>6.2167683886810154E-2</v>
      </c>
      <c r="V50" s="2392">
        <f>F50/F51-1</f>
        <v>4.5657953741810031E-2</v>
      </c>
      <c r="X50" s="2356"/>
      <c r="Y50" s="2356"/>
      <c r="Z50" s="2356"/>
    </row>
    <row r="51" spans="1:26" ht="13.5" thickBot="1">
      <c r="A51" s="2369" t="s">
        <v>1054</v>
      </c>
      <c r="B51" s="2379">
        <v>220</v>
      </c>
      <c r="C51" s="2379">
        <v>187</v>
      </c>
      <c r="D51" s="2379">
        <f t="shared" si="161"/>
        <v>187</v>
      </c>
      <c r="E51" s="2379">
        <v>301</v>
      </c>
      <c r="F51" s="2380">
        <v>168</v>
      </c>
      <c r="G51" s="3549">
        <v>2009</v>
      </c>
      <c r="H51" s="2396">
        <v>4</v>
      </c>
      <c r="I51" s="2396">
        <v>2.2999999999999998</v>
      </c>
      <c r="J51" s="2396">
        <v>1.04</v>
      </c>
      <c r="K51" s="2396">
        <v>2.84</v>
      </c>
      <c r="L51" s="2397">
        <v>0.67</v>
      </c>
      <c r="N51" s="2381">
        <f t="shared" si="163"/>
        <v>2.3E-2</v>
      </c>
      <c r="O51" s="2382">
        <f t="shared" si="163"/>
        <v>1.04E-2</v>
      </c>
      <c r="P51" s="2382">
        <f t="shared" si="163"/>
        <v>2.8399999999999998E-2</v>
      </c>
      <c r="Q51" s="2382">
        <f t="shared" si="163"/>
        <v>6.7000000000000002E-3</v>
      </c>
      <c r="R51" s="2383"/>
      <c r="S51" s="2384"/>
      <c r="T51" s="2385"/>
      <c r="U51" s="2385"/>
      <c r="V51" s="2385"/>
      <c r="X51" s="2385"/>
      <c r="Y51" s="2385"/>
      <c r="Z51" s="2385"/>
    </row>
    <row r="52" spans="1:26">
      <c r="A52" s="2369" t="s">
        <v>1055</v>
      </c>
      <c r="B52" s="2386">
        <f t="shared" ref="B52:C54" si="177">B51/(1+N51)</f>
        <v>215.05376344086022</v>
      </c>
      <c r="C52" s="2386">
        <f t="shared" si="177"/>
        <v>185.0752177355503</v>
      </c>
      <c r="D52" s="2386">
        <f t="shared" si="161"/>
        <v>185.0752177355503</v>
      </c>
      <c r="E52" s="2386">
        <f t="shared" ref="E52:F54" si="178">E51/(1+P51)</f>
        <v>292.68767016725008</v>
      </c>
      <c r="F52" s="2386">
        <f t="shared" si="178"/>
        <v>166.88189132810174</v>
      </c>
      <c r="G52" s="3550">
        <v>2009</v>
      </c>
      <c r="H52" s="2399">
        <v>3</v>
      </c>
      <c r="I52" s="2399">
        <v>2.1</v>
      </c>
      <c r="J52" s="2399">
        <v>1.86</v>
      </c>
      <c r="K52" s="2399">
        <v>2.29</v>
      </c>
      <c r="L52" s="2400">
        <v>0.85</v>
      </c>
      <c r="N52" s="2387">
        <f t="shared" si="163"/>
        <v>2.1000000000000001E-2</v>
      </c>
      <c r="O52" s="2393">
        <f t="shared" si="163"/>
        <v>1.8600000000000002E-2</v>
      </c>
      <c r="P52" s="2393">
        <f t="shared" si="163"/>
        <v>2.29E-2</v>
      </c>
      <c r="Q52" s="2393">
        <f t="shared" si="163"/>
        <v>8.5000000000000006E-3</v>
      </c>
      <c r="R52" s="2383"/>
      <c r="S52" s="2387"/>
      <c r="T52" s="2356"/>
      <c r="U52" s="2356"/>
      <c r="V52" s="2356"/>
    </row>
    <row r="53" spans="1:26">
      <c r="A53" s="2369" t="s">
        <v>1056</v>
      </c>
      <c r="B53" s="2386">
        <f t="shared" si="177"/>
        <v>210.630522469011</v>
      </c>
      <c r="C53" s="2386">
        <f t="shared" si="177"/>
        <v>181.69567812247232</v>
      </c>
      <c r="D53" s="2386">
        <f t="shared" si="161"/>
        <v>181.69567812247232</v>
      </c>
      <c r="E53" s="2386">
        <f t="shared" si="178"/>
        <v>286.13517466736738</v>
      </c>
      <c r="F53" s="2386">
        <f t="shared" si="178"/>
        <v>165.47535084591149</v>
      </c>
      <c r="G53" s="3550">
        <v>2009</v>
      </c>
      <c r="H53" s="2389">
        <v>2</v>
      </c>
      <c r="I53" s="2389">
        <v>0.86</v>
      </c>
      <c r="J53" s="2389">
        <v>-1.1299999999999999</v>
      </c>
      <c r="K53" s="2389">
        <v>1.79</v>
      </c>
      <c r="L53" s="2390">
        <v>-2.0699999999999998</v>
      </c>
      <c r="N53" s="2387">
        <f t="shared" si="163"/>
        <v>8.6E-3</v>
      </c>
      <c r="O53" s="2393">
        <f t="shared" si="163"/>
        <v>-1.1299999999999999E-2</v>
      </c>
      <c r="P53" s="2393">
        <f t="shared" si="163"/>
        <v>1.7899999999999999E-2</v>
      </c>
      <c r="Q53" s="2393">
        <f t="shared" si="163"/>
        <v>-2.07E-2</v>
      </c>
      <c r="R53" s="2383"/>
      <c r="S53" s="2387"/>
      <c r="T53" s="2356"/>
      <c r="U53" s="2356"/>
      <c r="V53" s="2356"/>
    </row>
    <row r="54" spans="1:26">
      <c r="A54" s="2369" t="s">
        <v>1057</v>
      </c>
      <c r="B54" s="2386">
        <f t="shared" si="177"/>
        <v>208.83454537875372</v>
      </c>
      <c r="C54" s="2386">
        <f t="shared" si="177"/>
        <v>183.77230517090351</v>
      </c>
      <c r="D54" s="2386">
        <f t="shared" si="161"/>
        <v>183.77230517090351</v>
      </c>
      <c r="E54" s="2386">
        <f t="shared" si="178"/>
        <v>281.10342338870947</v>
      </c>
      <c r="F54" s="2386">
        <f t="shared" si="178"/>
        <v>168.97309388942256</v>
      </c>
      <c r="G54" s="3551">
        <v>2009</v>
      </c>
      <c r="H54" s="2371">
        <v>1</v>
      </c>
      <c r="I54" s="2371">
        <v>-2.64</v>
      </c>
      <c r="J54" s="2371">
        <v>-2.5299999999999998</v>
      </c>
      <c r="K54" s="2371">
        <v>-3.02</v>
      </c>
      <c r="L54" s="2372">
        <v>1.52</v>
      </c>
      <c r="N54" s="2391">
        <f t="shared" si="163"/>
        <v>-2.64E-2</v>
      </c>
      <c r="O54" s="2392">
        <f t="shared" si="163"/>
        <v>-2.53E-2</v>
      </c>
      <c r="P54" s="2392">
        <f t="shared" si="163"/>
        <v>-3.0200000000000001E-2</v>
      </c>
      <c r="Q54" s="2392">
        <f t="shared" si="163"/>
        <v>1.52E-2</v>
      </c>
      <c r="R54" s="2383"/>
      <c r="S54" s="2391">
        <f>B54/B55-1</f>
        <v>-2.4137638417038754E-2</v>
      </c>
      <c r="T54" s="2392">
        <f>C54/C55-1</f>
        <v>-2.248773845264096E-2</v>
      </c>
      <c r="U54" s="2392">
        <f>E54/E55-1</f>
        <v>-2.7323794502735366E-2</v>
      </c>
      <c r="V54" s="2392">
        <f>F54/F55-1</f>
        <v>1.7910204153148035E-2</v>
      </c>
      <c r="X54" s="2356"/>
      <c r="Y54" s="2356"/>
      <c r="Z54" s="2356"/>
    </row>
    <row r="55" spans="1:26" ht="13.5" thickBot="1">
      <c r="A55" s="2369" t="s">
        <v>1058</v>
      </c>
      <c r="B55" s="2422">
        <v>214</v>
      </c>
      <c r="C55" s="2422">
        <v>188</v>
      </c>
      <c r="D55" s="2422">
        <f t="shared" si="161"/>
        <v>188</v>
      </c>
      <c r="E55" s="2422">
        <v>289</v>
      </c>
      <c r="F55" s="2423">
        <v>166</v>
      </c>
      <c r="G55" s="3549">
        <v>2008</v>
      </c>
      <c r="H55" s="2396">
        <v>4</v>
      </c>
      <c r="I55" s="2396">
        <v>1.73</v>
      </c>
      <c r="J55" s="2396">
        <v>0.03</v>
      </c>
      <c r="K55" s="2396">
        <v>2.59</v>
      </c>
      <c r="L55" s="2397">
        <v>-1.66</v>
      </c>
      <c r="N55" s="2387">
        <f t="shared" si="163"/>
        <v>1.7299999999999999E-2</v>
      </c>
      <c r="O55" s="2356">
        <f t="shared" si="163"/>
        <v>2.9999999999999997E-4</v>
      </c>
      <c r="P55" s="2356">
        <f t="shared" si="163"/>
        <v>2.5899999999999999E-2</v>
      </c>
      <c r="Q55" s="2356">
        <f t="shared" si="163"/>
        <v>-1.66E-2</v>
      </c>
      <c r="R55" s="2383"/>
      <c r="S55" s="2384"/>
      <c r="T55" s="2385"/>
      <c r="U55" s="2385"/>
      <c r="V55" s="2385"/>
      <c r="X55" s="2385"/>
      <c r="Y55" s="2385"/>
      <c r="Z55" s="2385"/>
    </row>
    <row r="56" spans="1:26">
      <c r="A56" s="2369" t="s">
        <v>1059</v>
      </c>
      <c r="B56" s="2386">
        <f t="shared" ref="B56:C58" si="179">B55/(1+N55)</f>
        <v>210.36075887152265</v>
      </c>
      <c r="C56" s="2386">
        <f t="shared" si="179"/>
        <v>187.94361691492554</v>
      </c>
      <c r="D56" s="2386">
        <f t="shared" si="161"/>
        <v>187.94361691492554</v>
      </c>
      <c r="E56" s="2386">
        <f t="shared" ref="E56:F58" si="180">E55/(1+P55)</f>
        <v>281.70386977288234</v>
      </c>
      <c r="F56" s="2386">
        <f t="shared" si="180"/>
        <v>168.80211511083994</v>
      </c>
      <c r="G56" s="3550">
        <v>2008</v>
      </c>
      <c r="H56" s="2399">
        <v>3</v>
      </c>
      <c r="I56" s="2399">
        <v>1.96</v>
      </c>
      <c r="J56" s="2399">
        <v>2.36</v>
      </c>
      <c r="K56" s="2399">
        <v>1.82</v>
      </c>
      <c r="L56" s="2400">
        <v>2.2200000000000002</v>
      </c>
      <c r="N56" s="2387">
        <f t="shared" si="163"/>
        <v>1.9599999999999999E-2</v>
      </c>
      <c r="O56" s="2356">
        <f t="shared" si="163"/>
        <v>2.3599999999999999E-2</v>
      </c>
      <c r="P56" s="2356">
        <f t="shared" si="163"/>
        <v>1.8200000000000001E-2</v>
      </c>
      <c r="Q56" s="2356">
        <f t="shared" si="163"/>
        <v>2.2200000000000001E-2</v>
      </c>
      <c r="R56" s="2383"/>
      <c r="S56" s="2387"/>
      <c r="T56" s="2356"/>
      <c r="U56" s="2356"/>
      <c r="V56" s="2356"/>
    </row>
    <row r="57" spans="1:26">
      <c r="A57" s="2369" t="s">
        <v>1060</v>
      </c>
      <c r="B57" s="2386">
        <f t="shared" si="179"/>
        <v>206.31694671589116</v>
      </c>
      <c r="C57" s="2386">
        <f t="shared" si="179"/>
        <v>183.61041121036101</v>
      </c>
      <c r="D57" s="2386">
        <f t="shared" si="161"/>
        <v>183.61041121036101</v>
      </c>
      <c r="E57" s="2386">
        <f t="shared" si="180"/>
        <v>276.66850301795557</v>
      </c>
      <c r="F57" s="2386">
        <f t="shared" si="180"/>
        <v>165.1360938278614</v>
      </c>
      <c r="G57" s="3550">
        <v>2008</v>
      </c>
      <c r="H57" s="2389">
        <v>2</v>
      </c>
      <c r="I57" s="2389">
        <v>4.93</v>
      </c>
      <c r="J57" s="2389">
        <v>7.38</v>
      </c>
      <c r="K57" s="2389">
        <v>3.98</v>
      </c>
      <c r="L57" s="2390">
        <v>6.86</v>
      </c>
      <c r="N57" s="2387">
        <f t="shared" si="163"/>
        <v>4.9299999999999997E-2</v>
      </c>
      <c r="O57" s="2356">
        <f t="shared" si="163"/>
        <v>7.3800000000000004E-2</v>
      </c>
      <c r="P57" s="2356">
        <f t="shared" si="163"/>
        <v>3.9800000000000002E-2</v>
      </c>
      <c r="Q57" s="2356">
        <f t="shared" si="163"/>
        <v>6.8600000000000008E-2</v>
      </c>
      <c r="R57" s="2383"/>
      <c r="S57" s="2387"/>
      <c r="T57" s="2356"/>
      <c r="U57" s="2356"/>
      <c r="V57" s="2356"/>
    </row>
    <row r="58" spans="1:26" s="2428" customFormat="1" ht="13.5" thickBot="1">
      <c r="A58" s="2369" t="s">
        <v>1061</v>
      </c>
      <c r="B58" s="2425">
        <f t="shared" si="179"/>
        <v>196.62341248059772</v>
      </c>
      <c r="C58" s="2425">
        <f t="shared" si="179"/>
        <v>170.99125648199012</v>
      </c>
      <c r="D58" s="2425">
        <f t="shared" si="161"/>
        <v>170.99125648199012</v>
      </c>
      <c r="E58" s="2425">
        <f t="shared" si="180"/>
        <v>266.07857570490052</v>
      </c>
      <c r="F58" s="2425">
        <f t="shared" si="180"/>
        <v>154.53499328828505</v>
      </c>
      <c r="G58" s="3551">
        <v>2008</v>
      </c>
      <c r="H58" s="2426">
        <v>1</v>
      </c>
      <c r="I58" s="2426">
        <v>4.1399999999999997</v>
      </c>
      <c r="J58" s="2426">
        <v>3.45</v>
      </c>
      <c r="K58" s="2426">
        <v>4.95</v>
      </c>
      <c r="L58" s="2427">
        <v>4.82</v>
      </c>
      <c r="N58" s="2429">
        <f t="shared" si="163"/>
        <v>4.1399999999999999E-2</v>
      </c>
      <c r="O58" s="2430">
        <f t="shared" si="163"/>
        <v>3.4500000000000003E-2</v>
      </c>
      <c r="P58" s="2430">
        <f t="shared" si="163"/>
        <v>4.9500000000000002E-2</v>
      </c>
      <c r="Q58" s="2430">
        <f t="shared" si="163"/>
        <v>4.82E-2</v>
      </c>
      <c r="R58" s="2431"/>
      <c r="S58" s="2429">
        <f>B58/B59-1</f>
        <v>4.5869215322328349E-2</v>
      </c>
      <c r="T58" s="2430">
        <f>C58/C59-1</f>
        <v>3.6310645345394743E-2</v>
      </c>
      <c r="U58" s="2430">
        <f>E58/E59-1</f>
        <v>4.7553447657088688E-2</v>
      </c>
      <c r="V58" s="2430">
        <f>F58/F59-1</f>
        <v>4.4155360055980086E-2</v>
      </c>
      <c r="X58" s="2430"/>
      <c r="Y58" s="2430"/>
      <c r="Z58" s="2430"/>
    </row>
    <row r="59" spans="1:26" ht="13.5" thickBot="1">
      <c r="A59" s="2369" t="s">
        <v>1062</v>
      </c>
      <c r="B59" s="2379">
        <v>188</v>
      </c>
      <c r="C59" s="2379">
        <v>165</v>
      </c>
      <c r="D59" s="2379">
        <f t="shared" si="161"/>
        <v>165</v>
      </c>
      <c r="E59" s="2379">
        <v>254</v>
      </c>
      <c r="F59" s="2380">
        <v>148</v>
      </c>
      <c r="G59" s="3549">
        <v>2007</v>
      </c>
      <c r="H59" s="2432">
        <v>4</v>
      </c>
      <c r="I59" s="2432">
        <v>5.51</v>
      </c>
      <c r="J59" s="2432">
        <v>4.8899999999999997</v>
      </c>
      <c r="K59" s="2432">
        <v>6.43</v>
      </c>
      <c r="L59" s="2433">
        <v>5.36</v>
      </c>
      <c r="N59" s="2434">
        <f t="shared" ref="N59:O62" si="181">B59/B60-1</f>
        <v>4.1339718365245526E-2</v>
      </c>
      <c r="O59" s="2435">
        <f t="shared" si="181"/>
        <v>4.0324492593776018E-2</v>
      </c>
      <c r="P59" s="2435">
        <f t="shared" ref="P59:Q62" si="182">E59/E60-1</f>
        <v>6.1625555347990968E-2</v>
      </c>
      <c r="Q59" s="2435">
        <f t="shared" si="182"/>
        <v>4.6757569250590603E-2</v>
      </c>
      <c r="R59" s="2383"/>
      <c r="S59" s="2384"/>
      <c r="T59" s="2385"/>
      <c r="U59" s="2385"/>
      <c r="V59" s="2385"/>
      <c r="X59" s="2385"/>
      <c r="Y59" s="2385"/>
      <c r="Z59" s="2385"/>
    </row>
    <row r="60" spans="1:26">
      <c r="A60" s="2369" t="s">
        <v>1063</v>
      </c>
      <c r="B60" s="2386">
        <f t="shared" ref="B60:C62" si="183">B61+(B$59-B$63)*I60/SUM(I$59:I$62)</f>
        <v>180.5366651097618</v>
      </c>
      <c r="C60" s="2386">
        <f t="shared" si="183"/>
        <v>158.60435967302453</v>
      </c>
      <c r="D60" s="2386">
        <f t="shared" si="161"/>
        <v>158.60435967302453</v>
      </c>
      <c r="E60" s="2386">
        <f t="shared" ref="E60:F62" si="184">E61+(E$59-E$63)*K60/SUM(K$59:K$62)</f>
        <v>239.25573260785075</v>
      </c>
      <c r="F60" s="2386">
        <f t="shared" si="184"/>
        <v>141.38899430740037</v>
      </c>
      <c r="G60" s="3550">
        <v>2007</v>
      </c>
      <c r="H60" s="2399">
        <v>3</v>
      </c>
      <c r="I60" s="2399">
        <v>8.65</v>
      </c>
      <c r="J60" s="2399">
        <v>8.06</v>
      </c>
      <c r="K60" s="2399">
        <v>9.94</v>
      </c>
      <c r="L60" s="2400">
        <v>5.8</v>
      </c>
      <c r="N60" s="2434">
        <f t="shared" si="181"/>
        <v>6.940217571740015E-2</v>
      </c>
      <c r="O60" s="2435">
        <f t="shared" si="181"/>
        <v>7.1197482471153428E-2</v>
      </c>
      <c r="P60" s="2435">
        <f t="shared" si="182"/>
        <v>0.10529679922579582</v>
      </c>
      <c r="Q60" s="2435">
        <f t="shared" si="182"/>
        <v>5.3292245059512133E-2</v>
      </c>
      <c r="R60" s="2383"/>
      <c r="S60" s="2387"/>
      <c r="T60" s="2356"/>
      <c r="U60" s="2356"/>
      <c r="V60" s="2356"/>
      <c r="X60" s="2436"/>
      <c r="Y60" s="2436"/>
      <c r="Z60" s="2436"/>
    </row>
    <row r="61" spans="1:26">
      <c r="A61" s="2369" t="s">
        <v>1064</v>
      </c>
      <c r="B61" s="2386">
        <f t="shared" si="183"/>
        <v>168.82017748715555</v>
      </c>
      <c r="C61" s="2386">
        <f t="shared" si="183"/>
        <v>148.06267029972753</v>
      </c>
      <c r="D61" s="2386">
        <f t="shared" si="161"/>
        <v>148.06267029972753</v>
      </c>
      <c r="E61" s="2386">
        <f t="shared" si="184"/>
        <v>216.46288379323747</v>
      </c>
      <c r="F61" s="2386">
        <f t="shared" si="184"/>
        <v>134.23529411764704</v>
      </c>
      <c r="G61" s="3550">
        <v>2007</v>
      </c>
      <c r="H61" s="2389">
        <v>2</v>
      </c>
      <c r="I61" s="2389">
        <v>3.67</v>
      </c>
      <c r="J61" s="2389">
        <v>2.3199999999999998</v>
      </c>
      <c r="K61" s="2389">
        <v>5.0199999999999996</v>
      </c>
      <c r="L61" s="2390">
        <v>6.71</v>
      </c>
      <c r="N61" s="2434">
        <f t="shared" si="181"/>
        <v>3.0339138143848032E-2</v>
      </c>
      <c r="O61" s="2435">
        <f t="shared" si="181"/>
        <v>2.0922341588790472E-2</v>
      </c>
      <c r="P61" s="2435">
        <f t="shared" si="182"/>
        <v>5.6164796592717003E-2</v>
      </c>
      <c r="Q61" s="2435">
        <f t="shared" si="182"/>
        <v>6.5704536723887319E-2</v>
      </c>
      <c r="R61" s="2383"/>
      <c r="S61" s="2387"/>
      <c r="T61" s="2356"/>
      <c r="U61" s="2356"/>
      <c r="V61" s="2356"/>
      <c r="X61" s="2436"/>
      <c r="Y61" s="2436"/>
      <c r="Z61" s="2436"/>
    </row>
    <row r="62" spans="1:26">
      <c r="A62" s="2369" t="s">
        <v>1065</v>
      </c>
      <c r="B62" s="2386">
        <f t="shared" si="183"/>
        <v>163.84913591779542</v>
      </c>
      <c r="C62" s="2386">
        <f t="shared" si="183"/>
        <v>145.0283378746594</v>
      </c>
      <c r="D62" s="2386">
        <f t="shared" si="161"/>
        <v>145.0283378746594</v>
      </c>
      <c r="E62" s="2386">
        <f t="shared" si="184"/>
        <v>204.95180722891567</v>
      </c>
      <c r="F62" s="2386">
        <f t="shared" si="184"/>
        <v>125.95920303605313</v>
      </c>
      <c r="G62" s="3551">
        <v>2007</v>
      </c>
      <c r="H62" s="2371">
        <v>1</v>
      </c>
      <c r="I62" s="2371">
        <v>3.58</v>
      </c>
      <c r="J62" s="2371">
        <v>3.08</v>
      </c>
      <c r="K62" s="2371">
        <v>4.34</v>
      </c>
      <c r="L62" s="2372">
        <v>3.21</v>
      </c>
      <c r="N62" s="2437">
        <f t="shared" si="181"/>
        <v>3.0497710174814063E-2</v>
      </c>
      <c r="O62" s="2438">
        <f t="shared" si="181"/>
        <v>2.8569772160704998E-2</v>
      </c>
      <c r="P62" s="2438">
        <f t="shared" si="182"/>
        <v>5.1034908866234296E-2</v>
      </c>
      <c r="Q62" s="2438">
        <f t="shared" si="182"/>
        <v>3.245248390207478E-2</v>
      </c>
      <c r="R62" s="2383"/>
      <c r="S62" s="2391">
        <f>B62/B63-1</f>
        <v>3.0497710174814063E-2</v>
      </c>
      <c r="T62" s="2392">
        <f>C62/C63-1</f>
        <v>2.8569772160704998E-2</v>
      </c>
      <c r="U62" s="2392">
        <f>E62/E63-1</f>
        <v>5.1034908866234296E-2</v>
      </c>
      <c r="V62" s="2392">
        <f>F62/F63-1</f>
        <v>3.245248390207478E-2</v>
      </c>
      <c r="X62" s="2436"/>
      <c r="Y62" s="2436"/>
      <c r="Z62" s="2436"/>
    </row>
    <row r="63" spans="1:26" ht="13.5" thickBot="1">
      <c r="A63" s="2369" t="s">
        <v>1066</v>
      </c>
      <c r="B63" s="2401">
        <v>159</v>
      </c>
      <c r="C63" s="2401">
        <v>141</v>
      </c>
      <c r="D63" s="2401">
        <f t="shared" si="161"/>
        <v>141</v>
      </c>
      <c r="E63" s="2401">
        <v>195</v>
      </c>
      <c r="F63" s="2402">
        <v>122</v>
      </c>
      <c r="G63" s="3549">
        <v>2006</v>
      </c>
      <c r="H63" s="2396">
        <v>4</v>
      </c>
      <c r="I63" s="2396">
        <v>3.79</v>
      </c>
      <c r="J63" s="2396">
        <v>2.21</v>
      </c>
      <c r="K63" s="2396">
        <v>5.65</v>
      </c>
      <c r="L63" s="2397">
        <v>5.41</v>
      </c>
      <c r="N63" s="2434">
        <f t="shared" ref="N63:O66" si="185">I63/SUM(I$63:I$66)*(B$63/B$67-1)</f>
        <v>7.245466462748526E-2</v>
      </c>
      <c r="O63" s="2435">
        <f t="shared" si="185"/>
        <v>2.3237230038062766E-2</v>
      </c>
      <c r="P63" s="2435">
        <f t="shared" ref="P63:Q66" si="186">K63/SUM(K$63:K$66)*(E$63/E$67-1)</f>
        <v>0.16146893866323722</v>
      </c>
      <c r="Q63" s="2435">
        <f t="shared" si="186"/>
        <v>5.0755230321793784E-2</v>
      </c>
      <c r="R63" s="2383"/>
      <c r="S63" s="2384"/>
      <c r="T63" s="2385"/>
      <c r="U63" s="2385"/>
      <c r="V63" s="2385"/>
      <c r="X63" s="2436"/>
      <c r="Y63" s="2436"/>
      <c r="Z63" s="2436"/>
    </row>
    <row r="64" spans="1:26">
      <c r="A64" s="2369" t="s">
        <v>1067</v>
      </c>
      <c r="B64" s="2386">
        <f t="shared" ref="B64:C66" si="187">B65+(B$63-B$67)*I64/SUM(I$63:I$66)</f>
        <v>149.00125628140702</v>
      </c>
      <c r="C64" s="2386">
        <f t="shared" si="187"/>
        <v>137.95592286501378</v>
      </c>
      <c r="D64" s="2386">
        <f t="shared" si="161"/>
        <v>137.95592286501378</v>
      </c>
      <c r="E64" s="2386">
        <f t="shared" ref="E64:F66" si="188">E65+(E$63-E$67)*K64/SUM(K$63:K$66)</f>
        <v>169.97231450719823</v>
      </c>
      <c r="F64" s="2386">
        <f t="shared" si="188"/>
        <v>116.21390374331551</v>
      </c>
      <c r="G64" s="3550">
        <v>2006</v>
      </c>
      <c r="H64" s="2399">
        <v>3</v>
      </c>
      <c r="I64" s="2399">
        <v>0.92</v>
      </c>
      <c r="J64" s="2399">
        <v>1.08</v>
      </c>
      <c r="K64" s="2399">
        <v>0.73</v>
      </c>
      <c r="L64" s="2400">
        <v>1.08</v>
      </c>
      <c r="N64" s="2434">
        <f t="shared" si="185"/>
        <v>1.7587939698492462E-2</v>
      </c>
      <c r="O64" s="2435">
        <f t="shared" si="185"/>
        <v>1.1355750425840628E-2</v>
      </c>
      <c r="P64" s="2435">
        <f t="shared" si="186"/>
        <v>2.0862358446754544E-2</v>
      </c>
      <c r="Q64" s="2435">
        <f t="shared" si="186"/>
        <v>1.0132282578103011E-2</v>
      </c>
      <c r="R64" s="2383"/>
      <c r="S64" s="2387"/>
      <c r="T64" s="2356"/>
      <c r="U64" s="2356"/>
      <c r="V64" s="2356"/>
      <c r="X64" s="2436"/>
      <c r="Y64" s="2436"/>
      <c r="Z64" s="2436"/>
    </row>
    <row r="65" spans="1:26">
      <c r="A65" s="2369" t="s">
        <v>1068</v>
      </c>
      <c r="B65" s="2386">
        <f t="shared" si="187"/>
        <v>146.57412060301507</v>
      </c>
      <c r="C65" s="2386">
        <f t="shared" si="187"/>
        <v>136.46831955922866</v>
      </c>
      <c r="D65" s="2386">
        <f t="shared" si="161"/>
        <v>136.46831955922866</v>
      </c>
      <c r="E65" s="2386">
        <f t="shared" si="188"/>
        <v>166.73864894795128</v>
      </c>
      <c r="F65" s="2386">
        <f t="shared" si="188"/>
        <v>115.05882352941177</v>
      </c>
      <c r="G65" s="3550">
        <v>2006</v>
      </c>
      <c r="H65" s="2389">
        <v>2</v>
      </c>
      <c r="I65" s="2389">
        <v>0.96</v>
      </c>
      <c r="J65" s="2389">
        <v>0.25</v>
      </c>
      <c r="K65" s="2389">
        <v>1.9</v>
      </c>
      <c r="L65" s="2390">
        <v>0.95</v>
      </c>
      <c r="N65" s="2434">
        <f t="shared" si="185"/>
        <v>1.8352632728861701E-2</v>
      </c>
      <c r="O65" s="2435">
        <f t="shared" si="185"/>
        <v>2.6286459319075526E-3</v>
      </c>
      <c r="P65" s="2435">
        <f t="shared" si="186"/>
        <v>5.4299289107991269E-2</v>
      </c>
      <c r="Q65" s="2435">
        <f t="shared" si="186"/>
        <v>8.9126559714794995E-3</v>
      </c>
      <c r="R65" s="2383"/>
      <c r="S65" s="2387"/>
      <c r="T65" s="2356"/>
      <c r="U65" s="2356"/>
      <c r="V65" s="2356"/>
      <c r="X65" s="2436"/>
      <c r="Y65" s="2436"/>
      <c r="Z65" s="2436"/>
    </row>
    <row r="66" spans="1:26">
      <c r="A66" s="2369" t="s">
        <v>1069</v>
      </c>
      <c r="B66" s="2386">
        <f t="shared" si="187"/>
        <v>144.04145728643215</v>
      </c>
      <c r="C66" s="2386">
        <f t="shared" si="187"/>
        <v>136.12396694214877</v>
      </c>
      <c r="D66" s="2386">
        <f t="shared" si="161"/>
        <v>136.12396694214877</v>
      </c>
      <c r="E66" s="2386">
        <f t="shared" si="188"/>
        <v>158.32225913621264</v>
      </c>
      <c r="F66" s="2386">
        <f t="shared" si="188"/>
        <v>114.04278074866311</v>
      </c>
      <c r="G66" s="3551">
        <v>2006</v>
      </c>
      <c r="H66" s="2371">
        <v>1</v>
      </c>
      <c r="I66" s="2371">
        <v>2.29</v>
      </c>
      <c r="J66" s="2371">
        <v>3.72</v>
      </c>
      <c r="K66" s="2371">
        <v>0.75</v>
      </c>
      <c r="L66" s="2372">
        <v>0.04</v>
      </c>
      <c r="N66" s="2437">
        <f t="shared" si="185"/>
        <v>4.3778675988638847E-2</v>
      </c>
      <c r="O66" s="2438">
        <f t="shared" si="185"/>
        <v>3.9114251466784385E-2</v>
      </c>
      <c r="P66" s="2438">
        <f t="shared" si="186"/>
        <v>2.1433929911049188E-2</v>
      </c>
      <c r="Q66" s="2438">
        <f t="shared" si="186"/>
        <v>3.7526972511492629E-4</v>
      </c>
      <c r="R66" s="2383"/>
      <c r="S66" s="2391">
        <f>B66/B67-1</f>
        <v>4.3778675988638716E-2</v>
      </c>
      <c r="T66" s="2392">
        <f>C66/C67-1</f>
        <v>3.91142514667846E-2</v>
      </c>
      <c r="U66" s="2392">
        <f>E66/E67-1</f>
        <v>2.143392991104931E-2</v>
      </c>
      <c r="V66" s="2392">
        <f>F66/F67-1</f>
        <v>3.7526972511492396E-4</v>
      </c>
      <c r="X66" s="2436"/>
      <c r="Y66" s="2436"/>
      <c r="Z66" s="2436"/>
    </row>
    <row r="67" spans="1:26" ht="13.5" thickBot="1">
      <c r="A67" s="2369" t="s">
        <v>1070</v>
      </c>
      <c r="B67" s="2401">
        <v>138</v>
      </c>
      <c r="C67" s="2401">
        <v>131</v>
      </c>
      <c r="D67" s="2401">
        <f t="shared" si="161"/>
        <v>131</v>
      </c>
      <c r="E67" s="2401">
        <v>155</v>
      </c>
      <c r="F67" s="2402">
        <v>114</v>
      </c>
      <c r="G67" s="3549">
        <v>2005</v>
      </c>
      <c r="H67" s="2396">
        <v>4</v>
      </c>
      <c r="I67" s="2396">
        <v>3.29</v>
      </c>
      <c r="J67" s="2396">
        <v>1.44</v>
      </c>
      <c r="K67" s="2396">
        <v>0.66</v>
      </c>
      <c r="L67" s="2397">
        <v>7.78</v>
      </c>
      <c r="N67" s="2434">
        <f t="shared" ref="N67:O70" si="189">I67/SUM(I$67:I$70)*(B$67/B$71-1)</f>
        <v>9.9404603216919935E-2</v>
      </c>
      <c r="O67" s="2435">
        <f t="shared" si="189"/>
        <v>4.7636550760861554E-2</v>
      </c>
      <c r="P67" s="2435">
        <f t="shared" ref="P67:Q70" si="190">K67/SUM(K$67:K$70)*(E$67/E$71-1)</f>
        <v>8.3756345177664976E-2</v>
      </c>
      <c r="Q67" s="2435">
        <f t="shared" si="190"/>
        <v>5.2148766661559584E-2</v>
      </c>
      <c r="R67" s="2383"/>
      <c r="S67" s="2384"/>
      <c r="T67" s="2385"/>
      <c r="U67" s="2385"/>
      <c r="V67" s="2385"/>
      <c r="X67" s="2436"/>
      <c r="Y67" s="2436"/>
      <c r="Z67" s="2436"/>
    </row>
    <row r="68" spans="1:26">
      <c r="A68" s="2369" t="s">
        <v>1071</v>
      </c>
      <c r="B68" s="2386">
        <f t="shared" ref="B68:C70" si="191">B69+(B$67-B$71)*I68/SUM(I$67:I$70)</f>
        <v>125.9720430107527</v>
      </c>
      <c r="C68" s="2386">
        <f t="shared" si="191"/>
        <v>125.1883408071749</v>
      </c>
      <c r="D68" s="2386">
        <f t="shared" si="161"/>
        <v>125.1883408071749</v>
      </c>
      <c r="E68" s="2386">
        <f t="shared" ref="E68:F70" si="192">E69+(E$67-E$71)*K68/SUM(K$67:K$70)</f>
        <v>144.61421319796952</v>
      </c>
      <c r="F68" s="2386">
        <f t="shared" si="192"/>
        <v>108.42008196721311</v>
      </c>
      <c r="G68" s="3550">
        <v>2005</v>
      </c>
      <c r="H68" s="2399">
        <v>3</v>
      </c>
      <c r="I68" s="2399">
        <v>0.46</v>
      </c>
      <c r="J68" s="2399">
        <v>0.32</v>
      </c>
      <c r="K68" s="2399">
        <v>0.42</v>
      </c>
      <c r="L68" s="2400">
        <v>0.64</v>
      </c>
      <c r="N68" s="2434">
        <f t="shared" si="189"/>
        <v>1.3898515951301874E-2</v>
      </c>
      <c r="O68" s="2435">
        <f t="shared" si="189"/>
        <v>1.0585900169080346E-2</v>
      </c>
      <c r="P68" s="2435">
        <f t="shared" si="190"/>
        <v>5.3299492385786795E-2</v>
      </c>
      <c r="Q68" s="2435">
        <f t="shared" si="190"/>
        <v>4.2898728359123568E-3</v>
      </c>
      <c r="R68" s="2383"/>
      <c r="S68" s="2387"/>
      <c r="T68" s="2356"/>
      <c r="U68" s="2356"/>
      <c r="V68" s="2356"/>
      <c r="X68" s="2436"/>
      <c r="Y68" s="2436"/>
      <c r="Z68" s="2436"/>
    </row>
    <row r="69" spans="1:26">
      <c r="A69" s="2369" t="s">
        <v>1072</v>
      </c>
      <c r="B69" s="2386">
        <f t="shared" si="191"/>
        <v>124.29032258064517</v>
      </c>
      <c r="C69" s="2386">
        <f t="shared" si="191"/>
        <v>123.8968609865471</v>
      </c>
      <c r="D69" s="2386">
        <f t="shared" si="161"/>
        <v>123.8968609865471</v>
      </c>
      <c r="E69" s="2386">
        <f t="shared" si="192"/>
        <v>138.00507614213197</v>
      </c>
      <c r="F69" s="2386">
        <f t="shared" si="192"/>
        <v>107.96106557377048</v>
      </c>
      <c r="G69" s="3550">
        <v>2005</v>
      </c>
      <c r="H69" s="2389">
        <v>2</v>
      </c>
      <c r="I69" s="2389">
        <v>0.47</v>
      </c>
      <c r="J69" s="2389">
        <v>0.1</v>
      </c>
      <c r="K69" s="2389">
        <v>0.52</v>
      </c>
      <c r="L69" s="2390">
        <v>0.79</v>
      </c>
      <c r="N69" s="2434">
        <f t="shared" si="189"/>
        <v>1.420065760241713E-2</v>
      </c>
      <c r="O69" s="2435">
        <f t="shared" si="189"/>
        <v>3.3080938028376083E-3</v>
      </c>
      <c r="P69" s="2435">
        <f t="shared" si="190"/>
        <v>6.598984771573603E-2</v>
      </c>
      <c r="Q69" s="2435">
        <f t="shared" si="190"/>
        <v>5.2953117818293153E-3</v>
      </c>
      <c r="R69" s="2383"/>
      <c r="S69" s="2387"/>
      <c r="T69" s="2356"/>
      <c r="U69" s="2356"/>
      <c r="V69" s="2356"/>
      <c r="X69" s="2436"/>
      <c r="Y69" s="2436"/>
      <c r="Z69" s="2436"/>
    </row>
    <row r="70" spans="1:26">
      <c r="A70" s="2369" t="s">
        <v>1073</v>
      </c>
      <c r="B70" s="2386">
        <f t="shared" si="191"/>
        <v>122.57204301075269</v>
      </c>
      <c r="C70" s="2386">
        <f t="shared" si="191"/>
        <v>123.4932735426009</v>
      </c>
      <c r="D70" s="2386">
        <f t="shared" si="161"/>
        <v>123.4932735426009</v>
      </c>
      <c r="E70" s="2386">
        <f t="shared" si="192"/>
        <v>129.82233502538071</v>
      </c>
      <c r="F70" s="2386">
        <f t="shared" si="192"/>
        <v>107.39446721311475</v>
      </c>
      <c r="G70" s="3551">
        <v>2005</v>
      </c>
      <c r="H70" s="2371">
        <v>1</v>
      </c>
      <c r="I70" s="2371">
        <v>0.43</v>
      </c>
      <c r="J70" s="2371">
        <v>0.37</v>
      </c>
      <c r="K70" s="2371">
        <v>0.37</v>
      </c>
      <c r="L70" s="2372">
        <v>0.55000000000000004</v>
      </c>
      <c r="N70" s="2437">
        <f t="shared" si="189"/>
        <v>1.2992090997956099E-2</v>
      </c>
      <c r="O70" s="2438">
        <f t="shared" si="189"/>
        <v>1.2239947070499151E-2</v>
      </c>
      <c r="P70" s="2438">
        <f t="shared" si="190"/>
        <v>4.6954314720812178E-2</v>
      </c>
      <c r="Q70" s="2438">
        <f t="shared" si="190"/>
        <v>3.6866094683621815E-3</v>
      </c>
      <c r="R70" s="2383"/>
      <c r="S70" s="2391">
        <f>B70/B71-1</f>
        <v>1.2992090997956174E-2</v>
      </c>
      <c r="T70" s="2392">
        <f>C70/C71-1</f>
        <v>1.2239947070499246E-2</v>
      </c>
      <c r="U70" s="2392">
        <f>E70/E71-1</f>
        <v>4.695431472081224E-2</v>
      </c>
      <c r="V70" s="2392">
        <f>F70/F71-1</f>
        <v>3.6866094683620787E-3</v>
      </c>
      <c r="X70" s="2436"/>
      <c r="Y70" s="2436"/>
      <c r="Z70" s="2436"/>
    </row>
    <row r="71" spans="1:26" ht="13.5" thickBot="1">
      <c r="A71" s="2369" t="s">
        <v>1074</v>
      </c>
      <c r="B71" s="2422">
        <v>121</v>
      </c>
      <c r="C71" s="2422">
        <v>122</v>
      </c>
      <c r="D71" s="2422">
        <f t="shared" si="161"/>
        <v>122</v>
      </c>
      <c r="E71" s="2422">
        <v>124</v>
      </c>
      <c r="F71" s="2423">
        <v>107</v>
      </c>
      <c r="G71" s="3549">
        <v>2004</v>
      </c>
      <c r="H71" s="2396">
        <v>4</v>
      </c>
      <c r="I71" s="2396">
        <v>0.33</v>
      </c>
      <c r="J71" s="2396">
        <v>0.5</v>
      </c>
      <c r="K71" s="2396">
        <v>0.5</v>
      </c>
      <c r="L71" s="2397">
        <v>0</v>
      </c>
      <c r="N71" s="2434">
        <f t="shared" ref="N71:O74" si="193">I71/SUM(I$71:I$74)*(B$71/B$75-1)</f>
        <v>1.3391770148526898E-2</v>
      </c>
      <c r="O71" s="2435">
        <f t="shared" si="193"/>
        <v>1.063264221158958E-2</v>
      </c>
      <c r="P71" s="2435">
        <f t="shared" ref="P71:Q74" si="194">K71/SUM(K$71:K$74)*(E$71/E$75-1)</f>
        <v>2.2244466688911134E-2</v>
      </c>
      <c r="Q71" s="2435">
        <f t="shared" si="194"/>
        <v>0</v>
      </c>
      <c r="R71" s="2383"/>
      <c r="S71" s="2384"/>
      <c r="T71" s="2385"/>
      <c r="U71" s="2385"/>
      <c r="V71" s="2385"/>
      <c r="X71" s="2436"/>
      <c r="Y71" s="2436"/>
      <c r="Z71" s="2436"/>
    </row>
    <row r="72" spans="1:26">
      <c r="A72" s="2369" t="s">
        <v>1075</v>
      </c>
      <c r="B72" s="2386">
        <f t="shared" ref="B72:C74" si="195">B73+(B$71-B$75)*I72/SUM(I$71:I$74)</f>
        <v>119.51351351351352</v>
      </c>
      <c r="C72" s="2386">
        <f t="shared" si="195"/>
        <v>120.7878787878788</v>
      </c>
      <c r="D72" s="2386">
        <f t="shared" si="161"/>
        <v>120.7878787878788</v>
      </c>
      <c r="E72" s="2386">
        <f t="shared" ref="E72:F74" si="196">E73+(E$71-E$75)*K72/SUM(K$71:K$74)</f>
        <v>121.5975975975976</v>
      </c>
      <c r="F72" s="2386">
        <f t="shared" si="196"/>
        <v>107</v>
      </c>
      <c r="G72" s="3550">
        <v>2004</v>
      </c>
      <c r="H72" s="2399">
        <v>3</v>
      </c>
      <c r="I72" s="2399">
        <v>0.56000000000000005</v>
      </c>
      <c r="J72" s="2399">
        <v>0.8</v>
      </c>
      <c r="K72" s="2399">
        <v>0.83</v>
      </c>
      <c r="L72" s="2400">
        <v>0.06</v>
      </c>
      <c r="N72" s="2434">
        <f t="shared" si="193"/>
        <v>2.2725428130833527E-2</v>
      </c>
      <c r="O72" s="2435">
        <f t="shared" si="193"/>
        <v>1.7012227538543329E-2</v>
      </c>
      <c r="P72" s="2435">
        <f t="shared" si="194"/>
        <v>3.6925814703592477E-2</v>
      </c>
      <c r="Q72" s="2435">
        <f t="shared" si="194"/>
        <v>2.8846153846153744E-2</v>
      </c>
      <c r="R72" s="2383"/>
      <c r="S72" s="2387"/>
      <c r="T72" s="2356"/>
      <c r="U72" s="2356"/>
      <c r="V72" s="2356"/>
      <c r="X72" s="2436"/>
      <c r="Y72" s="2436"/>
      <c r="Z72" s="2436"/>
    </row>
    <row r="73" spans="1:26">
      <c r="A73" s="2369" t="s">
        <v>1076</v>
      </c>
      <c r="B73" s="2386">
        <f t="shared" si="195"/>
        <v>116.99099099099099</v>
      </c>
      <c r="C73" s="2386">
        <f t="shared" si="195"/>
        <v>118.84848484848486</v>
      </c>
      <c r="D73" s="2386">
        <f t="shared" si="161"/>
        <v>118.84848484848486</v>
      </c>
      <c r="E73" s="2386">
        <f t="shared" si="196"/>
        <v>117.60960960960961</v>
      </c>
      <c r="F73" s="2386">
        <f t="shared" si="196"/>
        <v>104</v>
      </c>
      <c r="G73" s="3550">
        <v>2004</v>
      </c>
      <c r="H73" s="2389">
        <v>2</v>
      </c>
      <c r="I73" s="2389">
        <v>1</v>
      </c>
      <c r="J73" s="2389">
        <v>1.5</v>
      </c>
      <c r="K73" s="2389">
        <v>1.5</v>
      </c>
      <c r="L73" s="2390">
        <v>0</v>
      </c>
      <c r="N73" s="2434">
        <f t="shared" si="193"/>
        <v>4.0581121662202721E-2</v>
      </c>
      <c r="O73" s="2435">
        <f t="shared" si="193"/>
        <v>3.1897926634768738E-2</v>
      </c>
      <c r="P73" s="2435">
        <f t="shared" si="194"/>
        <v>6.6733400066733395E-2</v>
      </c>
      <c r="Q73" s="2435">
        <f t="shared" si="194"/>
        <v>0</v>
      </c>
      <c r="R73" s="2383"/>
      <c r="S73" s="2387"/>
      <c r="T73" s="2356"/>
      <c r="U73" s="2356"/>
      <c r="V73" s="2356"/>
      <c r="X73" s="2436"/>
      <c r="Y73" s="2436"/>
      <c r="Z73" s="2436"/>
    </row>
    <row r="74" spans="1:26" s="2428" customFormat="1" ht="13.5" thickBot="1">
      <c r="A74" s="2369" t="s">
        <v>1077</v>
      </c>
      <c r="B74" s="2425">
        <f t="shared" si="195"/>
        <v>112.48648648648648</v>
      </c>
      <c r="C74" s="2425">
        <f t="shared" si="195"/>
        <v>115.21212121212122</v>
      </c>
      <c r="D74" s="2425">
        <f t="shared" si="161"/>
        <v>115.21212121212122</v>
      </c>
      <c r="E74" s="2425">
        <f t="shared" si="196"/>
        <v>110.4024024024024</v>
      </c>
      <c r="F74" s="2425">
        <f t="shared" si="196"/>
        <v>104</v>
      </c>
      <c r="G74" s="3551">
        <v>2004</v>
      </c>
      <c r="H74" s="2426">
        <v>1</v>
      </c>
      <c r="I74" s="2426">
        <v>0.33</v>
      </c>
      <c r="J74" s="2426">
        <v>0.5</v>
      </c>
      <c r="K74" s="2426">
        <v>0.5</v>
      </c>
      <c r="L74" s="2427">
        <v>0</v>
      </c>
      <c r="N74" s="2439">
        <f t="shared" si="193"/>
        <v>1.3391770148526898E-2</v>
      </c>
      <c r="O74" s="2440">
        <f t="shared" si="193"/>
        <v>1.063264221158958E-2</v>
      </c>
      <c r="P74" s="2440">
        <f t="shared" si="194"/>
        <v>2.2244466688911134E-2</v>
      </c>
      <c r="Q74" s="2440">
        <f t="shared" si="194"/>
        <v>0</v>
      </c>
      <c r="R74" s="2431"/>
      <c r="S74" s="2429">
        <f>B74/B75-1</f>
        <v>1.3391770148526883E-2</v>
      </c>
      <c r="T74" s="2430">
        <f>C74/C75-1</f>
        <v>1.063264221158966E-2</v>
      </c>
      <c r="U74" s="2430">
        <f>E74/E75-1</f>
        <v>2.2244466688911224E-2</v>
      </c>
      <c r="V74" s="2430">
        <f>F74/F75-1</f>
        <v>0</v>
      </c>
      <c r="X74" s="2441"/>
      <c r="Y74" s="2441"/>
      <c r="Z74" s="2441"/>
    </row>
    <row r="75" spans="1:26" ht="13.5" thickBot="1">
      <c r="A75" s="2369" t="s">
        <v>1078</v>
      </c>
      <c r="B75" s="2442">
        <v>111</v>
      </c>
      <c r="C75" s="2442">
        <v>114</v>
      </c>
      <c r="D75" s="2442">
        <f t="shared" si="161"/>
        <v>114</v>
      </c>
      <c r="E75" s="2442">
        <v>108</v>
      </c>
      <c r="F75" s="2443">
        <v>104</v>
      </c>
      <c r="G75" s="3549">
        <v>2003</v>
      </c>
      <c r="H75" s="2432">
        <v>4</v>
      </c>
      <c r="I75" s="2444"/>
      <c r="J75" s="2444"/>
      <c r="K75" s="2444"/>
      <c r="L75" s="2444"/>
      <c r="N75" s="2445"/>
      <c r="O75" s="2444"/>
      <c r="P75" s="2444"/>
      <c r="Q75" s="2444"/>
      <c r="S75" s="2445"/>
      <c r="T75" s="2444"/>
      <c r="U75" s="2444"/>
      <c r="V75" s="2444"/>
      <c r="X75" s="2436"/>
      <c r="Y75" s="2436"/>
      <c r="Z75" s="2436"/>
    </row>
    <row r="76" spans="1:26">
      <c r="A76" s="2369" t="s">
        <v>1079</v>
      </c>
      <c r="B76" s="2446">
        <f t="shared" ref="B76:C78" si="197">B77+(B$75-B$79)/4</f>
        <v>109.75</v>
      </c>
      <c r="C76" s="2446">
        <f t="shared" si="197"/>
        <v>112.25</v>
      </c>
      <c r="D76" s="2446">
        <f t="shared" si="161"/>
        <v>112.25</v>
      </c>
      <c r="E76" s="2446">
        <f t="shared" ref="E76:F78" si="198">E77+(E$75-E$79)/4</f>
        <v>107.25</v>
      </c>
      <c r="F76" s="2446">
        <f t="shared" si="198"/>
        <v>103.5</v>
      </c>
      <c r="G76" s="3550">
        <v>2003</v>
      </c>
      <c r="H76" s="2399">
        <v>3</v>
      </c>
      <c r="I76" s="2444"/>
      <c r="J76" s="2444"/>
      <c r="K76" s="2444"/>
      <c r="L76" s="2444"/>
      <c r="X76" s="2436"/>
      <c r="Y76" s="2436"/>
      <c r="Z76" s="2436"/>
    </row>
    <row r="77" spans="1:26">
      <c r="A77" s="2369" t="s">
        <v>1080</v>
      </c>
      <c r="B77" s="2446">
        <f t="shared" si="197"/>
        <v>108.5</v>
      </c>
      <c r="C77" s="2446">
        <f t="shared" si="197"/>
        <v>110.5</v>
      </c>
      <c r="D77" s="2446">
        <f t="shared" si="161"/>
        <v>110.5</v>
      </c>
      <c r="E77" s="2446">
        <f t="shared" si="198"/>
        <v>106.5</v>
      </c>
      <c r="F77" s="2446">
        <f t="shared" si="198"/>
        <v>103</v>
      </c>
      <c r="G77" s="3550">
        <v>2003</v>
      </c>
      <c r="H77" s="2389">
        <v>2</v>
      </c>
      <c r="I77" s="2444"/>
      <c r="J77" s="2444"/>
      <c r="K77" s="2444"/>
      <c r="L77" s="2444"/>
      <c r="X77" s="2436"/>
      <c r="Y77" s="2436"/>
      <c r="Z77" s="2436"/>
    </row>
    <row r="78" spans="1:26" ht="13.5" thickBot="1">
      <c r="A78" s="2369" t="s">
        <v>1081</v>
      </c>
      <c r="B78" s="2446">
        <f t="shared" si="197"/>
        <v>107.25</v>
      </c>
      <c r="C78" s="2446">
        <f t="shared" si="197"/>
        <v>108.75</v>
      </c>
      <c r="D78" s="2446">
        <f t="shared" si="161"/>
        <v>108.75</v>
      </c>
      <c r="E78" s="2446">
        <f t="shared" si="198"/>
        <v>105.75</v>
      </c>
      <c r="F78" s="2446">
        <f t="shared" si="198"/>
        <v>102.5</v>
      </c>
      <c r="G78" s="3551">
        <v>2003</v>
      </c>
      <c r="H78" s="2447">
        <v>1</v>
      </c>
      <c r="I78" s="2444"/>
      <c r="J78" s="2444"/>
      <c r="K78" s="2444"/>
      <c r="L78" s="2444"/>
      <c r="S78" s="2387"/>
      <c r="T78" s="2356"/>
      <c r="U78" s="2356"/>
      <c r="X78" s="2436"/>
      <c r="Y78" s="2436"/>
      <c r="Z78" s="2436"/>
    </row>
    <row r="79" spans="1:26" ht="13.5" thickBot="1">
      <c r="A79" s="2369" t="s">
        <v>1082</v>
      </c>
      <c r="B79" s="2448">
        <v>106</v>
      </c>
      <c r="C79" s="2448">
        <v>107</v>
      </c>
      <c r="D79" s="2448">
        <f t="shared" si="161"/>
        <v>107</v>
      </c>
      <c r="E79" s="2448">
        <v>105</v>
      </c>
      <c r="F79" s="2449">
        <v>102</v>
      </c>
      <c r="G79" s="3549">
        <v>2002</v>
      </c>
      <c r="H79" s="2396">
        <v>4</v>
      </c>
      <c r="I79" s="2444"/>
      <c r="J79" s="2444"/>
      <c r="K79" s="2444"/>
      <c r="L79" s="2444"/>
      <c r="N79" s="2445"/>
      <c r="O79" s="2444"/>
      <c r="P79" s="2444"/>
      <c r="Q79" s="2444"/>
      <c r="S79" s="2445"/>
      <c r="T79" s="2444"/>
      <c r="U79" s="2444"/>
      <c r="V79" s="2444"/>
      <c r="X79" s="2436"/>
      <c r="Y79" s="2436"/>
      <c r="Z79" s="2436"/>
    </row>
    <row r="80" spans="1:26">
      <c r="A80" s="2369" t="s">
        <v>1083</v>
      </c>
      <c r="B80" s="2446">
        <f t="shared" ref="B80:C82" si="199">B81+(B$79-B$83)/4</f>
        <v>105</v>
      </c>
      <c r="C80" s="2446">
        <f t="shared" si="199"/>
        <v>106</v>
      </c>
      <c r="D80" s="2446">
        <f t="shared" si="161"/>
        <v>106</v>
      </c>
      <c r="E80" s="2446">
        <f t="shared" ref="E80:F82" si="200">E81+(E$79-E$83)/4</f>
        <v>104.5</v>
      </c>
      <c r="F80" s="2446">
        <f t="shared" si="200"/>
        <v>101.5</v>
      </c>
      <c r="G80" s="3550">
        <v>2002</v>
      </c>
      <c r="H80" s="2399">
        <v>3</v>
      </c>
      <c r="I80" s="2444"/>
      <c r="J80" s="2444"/>
      <c r="K80" s="2444"/>
      <c r="L80" s="2444"/>
      <c r="X80" s="2436"/>
      <c r="Y80" s="2436"/>
      <c r="Z80" s="2436"/>
    </row>
    <row r="81" spans="1:26">
      <c r="A81" s="2369" t="s">
        <v>1084</v>
      </c>
      <c r="B81" s="2446">
        <f t="shared" si="199"/>
        <v>104</v>
      </c>
      <c r="C81" s="2446">
        <f t="shared" si="199"/>
        <v>105</v>
      </c>
      <c r="D81" s="2446">
        <f t="shared" si="161"/>
        <v>105</v>
      </c>
      <c r="E81" s="2446">
        <f t="shared" si="200"/>
        <v>104</v>
      </c>
      <c r="F81" s="2446">
        <f t="shared" si="200"/>
        <v>101</v>
      </c>
      <c r="G81" s="3550">
        <v>2002</v>
      </c>
      <c r="H81" s="2389">
        <v>2</v>
      </c>
      <c r="I81" s="2444"/>
      <c r="J81" s="2444"/>
      <c r="K81" s="2444"/>
      <c r="L81" s="2444"/>
      <c r="X81" s="2436"/>
      <c r="Y81" s="2436"/>
      <c r="Z81" s="2436"/>
    </row>
    <row r="82" spans="1:26" s="2409" customFormat="1" ht="13.5" thickBot="1">
      <c r="A82" s="2405" t="s">
        <v>1085</v>
      </c>
      <c r="B82" s="2412">
        <f t="shared" si="199"/>
        <v>103</v>
      </c>
      <c r="C82" s="2412">
        <f t="shared" si="199"/>
        <v>104</v>
      </c>
      <c r="D82" s="2412">
        <f t="shared" si="161"/>
        <v>104</v>
      </c>
      <c r="E82" s="2412">
        <f t="shared" si="200"/>
        <v>103.5</v>
      </c>
      <c r="F82" s="2412">
        <f t="shared" si="200"/>
        <v>100.5</v>
      </c>
      <c r="G82" s="3551">
        <v>2002</v>
      </c>
      <c r="H82" s="2450">
        <v>1</v>
      </c>
      <c r="I82" s="2451"/>
      <c r="J82" s="2451"/>
      <c r="K82" s="2451"/>
      <c r="L82" s="2451"/>
      <c r="N82" s="2452"/>
      <c r="S82" s="2452"/>
      <c r="X82" s="2453"/>
      <c r="Y82" s="2453"/>
      <c r="Z82" s="2453"/>
    </row>
    <row r="83" spans="1:26" ht="13.5" thickBot="1">
      <c r="B83" s="2454">
        <v>102</v>
      </c>
      <c r="C83" s="2455">
        <v>103</v>
      </c>
      <c r="D83" s="2455">
        <f t="shared" si="161"/>
        <v>103</v>
      </c>
      <c r="E83" s="2455">
        <v>103</v>
      </c>
      <c r="F83" s="2456">
        <v>100</v>
      </c>
      <c r="I83" s="2444"/>
      <c r="J83" s="2444"/>
      <c r="K83" s="2444"/>
      <c r="L83" s="2444"/>
      <c r="N83" s="2445"/>
      <c r="O83" s="2444"/>
      <c r="P83" s="2444"/>
      <c r="Q83" s="2444"/>
      <c r="S83" s="2445"/>
      <c r="T83" s="2444"/>
      <c r="U83" s="2444"/>
      <c r="V83" s="2444"/>
      <c r="X83" s="2385"/>
      <c r="Y83" s="2385"/>
      <c r="Z83" s="2385"/>
    </row>
    <row r="85" spans="1:26" s="2458" customFormat="1">
      <c r="A85" s="2457" t="s">
        <v>1086</v>
      </c>
      <c r="G85" s="2459"/>
      <c r="N85" s="2459"/>
      <c r="S85" s="2459"/>
    </row>
    <row r="86" spans="1:26" s="2458" customFormat="1">
      <c r="A86" s="2458" t="s">
        <v>1087</v>
      </c>
      <c r="G86" s="2459"/>
      <c r="N86" s="2459"/>
      <c r="S86" s="2459"/>
    </row>
    <row r="87" spans="1:26" s="2458" customFormat="1">
      <c r="A87" s="2458" t="s">
        <v>1088</v>
      </c>
      <c r="G87" s="2459"/>
      <c r="I87" s="2460"/>
      <c r="J87" s="2460"/>
      <c r="K87" s="2460"/>
      <c r="L87" s="2460"/>
      <c r="N87" s="2461"/>
      <c r="O87" s="2460"/>
      <c r="P87" s="2460"/>
      <c r="Q87" s="2460"/>
      <c r="S87" s="2461"/>
      <c r="T87" s="2460"/>
      <c r="U87" s="2460"/>
      <c r="V87" s="2460"/>
    </row>
    <row r="88" spans="1:26" s="2458" customFormat="1">
      <c r="A88" s="2458" t="s">
        <v>1089</v>
      </c>
      <c r="G88" s="2459"/>
      <c r="N88" s="2459"/>
      <c r="S88" s="2459"/>
    </row>
    <row r="95" spans="1:26" ht="13.5" thickBot="1"/>
    <row r="96" spans="1:26">
      <c r="G96" s="2355"/>
      <c r="S96" s="2462" t="s">
        <v>1090</v>
      </c>
      <c r="T96" s="2463" t="s">
        <v>1091</v>
      </c>
      <c r="U96" s="2463" t="s">
        <v>1092</v>
      </c>
      <c r="V96" s="2463" t="s">
        <v>1093</v>
      </c>
    </row>
    <row r="97" spans="7:22">
      <c r="G97" s="2355"/>
      <c r="N97" s="2384"/>
      <c r="O97" s="2385"/>
      <c r="P97" s="2385"/>
      <c r="Q97" s="2385"/>
      <c r="S97" s="2464">
        <v>2006</v>
      </c>
      <c r="T97" s="2465">
        <v>15.1</v>
      </c>
      <c r="U97" s="2465">
        <v>7.43</v>
      </c>
      <c r="V97" s="2465">
        <v>26.26</v>
      </c>
    </row>
    <row r="98" spans="7:22">
      <c r="G98" s="2355"/>
      <c r="N98" s="2384"/>
      <c r="O98" s="2385"/>
      <c r="P98" s="2385"/>
      <c r="Q98" s="2385"/>
      <c r="S98" s="2466">
        <v>2005</v>
      </c>
      <c r="T98" s="2467">
        <v>13.9</v>
      </c>
      <c r="U98" s="2467">
        <v>7.49</v>
      </c>
      <c r="V98" s="2467">
        <v>24.92</v>
      </c>
    </row>
    <row r="99" spans="7:22">
      <c r="G99" s="2355"/>
      <c r="N99" s="2384"/>
      <c r="O99" s="2385"/>
      <c r="P99" s="2385"/>
      <c r="Q99" s="2385"/>
      <c r="S99" s="2464">
        <v>2004</v>
      </c>
      <c r="T99" s="2465">
        <v>9.48</v>
      </c>
      <c r="U99" s="2465">
        <v>7.2</v>
      </c>
      <c r="V99" s="2465">
        <v>14.68</v>
      </c>
    </row>
    <row r="100" spans="7:22">
      <c r="G100" s="2355"/>
      <c r="N100" s="2384"/>
      <c r="O100" s="2385"/>
      <c r="P100" s="2385"/>
      <c r="Q100" s="2385"/>
      <c r="S100" s="2466">
        <v>2003</v>
      </c>
      <c r="T100" s="2467">
        <v>4.5</v>
      </c>
      <c r="U100" s="2467">
        <v>6.12</v>
      </c>
      <c r="V100" s="2467">
        <v>2.34</v>
      </c>
    </row>
    <row r="101" spans="7:22" ht="13.5" thickBot="1">
      <c r="G101" s="2355"/>
      <c r="N101" s="2384"/>
      <c r="O101" s="2385"/>
      <c r="P101" s="2385"/>
      <c r="Q101" s="2385"/>
      <c r="S101" s="2468">
        <v>2002</v>
      </c>
      <c r="T101" s="2469">
        <v>3.59</v>
      </c>
      <c r="U101" s="2469">
        <v>4.54</v>
      </c>
      <c r="V101" s="2469">
        <v>2.5499999999999998</v>
      </c>
    </row>
    <row r="102" spans="7:22">
      <c r="G102" s="2355"/>
      <c r="N102" s="2384"/>
      <c r="O102" s="2385"/>
      <c r="P102" s="2385"/>
      <c r="Q102" s="2385"/>
    </row>
    <row r="103" spans="7:22">
      <c r="G103" s="2355"/>
      <c r="N103" s="2384"/>
      <c r="O103" s="2385"/>
      <c r="P103" s="2385"/>
      <c r="Q103" s="2385"/>
    </row>
    <row r="104" spans="7:22">
      <c r="G104" s="2355"/>
      <c r="N104" s="2384"/>
      <c r="O104" s="2385"/>
      <c r="P104" s="2385"/>
      <c r="Q104" s="2385"/>
    </row>
    <row r="105" spans="7:22">
      <c r="G105" s="2355"/>
      <c r="N105" s="2384"/>
      <c r="O105" s="2385"/>
      <c r="P105" s="2385"/>
      <c r="Q105" s="2385"/>
    </row>
    <row r="106" spans="7:22">
      <c r="G106" s="2355"/>
      <c r="N106" s="2384"/>
      <c r="O106" s="2385"/>
      <c r="P106" s="2385"/>
      <c r="Q106" s="2385"/>
    </row>
    <row r="107" spans="7:22">
      <c r="G107" s="2355"/>
      <c r="N107" s="2384"/>
      <c r="O107" s="2385"/>
      <c r="P107" s="2385"/>
      <c r="Q107" s="2385"/>
    </row>
    <row r="108" spans="7:22">
      <c r="G108" s="2355"/>
      <c r="N108" s="2384"/>
      <c r="O108" s="2385"/>
      <c r="P108" s="2385"/>
      <c r="Q108" s="2385"/>
    </row>
    <row r="109" spans="7:22">
      <c r="G109" s="2355"/>
      <c r="N109" s="2384"/>
      <c r="O109" s="2385"/>
      <c r="P109" s="2385"/>
      <c r="Q109" s="2385"/>
    </row>
    <row r="110" spans="7:22">
      <c r="G110" s="2355"/>
      <c r="N110" s="2384"/>
      <c r="O110" s="2385"/>
      <c r="P110" s="2385"/>
      <c r="Q110" s="2385"/>
    </row>
    <row r="111" spans="7:22">
      <c r="G111" s="2355"/>
      <c r="N111" s="2384"/>
      <c r="O111" s="2385"/>
      <c r="P111" s="2385"/>
      <c r="Q111" s="2385"/>
    </row>
    <row r="112" spans="7:22">
      <c r="G112" s="2355"/>
      <c r="N112" s="2384"/>
      <c r="O112" s="2385"/>
      <c r="P112" s="2385"/>
      <c r="Q112" s="2385"/>
      <c r="S112" s="2355"/>
    </row>
    <row r="113" spans="7:19">
      <c r="G113" s="2355"/>
      <c r="N113" s="2384"/>
      <c r="O113" s="2385"/>
      <c r="P113" s="2385"/>
      <c r="Q113" s="2385"/>
      <c r="S113" s="2355"/>
    </row>
    <row r="114" spans="7:19">
      <c r="G114" s="2355"/>
      <c r="N114" s="2384"/>
      <c r="O114" s="2385"/>
      <c r="P114" s="2385"/>
      <c r="Q114" s="2385"/>
      <c r="S114" s="2355"/>
    </row>
    <row r="115" spans="7:19">
      <c r="G115" s="2355"/>
      <c r="N115" s="2384"/>
      <c r="O115" s="2385"/>
      <c r="P115" s="2385"/>
      <c r="Q115" s="2385"/>
      <c r="S115" s="2355"/>
    </row>
    <row r="116" spans="7:19">
      <c r="G116" s="2355"/>
      <c r="N116" s="2384"/>
      <c r="O116" s="2385"/>
      <c r="P116" s="2385"/>
      <c r="Q116" s="2385"/>
      <c r="S116" s="2355"/>
    </row>
    <row r="117" spans="7:19">
      <c r="G117" s="2355"/>
      <c r="N117" s="2384"/>
      <c r="O117" s="2385"/>
      <c r="P117" s="2385"/>
      <c r="Q117" s="2385"/>
      <c r="S117" s="2355"/>
    </row>
  </sheetData>
  <sheetProtection password="CEE9" sheet="1" objects="1" scenarios="1" formatCells="0"/>
  <mergeCells count="23">
    <mergeCell ref="G67:G70"/>
    <mergeCell ref="G71:G74"/>
    <mergeCell ref="G75:G78"/>
    <mergeCell ref="G79:G82"/>
    <mergeCell ref="G43:G46"/>
    <mergeCell ref="G47:G50"/>
    <mergeCell ref="G51:G54"/>
    <mergeCell ref="G55:G58"/>
    <mergeCell ref="G59:G62"/>
    <mergeCell ref="G63:G66"/>
    <mergeCell ref="X1:AB1"/>
    <mergeCell ref="AD1:AH1"/>
    <mergeCell ref="G39:G42"/>
    <mergeCell ref="B1:F1"/>
    <mergeCell ref="G1:L1"/>
    <mergeCell ref="N1:Q1"/>
    <mergeCell ref="S1:V1"/>
    <mergeCell ref="G23:G26"/>
    <mergeCell ref="G27:G30"/>
    <mergeCell ref="G31:G34"/>
    <mergeCell ref="G35:G38"/>
    <mergeCell ref="G15:G18"/>
    <mergeCell ref="G19:G22"/>
  </mergeCells>
  <phoneticPr fontId="146" type="noConversion"/>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68"/>
  <sheetViews>
    <sheetView workbookViewId="0">
      <selection activeCell="C13" sqref="C13:H13"/>
    </sheetView>
  </sheetViews>
  <sheetFormatPr defaultRowHeight="13.5"/>
  <cols>
    <col min="1" max="1" width="4.875" style="1237" customWidth="1"/>
    <col min="2" max="2" width="13.25" style="1243" customWidth="1"/>
    <col min="3" max="3" width="15.625" style="1243" customWidth="1"/>
    <col min="4" max="4" width="9.375" style="1243" bestFit="1" customWidth="1"/>
    <col min="5" max="5" width="13.5" style="1243" customWidth="1"/>
    <col min="6" max="6" width="9" style="1243"/>
    <col min="7" max="7" width="9.375" style="1243" bestFit="1" customWidth="1"/>
    <col min="8" max="8" width="11.5" style="1243" customWidth="1"/>
    <col min="9" max="9" width="9" style="1243"/>
    <col min="10" max="10" width="9.375" style="1243" bestFit="1" customWidth="1"/>
    <col min="11" max="11" width="4" style="1237" customWidth="1"/>
    <col min="12" max="12" width="5.125" style="1243" customWidth="1"/>
    <col min="13" max="13" width="13.75" style="1243" customWidth="1"/>
    <col min="14" max="256" width="9" style="1243"/>
    <col min="257" max="257" width="4.875" style="1234" customWidth="1"/>
    <col min="258" max="258" width="13.25" style="1234" customWidth="1"/>
    <col min="259" max="259" width="15.625" style="1234" customWidth="1"/>
    <col min="260" max="260" width="9.375" style="1234" bestFit="1" customWidth="1"/>
    <col min="261" max="261" width="13.5" style="1234" customWidth="1"/>
    <col min="262" max="262" width="9" style="1234"/>
    <col min="263" max="263" width="9.375" style="1234" bestFit="1" customWidth="1"/>
    <col min="264" max="265" width="9" style="1234"/>
    <col min="266" max="266" width="9.375" style="1234" bestFit="1" customWidth="1"/>
    <col min="267" max="267" width="4" style="1234" customWidth="1"/>
    <col min="268" max="268" width="5.125" style="1234" customWidth="1"/>
    <col min="269" max="269" width="13.75" style="1234" customWidth="1"/>
    <col min="270" max="512" width="9" style="1234"/>
    <col min="513" max="513" width="4.875" style="1234" customWidth="1"/>
    <col min="514" max="514" width="13.25" style="1234" customWidth="1"/>
    <col min="515" max="515" width="15.625" style="1234" customWidth="1"/>
    <col min="516" max="516" width="9.375" style="1234" bestFit="1" customWidth="1"/>
    <col min="517" max="517" width="13.5" style="1234" customWidth="1"/>
    <col min="518" max="518" width="9" style="1234"/>
    <col min="519" max="519" width="9.375" style="1234" bestFit="1" customWidth="1"/>
    <col min="520" max="521" width="9" style="1234"/>
    <col min="522" max="522" width="9.375" style="1234" bestFit="1" customWidth="1"/>
    <col min="523" max="523" width="4" style="1234" customWidth="1"/>
    <col min="524" max="524" width="5.125" style="1234" customWidth="1"/>
    <col min="525" max="525" width="13.75" style="1234" customWidth="1"/>
    <col min="526" max="768" width="9" style="1234"/>
    <col min="769" max="769" width="4.875" style="1234" customWidth="1"/>
    <col min="770" max="770" width="13.25" style="1234" customWidth="1"/>
    <col min="771" max="771" width="15.625" style="1234" customWidth="1"/>
    <col min="772" max="772" width="9.375" style="1234" bestFit="1" customWidth="1"/>
    <col min="773" max="773" width="13.5" style="1234" customWidth="1"/>
    <col min="774" max="774" width="9" style="1234"/>
    <col min="775" max="775" width="9.375" style="1234" bestFit="1" customWidth="1"/>
    <col min="776" max="777" width="9" style="1234"/>
    <col min="778" max="778" width="9.375" style="1234" bestFit="1" customWidth="1"/>
    <col min="779" max="779" width="4" style="1234" customWidth="1"/>
    <col min="780" max="780" width="5.125" style="1234" customWidth="1"/>
    <col min="781" max="781" width="13.75" style="1234" customWidth="1"/>
    <col min="782" max="1024" width="9" style="1234"/>
    <col min="1025" max="1025" width="4.875" style="1234" customWidth="1"/>
    <col min="1026" max="1026" width="13.25" style="1234" customWidth="1"/>
    <col min="1027" max="1027" width="15.625" style="1234" customWidth="1"/>
    <col min="1028" max="1028" width="9.375" style="1234" bestFit="1" customWidth="1"/>
    <col min="1029" max="1029" width="13.5" style="1234" customWidth="1"/>
    <col min="1030" max="1030" width="9" style="1234"/>
    <col min="1031" max="1031" width="9.375" style="1234" bestFit="1" customWidth="1"/>
    <col min="1032" max="1033" width="9" style="1234"/>
    <col min="1034" max="1034" width="9.375" style="1234" bestFit="1" customWidth="1"/>
    <col min="1035" max="1035" width="4" style="1234" customWidth="1"/>
    <col min="1036" max="1036" width="5.125" style="1234" customWidth="1"/>
    <col min="1037" max="1037" width="13.75" style="1234" customWidth="1"/>
    <col min="1038" max="1280" width="9" style="1234"/>
    <col min="1281" max="1281" width="4.875" style="1234" customWidth="1"/>
    <col min="1282" max="1282" width="13.25" style="1234" customWidth="1"/>
    <col min="1283" max="1283" width="15.625" style="1234" customWidth="1"/>
    <col min="1284" max="1284" width="9.375" style="1234" bestFit="1" customWidth="1"/>
    <col min="1285" max="1285" width="13.5" style="1234" customWidth="1"/>
    <col min="1286" max="1286" width="9" style="1234"/>
    <col min="1287" max="1287" width="9.375" style="1234" bestFit="1" customWidth="1"/>
    <col min="1288" max="1289" width="9" style="1234"/>
    <col min="1290" max="1290" width="9.375" style="1234" bestFit="1" customWidth="1"/>
    <col min="1291" max="1291" width="4" style="1234" customWidth="1"/>
    <col min="1292" max="1292" width="5.125" style="1234" customWidth="1"/>
    <col min="1293" max="1293" width="13.75" style="1234" customWidth="1"/>
    <col min="1294" max="1536" width="9" style="1234"/>
    <col min="1537" max="1537" width="4.875" style="1234" customWidth="1"/>
    <col min="1538" max="1538" width="13.25" style="1234" customWidth="1"/>
    <col min="1539" max="1539" width="15.625" style="1234" customWidth="1"/>
    <col min="1540" max="1540" width="9.375" style="1234" bestFit="1" customWidth="1"/>
    <col min="1541" max="1541" width="13.5" style="1234" customWidth="1"/>
    <col min="1542" max="1542" width="9" style="1234"/>
    <col min="1543" max="1543" width="9.375" style="1234" bestFit="1" customWidth="1"/>
    <col min="1544" max="1545" width="9" style="1234"/>
    <col min="1546" max="1546" width="9.375" style="1234" bestFit="1" customWidth="1"/>
    <col min="1547" max="1547" width="4" style="1234" customWidth="1"/>
    <col min="1548" max="1548" width="5.125" style="1234" customWidth="1"/>
    <col min="1549" max="1549" width="13.75" style="1234" customWidth="1"/>
    <col min="1550" max="1792" width="9" style="1234"/>
    <col min="1793" max="1793" width="4.875" style="1234" customWidth="1"/>
    <col min="1794" max="1794" width="13.25" style="1234" customWidth="1"/>
    <col min="1795" max="1795" width="15.625" style="1234" customWidth="1"/>
    <col min="1796" max="1796" width="9.375" style="1234" bestFit="1" customWidth="1"/>
    <col min="1797" max="1797" width="13.5" style="1234" customWidth="1"/>
    <col min="1798" max="1798" width="9" style="1234"/>
    <col min="1799" max="1799" width="9.375" style="1234" bestFit="1" customWidth="1"/>
    <col min="1800" max="1801" width="9" style="1234"/>
    <col min="1802" max="1802" width="9.375" style="1234" bestFit="1" customWidth="1"/>
    <col min="1803" max="1803" width="4" style="1234" customWidth="1"/>
    <col min="1804" max="1804" width="5.125" style="1234" customWidth="1"/>
    <col min="1805" max="1805" width="13.75" style="1234" customWidth="1"/>
    <col min="1806" max="2048" width="9" style="1234"/>
    <col min="2049" max="2049" width="4.875" style="1234" customWidth="1"/>
    <col min="2050" max="2050" width="13.25" style="1234" customWidth="1"/>
    <col min="2051" max="2051" width="15.625" style="1234" customWidth="1"/>
    <col min="2052" max="2052" width="9.375" style="1234" bestFit="1" customWidth="1"/>
    <col min="2053" max="2053" width="13.5" style="1234" customWidth="1"/>
    <col min="2054" max="2054" width="9" style="1234"/>
    <col min="2055" max="2055" width="9.375" style="1234" bestFit="1" customWidth="1"/>
    <col min="2056" max="2057" width="9" style="1234"/>
    <col min="2058" max="2058" width="9.375" style="1234" bestFit="1" customWidth="1"/>
    <col min="2059" max="2059" width="4" style="1234" customWidth="1"/>
    <col min="2060" max="2060" width="5.125" style="1234" customWidth="1"/>
    <col min="2061" max="2061" width="13.75" style="1234" customWidth="1"/>
    <col min="2062" max="2304" width="9" style="1234"/>
    <col min="2305" max="2305" width="4.875" style="1234" customWidth="1"/>
    <col min="2306" max="2306" width="13.25" style="1234" customWidth="1"/>
    <col min="2307" max="2307" width="15.625" style="1234" customWidth="1"/>
    <col min="2308" max="2308" width="9.375" style="1234" bestFit="1" customWidth="1"/>
    <col min="2309" max="2309" width="13.5" style="1234" customWidth="1"/>
    <col min="2310" max="2310" width="9" style="1234"/>
    <col min="2311" max="2311" width="9.375" style="1234" bestFit="1" customWidth="1"/>
    <col min="2312" max="2313" width="9" style="1234"/>
    <col min="2314" max="2314" width="9.375" style="1234" bestFit="1" customWidth="1"/>
    <col min="2315" max="2315" width="4" style="1234" customWidth="1"/>
    <col min="2316" max="2316" width="5.125" style="1234" customWidth="1"/>
    <col min="2317" max="2317" width="13.75" style="1234" customWidth="1"/>
    <col min="2318" max="2560" width="9" style="1234"/>
    <col min="2561" max="2561" width="4.875" style="1234" customWidth="1"/>
    <col min="2562" max="2562" width="13.25" style="1234" customWidth="1"/>
    <col min="2563" max="2563" width="15.625" style="1234" customWidth="1"/>
    <col min="2564" max="2564" width="9.375" style="1234" bestFit="1" customWidth="1"/>
    <col min="2565" max="2565" width="13.5" style="1234" customWidth="1"/>
    <col min="2566" max="2566" width="9" style="1234"/>
    <col min="2567" max="2567" width="9.375" style="1234" bestFit="1" customWidth="1"/>
    <col min="2568" max="2569" width="9" style="1234"/>
    <col min="2570" max="2570" width="9.375" style="1234" bestFit="1" customWidth="1"/>
    <col min="2571" max="2571" width="4" style="1234" customWidth="1"/>
    <col min="2572" max="2572" width="5.125" style="1234" customWidth="1"/>
    <col min="2573" max="2573" width="13.75" style="1234" customWidth="1"/>
    <col min="2574" max="2816" width="9" style="1234"/>
    <col min="2817" max="2817" width="4.875" style="1234" customWidth="1"/>
    <col min="2818" max="2818" width="13.25" style="1234" customWidth="1"/>
    <col min="2819" max="2819" width="15.625" style="1234" customWidth="1"/>
    <col min="2820" max="2820" width="9.375" style="1234" bestFit="1" customWidth="1"/>
    <col min="2821" max="2821" width="13.5" style="1234" customWidth="1"/>
    <col min="2822" max="2822" width="9" style="1234"/>
    <col min="2823" max="2823" width="9.375" style="1234" bestFit="1" customWidth="1"/>
    <col min="2824" max="2825" width="9" style="1234"/>
    <col min="2826" max="2826" width="9.375" style="1234" bestFit="1" customWidth="1"/>
    <col min="2827" max="2827" width="4" style="1234" customWidth="1"/>
    <col min="2828" max="2828" width="5.125" style="1234" customWidth="1"/>
    <col min="2829" max="2829" width="13.75" style="1234" customWidth="1"/>
    <col min="2830" max="3072" width="9" style="1234"/>
    <col min="3073" max="3073" width="4.875" style="1234" customWidth="1"/>
    <col min="3074" max="3074" width="13.25" style="1234" customWidth="1"/>
    <col min="3075" max="3075" width="15.625" style="1234" customWidth="1"/>
    <col min="3076" max="3076" width="9.375" style="1234" bestFit="1" customWidth="1"/>
    <col min="3077" max="3077" width="13.5" style="1234" customWidth="1"/>
    <col min="3078" max="3078" width="9" style="1234"/>
    <col min="3079" max="3079" width="9.375" style="1234" bestFit="1" customWidth="1"/>
    <col min="3080" max="3081" width="9" style="1234"/>
    <col min="3082" max="3082" width="9.375" style="1234" bestFit="1" customWidth="1"/>
    <col min="3083" max="3083" width="4" style="1234" customWidth="1"/>
    <col min="3084" max="3084" width="5.125" style="1234" customWidth="1"/>
    <col min="3085" max="3085" width="13.75" style="1234" customWidth="1"/>
    <col min="3086" max="3328" width="9" style="1234"/>
    <col min="3329" max="3329" width="4.875" style="1234" customWidth="1"/>
    <col min="3330" max="3330" width="13.25" style="1234" customWidth="1"/>
    <col min="3331" max="3331" width="15.625" style="1234" customWidth="1"/>
    <col min="3332" max="3332" width="9.375" style="1234" bestFit="1" customWidth="1"/>
    <col min="3333" max="3333" width="13.5" style="1234" customWidth="1"/>
    <col min="3334" max="3334" width="9" style="1234"/>
    <col min="3335" max="3335" width="9.375" style="1234" bestFit="1" customWidth="1"/>
    <col min="3336" max="3337" width="9" style="1234"/>
    <col min="3338" max="3338" width="9.375" style="1234" bestFit="1" customWidth="1"/>
    <col min="3339" max="3339" width="4" style="1234" customWidth="1"/>
    <col min="3340" max="3340" width="5.125" style="1234" customWidth="1"/>
    <col min="3341" max="3341" width="13.75" style="1234" customWidth="1"/>
    <col min="3342" max="3584" width="9" style="1234"/>
    <col min="3585" max="3585" width="4.875" style="1234" customWidth="1"/>
    <col min="3586" max="3586" width="13.25" style="1234" customWidth="1"/>
    <col min="3587" max="3587" width="15.625" style="1234" customWidth="1"/>
    <col min="3588" max="3588" width="9.375" style="1234" bestFit="1" customWidth="1"/>
    <col min="3589" max="3589" width="13.5" style="1234" customWidth="1"/>
    <col min="3590" max="3590" width="9" style="1234"/>
    <col min="3591" max="3591" width="9.375" style="1234" bestFit="1" customWidth="1"/>
    <col min="3592" max="3593" width="9" style="1234"/>
    <col min="3594" max="3594" width="9.375" style="1234" bestFit="1" customWidth="1"/>
    <col min="3595" max="3595" width="4" style="1234" customWidth="1"/>
    <col min="3596" max="3596" width="5.125" style="1234" customWidth="1"/>
    <col min="3597" max="3597" width="13.75" style="1234" customWidth="1"/>
    <col min="3598" max="3840" width="9" style="1234"/>
    <col min="3841" max="3841" width="4.875" style="1234" customWidth="1"/>
    <col min="3842" max="3842" width="13.25" style="1234" customWidth="1"/>
    <col min="3843" max="3843" width="15.625" style="1234" customWidth="1"/>
    <col min="3844" max="3844" width="9.375" style="1234" bestFit="1" customWidth="1"/>
    <col min="3845" max="3845" width="13.5" style="1234" customWidth="1"/>
    <col min="3846" max="3846" width="9" style="1234"/>
    <col min="3847" max="3847" width="9.375" style="1234" bestFit="1" customWidth="1"/>
    <col min="3848" max="3849" width="9" style="1234"/>
    <col min="3850" max="3850" width="9.375" style="1234" bestFit="1" customWidth="1"/>
    <col min="3851" max="3851" width="4" style="1234" customWidth="1"/>
    <col min="3852" max="3852" width="5.125" style="1234" customWidth="1"/>
    <col min="3853" max="3853" width="13.75" style="1234" customWidth="1"/>
    <col min="3854" max="4096" width="9" style="1234"/>
    <col min="4097" max="4097" width="4.875" style="1234" customWidth="1"/>
    <col min="4098" max="4098" width="13.25" style="1234" customWidth="1"/>
    <col min="4099" max="4099" width="15.625" style="1234" customWidth="1"/>
    <col min="4100" max="4100" width="9.375" style="1234" bestFit="1" customWidth="1"/>
    <col min="4101" max="4101" width="13.5" style="1234" customWidth="1"/>
    <col min="4102" max="4102" width="9" style="1234"/>
    <col min="4103" max="4103" width="9.375" style="1234" bestFit="1" customWidth="1"/>
    <col min="4104" max="4105" width="9" style="1234"/>
    <col min="4106" max="4106" width="9.375" style="1234" bestFit="1" customWidth="1"/>
    <col min="4107" max="4107" width="4" style="1234" customWidth="1"/>
    <col min="4108" max="4108" width="5.125" style="1234" customWidth="1"/>
    <col min="4109" max="4109" width="13.75" style="1234" customWidth="1"/>
    <col min="4110" max="4352" width="9" style="1234"/>
    <col min="4353" max="4353" width="4.875" style="1234" customWidth="1"/>
    <col min="4354" max="4354" width="13.25" style="1234" customWidth="1"/>
    <col min="4355" max="4355" width="15.625" style="1234" customWidth="1"/>
    <col min="4356" max="4356" width="9.375" style="1234" bestFit="1" customWidth="1"/>
    <col min="4357" max="4357" width="13.5" style="1234" customWidth="1"/>
    <col min="4358" max="4358" width="9" style="1234"/>
    <col min="4359" max="4359" width="9.375" style="1234" bestFit="1" customWidth="1"/>
    <col min="4360" max="4361" width="9" style="1234"/>
    <col min="4362" max="4362" width="9.375" style="1234" bestFit="1" customWidth="1"/>
    <col min="4363" max="4363" width="4" style="1234" customWidth="1"/>
    <col min="4364" max="4364" width="5.125" style="1234" customWidth="1"/>
    <col min="4365" max="4365" width="13.75" style="1234" customWidth="1"/>
    <col min="4366" max="4608" width="9" style="1234"/>
    <col min="4609" max="4609" width="4.875" style="1234" customWidth="1"/>
    <col min="4610" max="4610" width="13.25" style="1234" customWidth="1"/>
    <col min="4611" max="4611" width="15.625" style="1234" customWidth="1"/>
    <col min="4612" max="4612" width="9.375" style="1234" bestFit="1" customWidth="1"/>
    <col min="4613" max="4613" width="13.5" style="1234" customWidth="1"/>
    <col min="4614" max="4614" width="9" style="1234"/>
    <col min="4615" max="4615" width="9.375" style="1234" bestFit="1" customWidth="1"/>
    <col min="4616" max="4617" width="9" style="1234"/>
    <col min="4618" max="4618" width="9.375" style="1234" bestFit="1" customWidth="1"/>
    <col min="4619" max="4619" width="4" style="1234" customWidth="1"/>
    <col min="4620" max="4620" width="5.125" style="1234" customWidth="1"/>
    <col min="4621" max="4621" width="13.75" style="1234" customWidth="1"/>
    <col min="4622" max="4864" width="9" style="1234"/>
    <col min="4865" max="4865" width="4.875" style="1234" customWidth="1"/>
    <col min="4866" max="4866" width="13.25" style="1234" customWidth="1"/>
    <col min="4867" max="4867" width="15.625" style="1234" customWidth="1"/>
    <col min="4868" max="4868" width="9.375" style="1234" bestFit="1" customWidth="1"/>
    <col min="4869" max="4869" width="13.5" style="1234" customWidth="1"/>
    <col min="4870" max="4870" width="9" style="1234"/>
    <col min="4871" max="4871" width="9.375" style="1234" bestFit="1" customWidth="1"/>
    <col min="4872" max="4873" width="9" style="1234"/>
    <col min="4874" max="4874" width="9.375" style="1234" bestFit="1" customWidth="1"/>
    <col min="4875" max="4875" width="4" style="1234" customWidth="1"/>
    <col min="4876" max="4876" width="5.125" style="1234" customWidth="1"/>
    <col min="4877" max="4877" width="13.75" style="1234" customWidth="1"/>
    <col min="4878" max="5120" width="9" style="1234"/>
    <col min="5121" max="5121" width="4.875" style="1234" customWidth="1"/>
    <col min="5122" max="5122" width="13.25" style="1234" customWidth="1"/>
    <col min="5123" max="5123" width="15.625" style="1234" customWidth="1"/>
    <col min="5124" max="5124" width="9.375" style="1234" bestFit="1" customWidth="1"/>
    <col min="5125" max="5125" width="13.5" style="1234" customWidth="1"/>
    <col min="5126" max="5126" width="9" style="1234"/>
    <col min="5127" max="5127" width="9.375" style="1234" bestFit="1" customWidth="1"/>
    <col min="5128" max="5129" width="9" style="1234"/>
    <col min="5130" max="5130" width="9.375" style="1234" bestFit="1" customWidth="1"/>
    <col min="5131" max="5131" width="4" style="1234" customWidth="1"/>
    <col min="5132" max="5132" width="5.125" style="1234" customWidth="1"/>
    <col min="5133" max="5133" width="13.75" style="1234" customWidth="1"/>
    <col min="5134" max="5376" width="9" style="1234"/>
    <col min="5377" max="5377" width="4.875" style="1234" customWidth="1"/>
    <col min="5378" max="5378" width="13.25" style="1234" customWidth="1"/>
    <col min="5379" max="5379" width="15.625" style="1234" customWidth="1"/>
    <col min="5380" max="5380" width="9.375" style="1234" bestFit="1" customWidth="1"/>
    <col min="5381" max="5381" width="13.5" style="1234" customWidth="1"/>
    <col min="5382" max="5382" width="9" style="1234"/>
    <col min="5383" max="5383" width="9.375" style="1234" bestFit="1" customWidth="1"/>
    <col min="5384" max="5385" width="9" style="1234"/>
    <col min="5386" max="5386" width="9.375" style="1234" bestFit="1" customWidth="1"/>
    <col min="5387" max="5387" width="4" style="1234" customWidth="1"/>
    <col min="5388" max="5388" width="5.125" style="1234" customWidth="1"/>
    <col min="5389" max="5389" width="13.75" style="1234" customWidth="1"/>
    <col min="5390" max="5632" width="9" style="1234"/>
    <col min="5633" max="5633" width="4.875" style="1234" customWidth="1"/>
    <col min="5634" max="5634" width="13.25" style="1234" customWidth="1"/>
    <col min="5635" max="5635" width="15.625" style="1234" customWidth="1"/>
    <col min="5636" max="5636" width="9.375" style="1234" bestFit="1" customWidth="1"/>
    <col min="5637" max="5637" width="13.5" style="1234" customWidth="1"/>
    <col min="5638" max="5638" width="9" style="1234"/>
    <col min="5639" max="5639" width="9.375" style="1234" bestFit="1" customWidth="1"/>
    <col min="5640" max="5641" width="9" style="1234"/>
    <col min="5642" max="5642" width="9.375" style="1234" bestFit="1" customWidth="1"/>
    <col min="5643" max="5643" width="4" style="1234" customWidth="1"/>
    <col min="5644" max="5644" width="5.125" style="1234" customWidth="1"/>
    <col min="5645" max="5645" width="13.75" style="1234" customWidth="1"/>
    <col min="5646" max="5888" width="9" style="1234"/>
    <col min="5889" max="5889" width="4.875" style="1234" customWidth="1"/>
    <col min="5890" max="5890" width="13.25" style="1234" customWidth="1"/>
    <col min="5891" max="5891" width="15.625" style="1234" customWidth="1"/>
    <col min="5892" max="5892" width="9.375" style="1234" bestFit="1" customWidth="1"/>
    <col min="5893" max="5893" width="13.5" style="1234" customWidth="1"/>
    <col min="5894" max="5894" width="9" style="1234"/>
    <col min="5895" max="5895" width="9.375" style="1234" bestFit="1" customWidth="1"/>
    <col min="5896" max="5897" width="9" style="1234"/>
    <col min="5898" max="5898" width="9.375" style="1234" bestFit="1" customWidth="1"/>
    <col min="5899" max="5899" width="4" style="1234" customWidth="1"/>
    <col min="5900" max="5900" width="5.125" style="1234" customWidth="1"/>
    <col min="5901" max="5901" width="13.75" style="1234" customWidth="1"/>
    <col min="5902" max="6144" width="9" style="1234"/>
    <col min="6145" max="6145" width="4.875" style="1234" customWidth="1"/>
    <col min="6146" max="6146" width="13.25" style="1234" customWidth="1"/>
    <col min="6147" max="6147" width="15.625" style="1234" customWidth="1"/>
    <col min="6148" max="6148" width="9.375" style="1234" bestFit="1" customWidth="1"/>
    <col min="6149" max="6149" width="13.5" style="1234" customWidth="1"/>
    <col min="6150" max="6150" width="9" style="1234"/>
    <col min="6151" max="6151" width="9.375" style="1234" bestFit="1" customWidth="1"/>
    <col min="6152" max="6153" width="9" style="1234"/>
    <col min="6154" max="6154" width="9.375" style="1234" bestFit="1" customWidth="1"/>
    <col min="6155" max="6155" width="4" style="1234" customWidth="1"/>
    <col min="6156" max="6156" width="5.125" style="1234" customWidth="1"/>
    <col min="6157" max="6157" width="13.75" style="1234" customWidth="1"/>
    <col min="6158" max="6400" width="9" style="1234"/>
    <col min="6401" max="6401" width="4.875" style="1234" customWidth="1"/>
    <col min="6402" max="6402" width="13.25" style="1234" customWidth="1"/>
    <col min="6403" max="6403" width="15.625" style="1234" customWidth="1"/>
    <col min="6404" max="6404" width="9.375" style="1234" bestFit="1" customWidth="1"/>
    <col min="6405" max="6405" width="13.5" style="1234" customWidth="1"/>
    <col min="6406" max="6406" width="9" style="1234"/>
    <col min="6407" max="6407" width="9.375" style="1234" bestFit="1" customWidth="1"/>
    <col min="6408" max="6409" width="9" style="1234"/>
    <col min="6410" max="6410" width="9.375" style="1234" bestFit="1" customWidth="1"/>
    <col min="6411" max="6411" width="4" style="1234" customWidth="1"/>
    <col min="6412" max="6412" width="5.125" style="1234" customWidth="1"/>
    <col min="6413" max="6413" width="13.75" style="1234" customWidth="1"/>
    <col min="6414" max="6656" width="9" style="1234"/>
    <col min="6657" max="6657" width="4.875" style="1234" customWidth="1"/>
    <col min="6658" max="6658" width="13.25" style="1234" customWidth="1"/>
    <col min="6659" max="6659" width="15.625" style="1234" customWidth="1"/>
    <col min="6660" max="6660" width="9.375" style="1234" bestFit="1" customWidth="1"/>
    <col min="6661" max="6661" width="13.5" style="1234" customWidth="1"/>
    <col min="6662" max="6662" width="9" style="1234"/>
    <col min="6663" max="6663" width="9.375" style="1234" bestFit="1" customWidth="1"/>
    <col min="6664" max="6665" width="9" style="1234"/>
    <col min="6666" max="6666" width="9.375" style="1234" bestFit="1" customWidth="1"/>
    <col min="6667" max="6667" width="4" style="1234" customWidth="1"/>
    <col min="6668" max="6668" width="5.125" style="1234" customWidth="1"/>
    <col min="6669" max="6669" width="13.75" style="1234" customWidth="1"/>
    <col min="6670" max="6912" width="9" style="1234"/>
    <col min="6913" max="6913" width="4.875" style="1234" customWidth="1"/>
    <col min="6914" max="6914" width="13.25" style="1234" customWidth="1"/>
    <col min="6915" max="6915" width="15.625" style="1234" customWidth="1"/>
    <col min="6916" max="6916" width="9.375" style="1234" bestFit="1" customWidth="1"/>
    <col min="6917" max="6917" width="13.5" style="1234" customWidth="1"/>
    <col min="6918" max="6918" width="9" style="1234"/>
    <col min="6919" max="6919" width="9.375" style="1234" bestFit="1" customWidth="1"/>
    <col min="6920" max="6921" width="9" style="1234"/>
    <col min="6922" max="6922" width="9.375" style="1234" bestFit="1" customWidth="1"/>
    <col min="6923" max="6923" width="4" style="1234" customWidth="1"/>
    <col min="6924" max="6924" width="5.125" style="1234" customWidth="1"/>
    <col min="6925" max="6925" width="13.75" style="1234" customWidth="1"/>
    <col min="6926" max="7168" width="9" style="1234"/>
    <col min="7169" max="7169" width="4.875" style="1234" customWidth="1"/>
    <col min="7170" max="7170" width="13.25" style="1234" customWidth="1"/>
    <col min="7171" max="7171" width="15.625" style="1234" customWidth="1"/>
    <col min="7172" max="7172" width="9.375" style="1234" bestFit="1" customWidth="1"/>
    <col min="7173" max="7173" width="13.5" style="1234" customWidth="1"/>
    <col min="7174" max="7174" width="9" style="1234"/>
    <col min="7175" max="7175" width="9.375" style="1234" bestFit="1" customWidth="1"/>
    <col min="7176" max="7177" width="9" style="1234"/>
    <col min="7178" max="7178" width="9.375" style="1234" bestFit="1" customWidth="1"/>
    <col min="7179" max="7179" width="4" style="1234" customWidth="1"/>
    <col min="7180" max="7180" width="5.125" style="1234" customWidth="1"/>
    <col min="7181" max="7181" width="13.75" style="1234" customWidth="1"/>
    <col min="7182" max="7424" width="9" style="1234"/>
    <col min="7425" max="7425" width="4.875" style="1234" customWidth="1"/>
    <col min="7426" max="7426" width="13.25" style="1234" customWidth="1"/>
    <col min="7427" max="7427" width="15.625" style="1234" customWidth="1"/>
    <col min="7428" max="7428" width="9.375" style="1234" bestFit="1" customWidth="1"/>
    <col min="7429" max="7429" width="13.5" style="1234" customWidth="1"/>
    <col min="7430" max="7430" width="9" style="1234"/>
    <col min="7431" max="7431" width="9.375" style="1234" bestFit="1" customWidth="1"/>
    <col min="7432" max="7433" width="9" style="1234"/>
    <col min="7434" max="7434" width="9.375" style="1234" bestFit="1" customWidth="1"/>
    <col min="7435" max="7435" width="4" style="1234" customWidth="1"/>
    <col min="7436" max="7436" width="5.125" style="1234" customWidth="1"/>
    <col min="7437" max="7437" width="13.75" style="1234" customWidth="1"/>
    <col min="7438" max="7680" width="9" style="1234"/>
    <col min="7681" max="7681" width="4.875" style="1234" customWidth="1"/>
    <col min="7682" max="7682" width="13.25" style="1234" customWidth="1"/>
    <col min="7683" max="7683" width="15.625" style="1234" customWidth="1"/>
    <col min="7684" max="7684" width="9.375" style="1234" bestFit="1" customWidth="1"/>
    <col min="7685" max="7685" width="13.5" style="1234" customWidth="1"/>
    <col min="7686" max="7686" width="9" style="1234"/>
    <col min="7687" max="7687" width="9.375" style="1234" bestFit="1" customWidth="1"/>
    <col min="7688" max="7689" width="9" style="1234"/>
    <col min="7690" max="7690" width="9.375" style="1234" bestFit="1" customWidth="1"/>
    <col min="7691" max="7691" width="4" style="1234" customWidth="1"/>
    <col min="7692" max="7692" width="5.125" style="1234" customWidth="1"/>
    <col min="7693" max="7693" width="13.75" style="1234" customWidth="1"/>
    <col min="7694" max="7936" width="9" style="1234"/>
    <col min="7937" max="7937" width="4.875" style="1234" customWidth="1"/>
    <col min="7938" max="7938" width="13.25" style="1234" customWidth="1"/>
    <col min="7939" max="7939" width="15.625" style="1234" customWidth="1"/>
    <col min="7940" max="7940" width="9.375" style="1234" bestFit="1" customWidth="1"/>
    <col min="7941" max="7941" width="13.5" style="1234" customWidth="1"/>
    <col min="7942" max="7942" width="9" style="1234"/>
    <col min="7943" max="7943" width="9.375" style="1234" bestFit="1" customWidth="1"/>
    <col min="7944" max="7945" width="9" style="1234"/>
    <col min="7946" max="7946" width="9.375" style="1234" bestFit="1" customWidth="1"/>
    <col min="7947" max="7947" width="4" style="1234" customWidth="1"/>
    <col min="7948" max="7948" width="5.125" style="1234" customWidth="1"/>
    <col min="7949" max="7949" width="13.75" style="1234" customWidth="1"/>
    <col min="7950" max="8192" width="9" style="1234"/>
    <col min="8193" max="8193" width="4.875" style="1234" customWidth="1"/>
    <col min="8194" max="8194" width="13.25" style="1234" customWidth="1"/>
    <col min="8195" max="8195" width="15.625" style="1234" customWidth="1"/>
    <col min="8196" max="8196" width="9.375" style="1234" bestFit="1" customWidth="1"/>
    <col min="8197" max="8197" width="13.5" style="1234" customWidth="1"/>
    <col min="8198" max="8198" width="9" style="1234"/>
    <col min="8199" max="8199" width="9.375" style="1234" bestFit="1" customWidth="1"/>
    <col min="8200" max="8201" width="9" style="1234"/>
    <col min="8202" max="8202" width="9.375" style="1234" bestFit="1" customWidth="1"/>
    <col min="8203" max="8203" width="4" style="1234" customWidth="1"/>
    <col min="8204" max="8204" width="5.125" style="1234" customWidth="1"/>
    <col min="8205" max="8205" width="13.75" style="1234" customWidth="1"/>
    <col min="8206" max="8448" width="9" style="1234"/>
    <col min="8449" max="8449" width="4.875" style="1234" customWidth="1"/>
    <col min="8450" max="8450" width="13.25" style="1234" customWidth="1"/>
    <col min="8451" max="8451" width="15.625" style="1234" customWidth="1"/>
    <col min="8452" max="8452" width="9.375" style="1234" bestFit="1" customWidth="1"/>
    <col min="8453" max="8453" width="13.5" style="1234" customWidth="1"/>
    <col min="8454" max="8454" width="9" style="1234"/>
    <col min="8455" max="8455" width="9.375" style="1234" bestFit="1" customWidth="1"/>
    <col min="8456" max="8457" width="9" style="1234"/>
    <col min="8458" max="8458" width="9.375" style="1234" bestFit="1" customWidth="1"/>
    <col min="8459" max="8459" width="4" style="1234" customWidth="1"/>
    <col min="8460" max="8460" width="5.125" style="1234" customWidth="1"/>
    <col min="8461" max="8461" width="13.75" style="1234" customWidth="1"/>
    <col min="8462" max="8704" width="9" style="1234"/>
    <col min="8705" max="8705" width="4.875" style="1234" customWidth="1"/>
    <col min="8706" max="8706" width="13.25" style="1234" customWidth="1"/>
    <col min="8707" max="8707" width="15.625" style="1234" customWidth="1"/>
    <col min="8708" max="8708" width="9.375" style="1234" bestFit="1" customWidth="1"/>
    <col min="8709" max="8709" width="13.5" style="1234" customWidth="1"/>
    <col min="8710" max="8710" width="9" style="1234"/>
    <col min="8711" max="8711" width="9.375" style="1234" bestFit="1" customWidth="1"/>
    <col min="8712" max="8713" width="9" style="1234"/>
    <col min="8714" max="8714" width="9.375" style="1234" bestFit="1" customWidth="1"/>
    <col min="8715" max="8715" width="4" style="1234" customWidth="1"/>
    <col min="8716" max="8716" width="5.125" style="1234" customWidth="1"/>
    <col min="8717" max="8717" width="13.75" style="1234" customWidth="1"/>
    <col min="8718" max="8960" width="9" style="1234"/>
    <col min="8961" max="8961" width="4.875" style="1234" customWidth="1"/>
    <col min="8962" max="8962" width="13.25" style="1234" customWidth="1"/>
    <col min="8963" max="8963" width="15.625" style="1234" customWidth="1"/>
    <col min="8964" max="8964" width="9.375" style="1234" bestFit="1" customWidth="1"/>
    <col min="8965" max="8965" width="13.5" style="1234" customWidth="1"/>
    <col min="8966" max="8966" width="9" style="1234"/>
    <col min="8967" max="8967" width="9.375" style="1234" bestFit="1" customWidth="1"/>
    <col min="8968" max="8969" width="9" style="1234"/>
    <col min="8970" max="8970" width="9.375" style="1234" bestFit="1" customWidth="1"/>
    <col min="8971" max="8971" width="4" style="1234" customWidth="1"/>
    <col min="8972" max="8972" width="5.125" style="1234" customWidth="1"/>
    <col min="8973" max="8973" width="13.75" style="1234" customWidth="1"/>
    <col min="8974" max="9216" width="9" style="1234"/>
    <col min="9217" max="9217" width="4.875" style="1234" customWidth="1"/>
    <col min="9218" max="9218" width="13.25" style="1234" customWidth="1"/>
    <col min="9219" max="9219" width="15.625" style="1234" customWidth="1"/>
    <col min="9220" max="9220" width="9.375" style="1234" bestFit="1" customWidth="1"/>
    <col min="9221" max="9221" width="13.5" style="1234" customWidth="1"/>
    <col min="9222" max="9222" width="9" style="1234"/>
    <col min="9223" max="9223" width="9.375" style="1234" bestFit="1" customWidth="1"/>
    <col min="9224" max="9225" width="9" style="1234"/>
    <col min="9226" max="9226" width="9.375" style="1234" bestFit="1" customWidth="1"/>
    <col min="9227" max="9227" width="4" style="1234" customWidth="1"/>
    <col min="9228" max="9228" width="5.125" style="1234" customWidth="1"/>
    <col min="9229" max="9229" width="13.75" style="1234" customWidth="1"/>
    <col min="9230" max="9472" width="9" style="1234"/>
    <col min="9473" max="9473" width="4.875" style="1234" customWidth="1"/>
    <col min="9474" max="9474" width="13.25" style="1234" customWidth="1"/>
    <col min="9475" max="9475" width="15.625" style="1234" customWidth="1"/>
    <col min="9476" max="9476" width="9.375" style="1234" bestFit="1" customWidth="1"/>
    <col min="9477" max="9477" width="13.5" style="1234" customWidth="1"/>
    <col min="9478" max="9478" width="9" style="1234"/>
    <col min="9479" max="9479" width="9.375" style="1234" bestFit="1" customWidth="1"/>
    <col min="9480" max="9481" width="9" style="1234"/>
    <col min="9482" max="9482" width="9.375" style="1234" bestFit="1" customWidth="1"/>
    <col min="9483" max="9483" width="4" style="1234" customWidth="1"/>
    <col min="9484" max="9484" width="5.125" style="1234" customWidth="1"/>
    <col min="9485" max="9485" width="13.75" style="1234" customWidth="1"/>
    <col min="9486" max="9728" width="9" style="1234"/>
    <col min="9729" max="9729" width="4.875" style="1234" customWidth="1"/>
    <col min="9730" max="9730" width="13.25" style="1234" customWidth="1"/>
    <col min="9731" max="9731" width="15.625" style="1234" customWidth="1"/>
    <col min="9732" max="9732" width="9.375" style="1234" bestFit="1" customWidth="1"/>
    <col min="9733" max="9733" width="13.5" style="1234" customWidth="1"/>
    <col min="9734" max="9734" width="9" style="1234"/>
    <col min="9735" max="9735" width="9.375" style="1234" bestFit="1" customWidth="1"/>
    <col min="9736" max="9737" width="9" style="1234"/>
    <col min="9738" max="9738" width="9.375" style="1234" bestFit="1" customWidth="1"/>
    <col min="9739" max="9739" width="4" style="1234" customWidth="1"/>
    <col min="9740" max="9740" width="5.125" style="1234" customWidth="1"/>
    <col min="9741" max="9741" width="13.75" style="1234" customWidth="1"/>
    <col min="9742" max="9984" width="9" style="1234"/>
    <col min="9985" max="9985" width="4.875" style="1234" customWidth="1"/>
    <col min="9986" max="9986" width="13.25" style="1234" customWidth="1"/>
    <col min="9987" max="9987" width="15.625" style="1234" customWidth="1"/>
    <col min="9988" max="9988" width="9.375" style="1234" bestFit="1" customWidth="1"/>
    <col min="9989" max="9989" width="13.5" style="1234" customWidth="1"/>
    <col min="9990" max="9990" width="9" style="1234"/>
    <col min="9991" max="9991" width="9.375" style="1234" bestFit="1" customWidth="1"/>
    <col min="9992" max="9993" width="9" style="1234"/>
    <col min="9994" max="9994" width="9.375" style="1234" bestFit="1" customWidth="1"/>
    <col min="9995" max="9995" width="4" style="1234" customWidth="1"/>
    <col min="9996" max="9996" width="5.125" style="1234" customWidth="1"/>
    <col min="9997" max="9997" width="13.75" style="1234" customWidth="1"/>
    <col min="9998" max="10240" width="9" style="1234"/>
    <col min="10241" max="10241" width="4.875" style="1234" customWidth="1"/>
    <col min="10242" max="10242" width="13.25" style="1234" customWidth="1"/>
    <col min="10243" max="10243" width="15.625" style="1234" customWidth="1"/>
    <col min="10244" max="10244" width="9.375" style="1234" bestFit="1" customWidth="1"/>
    <col min="10245" max="10245" width="13.5" style="1234" customWidth="1"/>
    <col min="10246" max="10246" width="9" style="1234"/>
    <col min="10247" max="10247" width="9.375" style="1234" bestFit="1" customWidth="1"/>
    <col min="10248" max="10249" width="9" style="1234"/>
    <col min="10250" max="10250" width="9.375" style="1234" bestFit="1" customWidth="1"/>
    <col min="10251" max="10251" width="4" style="1234" customWidth="1"/>
    <col min="10252" max="10252" width="5.125" style="1234" customWidth="1"/>
    <col min="10253" max="10253" width="13.75" style="1234" customWidth="1"/>
    <col min="10254" max="10496" width="9" style="1234"/>
    <col min="10497" max="10497" width="4.875" style="1234" customWidth="1"/>
    <col min="10498" max="10498" width="13.25" style="1234" customWidth="1"/>
    <col min="10499" max="10499" width="15.625" style="1234" customWidth="1"/>
    <col min="10500" max="10500" width="9.375" style="1234" bestFit="1" customWidth="1"/>
    <col min="10501" max="10501" width="13.5" style="1234" customWidth="1"/>
    <col min="10502" max="10502" width="9" style="1234"/>
    <col min="10503" max="10503" width="9.375" style="1234" bestFit="1" customWidth="1"/>
    <col min="10504" max="10505" width="9" style="1234"/>
    <col min="10506" max="10506" width="9.375" style="1234" bestFit="1" customWidth="1"/>
    <col min="10507" max="10507" width="4" style="1234" customWidth="1"/>
    <col min="10508" max="10508" width="5.125" style="1234" customWidth="1"/>
    <col min="10509" max="10509" width="13.75" style="1234" customWidth="1"/>
    <col min="10510" max="10752" width="9" style="1234"/>
    <col min="10753" max="10753" width="4.875" style="1234" customWidth="1"/>
    <col min="10754" max="10754" width="13.25" style="1234" customWidth="1"/>
    <col min="10755" max="10755" width="15.625" style="1234" customWidth="1"/>
    <col min="10756" max="10756" width="9.375" style="1234" bestFit="1" customWidth="1"/>
    <col min="10757" max="10757" width="13.5" style="1234" customWidth="1"/>
    <col min="10758" max="10758" width="9" style="1234"/>
    <col min="10759" max="10759" width="9.375" style="1234" bestFit="1" customWidth="1"/>
    <col min="10760" max="10761" width="9" style="1234"/>
    <col min="10762" max="10762" width="9.375" style="1234" bestFit="1" customWidth="1"/>
    <col min="10763" max="10763" width="4" style="1234" customWidth="1"/>
    <col min="10764" max="10764" width="5.125" style="1234" customWidth="1"/>
    <col min="10765" max="10765" width="13.75" style="1234" customWidth="1"/>
    <col min="10766" max="11008" width="9" style="1234"/>
    <col min="11009" max="11009" width="4.875" style="1234" customWidth="1"/>
    <col min="11010" max="11010" width="13.25" style="1234" customWidth="1"/>
    <col min="11011" max="11011" width="15.625" style="1234" customWidth="1"/>
    <col min="11012" max="11012" width="9.375" style="1234" bestFit="1" customWidth="1"/>
    <col min="11013" max="11013" width="13.5" style="1234" customWidth="1"/>
    <col min="11014" max="11014" width="9" style="1234"/>
    <col min="11015" max="11015" width="9.375" style="1234" bestFit="1" customWidth="1"/>
    <col min="11016" max="11017" width="9" style="1234"/>
    <col min="11018" max="11018" width="9.375" style="1234" bestFit="1" customWidth="1"/>
    <col min="11019" max="11019" width="4" style="1234" customWidth="1"/>
    <col min="11020" max="11020" width="5.125" style="1234" customWidth="1"/>
    <col min="11021" max="11021" width="13.75" style="1234" customWidth="1"/>
    <col min="11022" max="11264" width="9" style="1234"/>
    <col min="11265" max="11265" width="4.875" style="1234" customWidth="1"/>
    <col min="11266" max="11266" width="13.25" style="1234" customWidth="1"/>
    <col min="11267" max="11267" width="15.625" style="1234" customWidth="1"/>
    <col min="11268" max="11268" width="9.375" style="1234" bestFit="1" customWidth="1"/>
    <col min="11269" max="11269" width="13.5" style="1234" customWidth="1"/>
    <col min="11270" max="11270" width="9" style="1234"/>
    <col min="11271" max="11271" width="9.375" style="1234" bestFit="1" customWidth="1"/>
    <col min="11272" max="11273" width="9" style="1234"/>
    <col min="11274" max="11274" width="9.375" style="1234" bestFit="1" customWidth="1"/>
    <col min="11275" max="11275" width="4" style="1234" customWidth="1"/>
    <col min="11276" max="11276" width="5.125" style="1234" customWidth="1"/>
    <col min="11277" max="11277" width="13.75" style="1234" customWidth="1"/>
    <col min="11278" max="11520" width="9" style="1234"/>
    <col min="11521" max="11521" width="4.875" style="1234" customWidth="1"/>
    <col min="11522" max="11522" width="13.25" style="1234" customWidth="1"/>
    <col min="11523" max="11523" width="15.625" style="1234" customWidth="1"/>
    <col min="11524" max="11524" width="9.375" style="1234" bestFit="1" customWidth="1"/>
    <col min="11525" max="11525" width="13.5" style="1234" customWidth="1"/>
    <col min="11526" max="11526" width="9" style="1234"/>
    <col min="11527" max="11527" width="9.375" style="1234" bestFit="1" customWidth="1"/>
    <col min="11528" max="11529" width="9" style="1234"/>
    <col min="11530" max="11530" width="9.375" style="1234" bestFit="1" customWidth="1"/>
    <col min="11531" max="11531" width="4" style="1234" customWidth="1"/>
    <col min="11532" max="11532" width="5.125" style="1234" customWidth="1"/>
    <col min="11533" max="11533" width="13.75" style="1234" customWidth="1"/>
    <col min="11534" max="11776" width="9" style="1234"/>
    <col min="11777" max="11777" width="4.875" style="1234" customWidth="1"/>
    <col min="11778" max="11778" width="13.25" style="1234" customWidth="1"/>
    <col min="11779" max="11779" width="15.625" style="1234" customWidth="1"/>
    <col min="11780" max="11780" width="9.375" style="1234" bestFit="1" customWidth="1"/>
    <col min="11781" max="11781" width="13.5" style="1234" customWidth="1"/>
    <col min="11782" max="11782" width="9" style="1234"/>
    <col min="11783" max="11783" width="9.375" style="1234" bestFit="1" customWidth="1"/>
    <col min="11784" max="11785" width="9" style="1234"/>
    <col min="11786" max="11786" width="9.375" style="1234" bestFit="1" customWidth="1"/>
    <col min="11787" max="11787" width="4" style="1234" customWidth="1"/>
    <col min="11788" max="11788" width="5.125" style="1234" customWidth="1"/>
    <col min="11789" max="11789" width="13.75" style="1234" customWidth="1"/>
    <col min="11790" max="12032" width="9" style="1234"/>
    <col min="12033" max="12033" width="4.875" style="1234" customWidth="1"/>
    <col min="12034" max="12034" width="13.25" style="1234" customWidth="1"/>
    <col min="12035" max="12035" width="15.625" style="1234" customWidth="1"/>
    <col min="12036" max="12036" width="9.375" style="1234" bestFit="1" customWidth="1"/>
    <col min="12037" max="12037" width="13.5" style="1234" customWidth="1"/>
    <col min="12038" max="12038" width="9" style="1234"/>
    <col min="12039" max="12039" width="9.375" style="1234" bestFit="1" customWidth="1"/>
    <col min="12040" max="12041" width="9" style="1234"/>
    <col min="12042" max="12042" width="9.375" style="1234" bestFit="1" customWidth="1"/>
    <col min="12043" max="12043" width="4" style="1234" customWidth="1"/>
    <col min="12044" max="12044" width="5.125" style="1234" customWidth="1"/>
    <col min="12045" max="12045" width="13.75" style="1234" customWidth="1"/>
    <col min="12046" max="12288" width="9" style="1234"/>
    <col min="12289" max="12289" width="4.875" style="1234" customWidth="1"/>
    <col min="12290" max="12290" width="13.25" style="1234" customWidth="1"/>
    <col min="12291" max="12291" width="15.625" style="1234" customWidth="1"/>
    <col min="12292" max="12292" width="9.375" style="1234" bestFit="1" customWidth="1"/>
    <col min="12293" max="12293" width="13.5" style="1234" customWidth="1"/>
    <col min="12294" max="12294" width="9" style="1234"/>
    <col min="12295" max="12295" width="9.375" style="1234" bestFit="1" customWidth="1"/>
    <col min="12296" max="12297" width="9" style="1234"/>
    <col min="12298" max="12298" width="9.375" style="1234" bestFit="1" customWidth="1"/>
    <col min="12299" max="12299" width="4" style="1234" customWidth="1"/>
    <col min="12300" max="12300" width="5.125" style="1234" customWidth="1"/>
    <col min="12301" max="12301" width="13.75" style="1234" customWidth="1"/>
    <col min="12302" max="12544" width="9" style="1234"/>
    <col min="12545" max="12545" width="4.875" style="1234" customWidth="1"/>
    <col min="12546" max="12546" width="13.25" style="1234" customWidth="1"/>
    <col min="12547" max="12547" width="15.625" style="1234" customWidth="1"/>
    <col min="12548" max="12548" width="9.375" style="1234" bestFit="1" customWidth="1"/>
    <col min="12549" max="12549" width="13.5" style="1234" customWidth="1"/>
    <col min="12550" max="12550" width="9" style="1234"/>
    <col min="12551" max="12551" width="9.375" style="1234" bestFit="1" customWidth="1"/>
    <col min="12552" max="12553" width="9" style="1234"/>
    <col min="12554" max="12554" width="9.375" style="1234" bestFit="1" customWidth="1"/>
    <col min="12555" max="12555" width="4" style="1234" customWidth="1"/>
    <col min="12556" max="12556" width="5.125" style="1234" customWidth="1"/>
    <col min="12557" max="12557" width="13.75" style="1234" customWidth="1"/>
    <col min="12558" max="12800" width="9" style="1234"/>
    <col min="12801" max="12801" width="4.875" style="1234" customWidth="1"/>
    <col min="12802" max="12802" width="13.25" style="1234" customWidth="1"/>
    <col min="12803" max="12803" width="15.625" style="1234" customWidth="1"/>
    <col min="12804" max="12804" width="9.375" style="1234" bestFit="1" customWidth="1"/>
    <col min="12805" max="12805" width="13.5" style="1234" customWidth="1"/>
    <col min="12806" max="12806" width="9" style="1234"/>
    <col min="12807" max="12807" width="9.375" style="1234" bestFit="1" customWidth="1"/>
    <col min="12808" max="12809" width="9" style="1234"/>
    <col min="12810" max="12810" width="9.375" style="1234" bestFit="1" customWidth="1"/>
    <col min="12811" max="12811" width="4" style="1234" customWidth="1"/>
    <col min="12812" max="12812" width="5.125" style="1234" customWidth="1"/>
    <col min="12813" max="12813" width="13.75" style="1234" customWidth="1"/>
    <col min="12814" max="13056" width="9" style="1234"/>
    <col min="13057" max="13057" width="4.875" style="1234" customWidth="1"/>
    <col min="13058" max="13058" width="13.25" style="1234" customWidth="1"/>
    <col min="13059" max="13059" width="15.625" style="1234" customWidth="1"/>
    <col min="13060" max="13060" width="9.375" style="1234" bestFit="1" customWidth="1"/>
    <col min="13061" max="13061" width="13.5" style="1234" customWidth="1"/>
    <col min="13062" max="13062" width="9" style="1234"/>
    <col min="13063" max="13063" width="9.375" style="1234" bestFit="1" customWidth="1"/>
    <col min="13064" max="13065" width="9" style="1234"/>
    <col min="13066" max="13066" width="9.375" style="1234" bestFit="1" customWidth="1"/>
    <col min="13067" max="13067" width="4" style="1234" customWidth="1"/>
    <col min="13068" max="13068" width="5.125" style="1234" customWidth="1"/>
    <col min="13069" max="13069" width="13.75" style="1234" customWidth="1"/>
    <col min="13070" max="13312" width="9" style="1234"/>
    <col min="13313" max="13313" width="4.875" style="1234" customWidth="1"/>
    <col min="13314" max="13314" width="13.25" style="1234" customWidth="1"/>
    <col min="13315" max="13315" width="15.625" style="1234" customWidth="1"/>
    <col min="13316" max="13316" width="9.375" style="1234" bestFit="1" customWidth="1"/>
    <col min="13317" max="13317" width="13.5" style="1234" customWidth="1"/>
    <col min="13318" max="13318" width="9" style="1234"/>
    <col min="13319" max="13319" width="9.375" style="1234" bestFit="1" customWidth="1"/>
    <col min="13320" max="13321" width="9" style="1234"/>
    <col min="13322" max="13322" width="9.375" style="1234" bestFit="1" customWidth="1"/>
    <col min="13323" max="13323" width="4" style="1234" customWidth="1"/>
    <col min="13324" max="13324" width="5.125" style="1234" customWidth="1"/>
    <col min="13325" max="13325" width="13.75" style="1234" customWidth="1"/>
    <col min="13326" max="13568" width="9" style="1234"/>
    <col min="13569" max="13569" width="4.875" style="1234" customWidth="1"/>
    <col min="13570" max="13570" width="13.25" style="1234" customWidth="1"/>
    <col min="13571" max="13571" width="15.625" style="1234" customWidth="1"/>
    <col min="13572" max="13572" width="9.375" style="1234" bestFit="1" customWidth="1"/>
    <col min="13573" max="13573" width="13.5" style="1234" customWidth="1"/>
    <col min="13574" max="13574" width="9" style="1234"/>
    <col min="13575" max="13575" width="9.375" style="1234" bestFit="1" customWidth="1"/>
    <col min="13576" max="13577" width="9" style="1234"/>
    <col min="13578" max="13578" width="9.375" style="1234" bestFit="1" customWidth="1"/>
    <col min="13579" max="13579" width="4" style="1234" customWidth="1"/>
    <col min="13580" max="13580" width="5.125" style="1234" customWidth="1"/>
    <col min="13581" max="13581" width="13.75" style="1234" customWidth="1"/>
    <col min="13582" max="13824" width="9" style="1234"/>
    <col min="13825" max="13825" width="4.875" style="1234" customWidth="1"/>
    <col min="13826" max="13826" width="13.25" style="1234" customWidth="1"/>
    <col min="13827" max="13827" width="15.625" style="1234" customWidth="1"/>
    <col min="13828" max="13828" width="9.375" style="1234" bestFit="1" customWidth="1"/>
    <col min="13829" max="13829" width="13.5" style="1234" customWidth="1"/>
    <col min="13830" max="13830" width="9" style="1234"/>
    <col min="13831" max="13831" width="9.375" style="1234" bestFit="1" customWidth="1"/>
    <col min="13832" max="13833" width="9" style="1234"/>
    <col min="13834" max="13834" width="9.375" style="1234" bestFit="1" customWidth="1"/>
    <col min="13835" max="13835" width="4" style="1234" customWidth="1"/>
    <col min="13836" max="13836" width="5.125" style="1234" customWidth="1"/>
    <col min="13837" max="13837" width="13.75" style="1234" customWidth="1"/>
    <col min="13838" max="14080" width="9" style="1234"/>
    <col min="14081" max="14081" width="4.875" style="1234" customWidth="1"/>
    <col min="14082" max="14082" width="13.25" style="1234" customWidth="1"/>
    <col min="14083" max="14083" width="15.625" style="1234" customWidth="1"/>
    <col min="14084" max="14084" width="9.375" style="1234" bestFit="1" customWidth="1"/>
    <col min="14085" max="14085" width="13.5" style="1234" customWidth="1"/>
    <col min="14086" max="14086" width="9" style="1234"/>
    <col min="14087" max="14087" width="9.375" style="1234" bestFit="1" customWidth="1"/>
    <col min="14088" max="14089" width="9" style="1234"/>
    <col min="14090" max="14090" width="9.375" style="1234" bestFit="1" customWidth="1"/>
    <col min="14091" max="14091" width="4" style="1234" customWidth="1"/>
    <col min="14092" max="14092" width="5.125" style="1234" customWidth="1"/>
    <col min="14093" max="14093" width="13.75" style="1234" customWidth="1"/>
    <col min="14094" max="14336" width="9" style="1234"/>
    <col min="14337" max="14337" width="4.875" style="1234" customWidth="1"/>
    <col min="14338" max="14338" width="13.25" style="1234" customWidth="1"/>
    <col min="14339" max="14339" width="15.625" style="1234" customWidth="1"/>
    <col min="14340" max="14340" width="9.375" style="1234" bestFit="1" customWidth="1"/>
    <col min="14341" max="14341" width="13.5" style="1234" customWidth="1"/>
    <col min="14342" max="14342" width="9" style="1234"/>
    <col min="14343" max="14343" width="9.375" style="1234" bestFit="1" customWidth="1"/>
    <col min="14344" max="14345" width="9" style="1234"/>
    <col min="14346" max="14346" width="9.375" style="1234" bestFit="1" customWidth="1"/>
    <col min="14347" max="14347" width="4" style="1234" customWidth="1"/>
    <col min="14348" max="14348" width="5.125" style="1234" customWidth="1"/>
    <col min="14349" max="14349" width="13.75" style="1234" customWidth="1"/>
    <col min="14350" max="14592" width="9" style="1234"/>
    <col min="14593" max="14593" width="4.875" style="1234" customWidth="1"/>
    <col min="14594" max="14594" width="13.25" style="1234" customWidth="1"/>
    <col min="14595" max="14595" width="15.625" style="1234" customWidth="1"/>
    <col min="14596" max="14596" width="9.375" style="1234" bestFit="1" customWidth="1"/>
    <col min="14597" max="14597" width="13.5" style="1234" customWidth="1"/>
    <col min="14598" max="14598" width="9" style="1234"/>
    <col min="14599" max="14599" width="9.375" style="1234" bestFit="1" customWidth="1"/>
    <col min="14600" max="14601" width="9" style="1234"/>
    <col min="14602" max="14602" width="9.375" style="1234" bestFit="1" customWidth="1"/>
    <col min="14603" max="14603" width="4" style="1234" customWidth="1"/>
    <col min="14604" max="14604" width="5.125" style="1234" customWidth="1"/>
    <col min="14605" max="14605" width="13.75" style="1234" customWidth="1"/>
    <col min="14606" max="14848" width="9" style="1234"/>
    <col min="14849" max="14849" width="4.875" style="1234" customWidth="1"/>
    <col min="14850" max="14850" width="13.25" style="1234" customWidth="1"/>
    <col min="14851" max="14851" width="15.625" style="1234" customWidth="1"/>
    <col min="14852" max="14852" width="9.375" style="1234" bestFit="1" customWidth="1"/>
    <col min="14853" max="14853" width="13.5" style="1234" customWidth="1"/>
    <col min="14854" max="14854" width="9" style="1234"/>
    <col min="14855" max="14855" width="9.375" style="1234" bestFit="1" customWidth="1"/>
    <col min="14856" max="14857" width="9" style="1234"/>
    <col min="14858" max="14858" width="9.375" style="1234" bestFit="1" customWidth="1"/>
    <col min="14859" max="14859" width="4" style="1234" customWidth="1"/>
    <col min="14860" max="14860" width="5.125" style="1234" customWidth="1"/>
    <col min="14861" max="14861" width="13.75" style="1234" customWidth="1"/>
    <col min="14862" max="15104" width="9" style="1234"/>
    <col min="15105" max="15105" width="4.875" style="1234" customWidth="1"/>
    <col min="15106" max="15106" width="13.25" style="1234" customWidth="1"/>
    <col min="15107" max="15107" width="15.625" style="1234" customWidth="1"/>
    <col min="15108" max="15108" width="9.375" style="1234" bestFit="1" customWidth="1"/>
    <col min="15109" max="15109" width="13.5" style="1234" customWidth="1"/>
    <col min="15110" max="15110" width="9" style="1234"/>
    <col min="15111" max="15111" width="9.375" style="1234" bestFit="1" customWidth="1"/>
    <col min="15112" max="15113" width="9" style="1234"/>
    <col min="15114" max="15114" width="9.375" style="1234" bestFit="1" customWidth="1"/>
    <col min="15115" max="15115" width="4" style="1234" customWidth="1"/>
    <col min="15116" max="15116" width="5.125" style="1234" customWidth="1"/>
    <col min="15117" max="15117" width="13.75" style="1234" customWidth="1"/>
    <col min="15118" max="15360" width="9" style="1234"/>
    <col min="15361" max="15361" width="4.875" style="1234" customWidth="1"/>
    <col min="15362" max="15362" width="13.25" style="1234" customWidth="1"/>
    <col min="15363" max="15363" width="15.625" style="1234" customWidth="1"/>
    <col min="15364" max="15364" width="9.375" style="1234" bestFit="1" customWidth="1"/>
    <col min="15365" max="15365" width="13.5" style="1234" customWidth="1"/>
    <col min="15366" max="15366" width="9" style="1234"/>
    <col min="15367" max="15367" width="9.375" style="1234" bestFit="1" customWidth="1"/>
    <col min="15368" max="15369" width="9" style="1234"/>
    <col min="15370" max="15370" width="9.375" style="1234" bestFit="1" customWidth="1"/>
    <col min="15371" max="15371" width="4" style="1234" customWidth="1"/>
    <col min="15372" max="15372" width="5.125" style="1234" customWidth="1"/>
    <col min="15373" max="15373" width="13.75" style="1234" customWidth="1"/>
    <col min="15374" max="15616" width="9" style="1234"/>
    <col min="15617" max="15617" width="4.875" style="1234" customWidth="1"/>
    <col min="15618" max="15618" width="13.25" style="1234" customWidth="1"/>
    <col min="15619" max="15619" width="15.625" style="1234" customWidth="1"/>
    <col min="15620" max="15620" width="9.375" style="1234" bestFit="1" customWidth="1"/>
    <col min="15621" max="15621" width="13.5" style="1234" customWidth="1"/>
    <col min="15622" max="15622" width="9" style="1234"/>
    <col min="15623" max="15623" width="9.375" style="1234" bestFit="1" customWidth="1"/>
    <col min="15624" max="15625" width="9" style="1234"/>
    <col min="15626" max="15626" width="9.375" style="1234" bestFit="1" customWidth="1"/>
    <col min="15627" max="15627" width="4" style="1234" customWidth="1"/>
    <col min="15628" max="15628" width="5.125" style="1234" customWidth="1"/>
    <col min="15629" max="15629" width="13.75" style="1234" customWidth="1"/>
    <col min="15630" max="15872" width="9" style="1234"/>
    <col min="15873" max="15873" width="4.875" style="1234" customWidth="1"/>
    <col min="15874" max="15874" width="13.25" style="1234" customWidth="1"/>
    <col min="15875" max="15875" width="15.625" style="1234" customWidth="1"/>
    <col min="15876" max="15876" width="9.375" style="1234" bestFit="1" customWidth="1"/>
    <col min="15877" max="15877" width="13.5" style="1234" customWidth="1"/>
    <col min="15878" max="15878" width="9" style="1234"/>
    <col min="15879" max="15879" width="9.375" style="1234" bestFit="1" customWidth="1"/>
    <col min="15880" max="15881" width="9" style="1234"/>
    <col min="15882" max="15882" width="9.375" style="1234" bestFit="1" customWidth="1"/>
    <col min="15883" max="15883" width="4" style="1234" customWidth="1"/>
    <col min="15884" max="15884" width="5.125" style="1234" customWidth="1"/>
    <col min="15885" max="15885" width="13.75" style="1234" customWidth="1"/>
    <col min="15886" max="16128" width="9" style="1234"/>
    <col min="16129" max="16129" width="4.875" style="1234" customWidth="1"/>
    <col min="16130" max="16130" width="13.25" style="1234" customWidth="1"/>
    <col min="16131" max="16131" width="15.625" style="1234" customWidth="1"/>
    <col min="16132" max="16132" width="9.375" style="1234" bestFit="1" customWidth="1"/>
    <col min="16133" max="16133" width="13.5" style="1234" customWidth="1"/>
    <col min="16134" max="16134" width="9" style="1234"/>
    <col min="16135" max="16135" width="9.375" style="1234" bestFit="1" customWidth="1"/>
    <col min="16136" max="16137" width="9" style="1234"/>
    <col min="16138" max="16138" width="9.375" style="1234" bestFit="1" customWidth="1"/>
    <col min="16139" max="16139" width="4" style="1234" customWidth="1"/>
    <col min="16140" max="16140" width="5.125" style="1234" customWidth="1"/>
    <col min="16141" max="16141" width="13.75" style="1234" customWidth="1"/>
    <col min="16142" max="16384" width="9" style="1234"/>
  </cols>
  <sheetData>
    <row r="1" spans="1:257" s="1297" customFormat="1" ht="14.25" thickBot="1">
      <c r="A1" s="1292"/>
      <c r="B1" s="1293" t="s">
        <v>1172</v>
      </c>
      <c r="C1" s="1298">
        <f>项目基本情况!D2</f>
        <v>44334</v>
      </c>
      <c r="D1" s="1293" t="s">
        <v>1173</v>
      </c>
      <c r="E1" s="1299">
        <f>'数据-取费表'!B24</f>
        <v>2</v>
      </c>
      <c r="F1" s="1293" t="s">
        <v>1174</v>
      </c>
      <c r="G1" s="1300">
        <f ca="1">INDIRECT("d"&amp;$K$1)/100</f>
        <v>3.85E-2</v>
      </c>
      <c r="H1" s="1293" t="s">
        <v>1204</v>
      </c>
      <c r="I1" s="1300">
        <f ca="1">F4/100</f>
        <v>1.4999999999999999E-2</v>
      </c>
      <c r="J1" s="1294">
        <f>IF(C1&gt;C13,0,MATCH(C1,C$13:C$105,-1))+IF(SUMIF(C13:C105,C1,D13:D105)=0,13,12)</f>
        <v>13</v>
      </c>
      <c r="K1" s="1294">
        <f>MATCH(E1,C3:C7,1)+IF(SUMIF(C3:C7,E1,D3:D7)=0,2,1)</f>
        <v>5</v>
      </c>
      <c r="L1" s="1294">
        <f>IF(C1&gt;M13,0,MATCH(C1,M$13:M$101,-1))+IF(SUMIF(M13:M101,C1,N13:N101)=0,13,12)</f>
        <v>13</v>
      </c>
      <c r="M1" s="1292"/>
      <c r="N1" s="1292"/>
      <c r="O1" s="1292"/>
      <c r="P1" s="1292"/>
      <c r="Q1" s="1292"/>
      <c r="R1" s="1292"/>
      <c r="S1" s="1292"/>
      <c r="T1" s="1292"/>
      <c r="U1" s="1292"/>
      <c r="V1" s="1292"/>
      <c r="W1" s="1292"/>
      <c r="X1" s="1292"/>
      <c r="Y1" s="1292"/>
      <c r="Z1" s="1292"/>
      <c r="AA1" s="1295"/>
      <c r="AB1" s="1295"/>
      <c r="AC1" s="1295"/>
      <c r="AD1" s="1295"/>
      <c r="AE1" s="1295"/>
      <c r="AF1" s="1295"/>
      <c r="AG1" s="1295"/>
      <c r="AH1" s="1295"/>
      <c r="AI1" s="1295"/>
      <c r="AJ1" s="1295"/>
      <c r="AK1" s="1295"/>
      <c r="AL1" s="1295"/>
      <c r="AM1" s="1295"/>
      <c r="AN1" s="1295"/>
      <c r="AO1" s="1295"/>
      <c r="AP1" s="1295"/>
      <c r="AQ1" s="1295"/>
      <c r="AR1" s="1295"/>
      <c r="AS1" s="1295"/>
      <c r="AT1" s="1295"/>
      <c r="AU1" s="1295"/>
      <c r="AV1" s="1295"/>
      <c r="AW1" s="1295"/>
      <c r="AX1" s="1295"/>
      <c r="AY1" s="1295"/>
      <c r="AZ1" s="1295"/>
      <c r="BA1" s="1295"/>
      <c r="BB1" s="1295"/>
      <c r="BC1" s="1295"/>
      <c r="BD1" s="1295"/>
      <c r="BE1" s="1295"/>
      <c r="BF1" s="1295"/>
      <c r="BG1" s="1295"/>
      <c r="BH1" s="1295"/>
      <c r="BI1" s="1295"/>
      <c r="BJ1" s="1295"/>
      <c r="BK1" s="1295"/>
      <c r="BL1" s="1295"/>
      <c r="BM1" s="1295"/>
      <c r="BN1" s="1295"/>
      <c r="BO1" s="1295"/>
      <c r="BP1" s="1295"/>
      <c r="BQ1" s="1295"/>
      <c r="BR1" s="1295"/>
      <c r="BS1" s="1295"/>
      <c r="BT1" s="1295"/>
      <c r="BU1" s="1295"/>
      <c r="BV1" s="1295"/>
      <c r="BW1" s="1295"/>
      <c r="BX1" s="1295"/>
      <c r="BY1" s="1295"/>
      <c r="BZ1" s="1295"/>
      <c r="CA1" s="1295"/>
      <c r="CB1" s="1295"/>
      <c r="CC1" s="1295"/>
      <c r="CD1" s="1295"/>
      <c r="CE1" s="1295"/>
      <c r="CF1" s="1295"/>
      <c r="CG1" s="1295"/>
      <c r="CH1" s="1295"/>
      <c r="CI1" s="1295"/>
      <c r="CJ1" s="1295"/>
      <c r="CK1" s="1295"/>
      <c r="CL1" s="1295"/>
      <c r="CM1" s="1295"/>
      <c r="CN1" s="1295"/>
      <c r="CO1" s="1295"/>
      <c r="CP1" s="1295"/>
      <c r="CQ1" s="1295"/>
      <c r="CR1" s="1295"/>
      <c r="CS1" s="1295"/>
      <c r="CT1" s="1295"/>
      <c r="CU1" s="1295"/>
      <c r="CV1" s="1295"/>
      <c r="CW1" s="1295"/>
      <c r="CX1" s="1295"/>
      <c r="CY1" s="1295"/>
      <c r="CZ1" s="1295"/>
      <c r="DA1" s="1295"/>
      <c r="DB1" s="1295"/>
      <c r="DC1" s="1295"/>
      <c r="DD1" s="1295"/>
      <c r="DE1" s="1295"/>
      <c r="DF1" s="1295"/>
      <c r="DG1" s="1295"/>
      <c r="DH1" s="1295"/>
      <c r="DI1" s="1295"/>
      <c r="DJ1" s="1295"/>
      <c r="DK1" s="1295"/>
      <c r="DL1" s="1295"/>
      <c r="DM1" s="1295"/>
      <c r="DN1" s="1295"/>
      <c r="DO1" s="1295"/>
      <c r="DP1" s="1295"/>
      <c r="DQ1" s="1295"/>
      <c r="DR1" s="1295"/>
      <c r="DS1" s="1295"/>
      <c r="DT1" s="1295"/>
      <c r="DU1" s="1295"/>
      <c r="DV1" s="1295"/>
      <c r="DW1" s="1295"/>
      <c r="DX1" s="1295"/>
      <c r="DY1" s="1295"/>
      <c r="DZ1" s="1295"/>
      <c r="EA1" s="1295"/>
      <c r="EB1" s="1295"/>
      <c r="EC1" s="1295"/>
      <c r="ED1" s="1295"/>
      <c r="EE1" s="1295"/>
      <c r="EF1" s="1295"/>
      <c r="EG1" s="1295"/>
      <c r="EH1" s="1295"/>
      <c r="EI1" s="1295"/>
      <c r="EJ1" s="1295"/>
      <c r="EK1" s="1295"/>
      <c r="EL1" s="1295"/>
      <c r="EM1" s="1295"/>
      <c r="EN1" s="1295"/>
      <c r="EO1" s="1295"/>
      <c r="EP1" s="1295"/>
      <c r="EQ1" s="1295"/>
      <c r="ER1" s="1295"/>
      <c r="ES1" s="1295"/>
      <c r="ET1" s="1295"/>
      <c r="EU1" s="1295"/>
      <c r="EV1" s="1295"/>
      <c r="EW1" s="1295"/>
      <c r="EX1" s="1295"/>
      <c r="EY1" s="1295"/>
      <c r="EZ1" s="1295"/>
      <c r="FA1" s="1295"/>
      <c r="FB1" s="1295"/>
      <c r="FC1" s="1295"/>
      <c r="FD1" s="1295"/>
      <c r="FE1" s="1295"/>
      <c r="FF1" s="1295"/>
      <c r="FG1" s="1295"/>
      <c r="FH1" s="1295"/>
      <c r="FI1" s="1295"/>
      <c r="FJ1" s="1295"/>
      <c r="FK1" s="1295"/>
      <c r="FL1" s="1295"/>
      <c r="FM1" s="1295"/>
      <c r="FN1" s="1295"/>
      <c r="FO1" s="1295"/>
      <c r="FP1" s="1295"/>
      <c r="FQ1" s="1295"/>
      <c r="FR1" s="1295"/>
      <c r="FS1" s="1295"/>
      <c r="FT1" s="1295"/>
      <c r="FU1" s="1295"/>
      <c r="FV1" s="1295"/>
      <c r="FW1" s="1295"/>
      <c r="FX1" s="1295"/>
      <c r="FY1" s="1295"/>
      <c r="FZ1" s="1295"/>
      <c r="GA1" s="1295"/>
      <c r="GB1" s="1295"/>
      <c r="GC1" s="1295"/>
      <c r="GD1" s="1295"/>
      <c r="GE1" s="1295"/>
      <c r="GF1" s="1295"/>
      <c r="GG1" s="1295"/>
      <c r="GH1" s="1295"/>
      <c r="GI1" s="1295"/>
      <c r="GJ1" s="1295"/>
      <c r="GK1" s="1295"/>
      <c r="GL1" s="1295"/>
      <c r="GM1" s="1295"/>
      <c r="GN1" s="1295"/>
      <c r="GO1" s="1295"/>
      <c r="GP1" s="1295"/>
      <c r="GQ1" s="1295"/>
      <c r="GR1" s="1295"/>
      <c r="GS1" s="1295"/>
      <c r="GT1" s="1295"/>
      <c r="GU1" s="1295"/>
      <c r="GV1" s="1295"/>
      <c r="GW1" s="1295"/>
      <c r="GX1" s="1295"/>
      <c r="GY1" s="1295"/>
      <c r="GZ1" s="1295"/>
      <c r="HA1" s="1295"/>
      <c r="HB1" s="1295"/>
      <c r="HC1" s="1295"/>
      <c r="HD1" s="1295"/>
      <c r="HE1" s="1295"/>
      <c r="HF1" s="1295"/>
      <c r="HG1" s="1295"/>
      <c r="HH1" s="1295"/>
      <c r="HI1" s="1295"/>
      <c r="HJ1" s="1295"/>
      <c r="HK1" s="1295"/>
      <c r="HL1" s="1295"/>
      <c r="HM1" s="1295"/>
      <c r="HN1" s="1295"/>
      <c r="HO1" s="1295"/>
      <c r="HP1" s="1295"/>
      <c r="HQ1" s="1295"/>
      <c r="HR1" s="1295"/>
      <c r="HS1" s="1295"/>
      <c r="HT1" s="1295"/>
      <c r="HU1" s="1295"/>
      <c r="HV1" s="1295"/>
      <c r="HW1" s="1295"/>
      <c r="HX1" s="1295"/>
      <c r="HY1" s="1295"/>
      <c r="HZ1" s="1295"/>
      <c r="IA1" s="1295"/>
      <c r="IB1" s="1295"/>
      <c r="IC1" s="1295"/>
      <c r="ID1" s="1295"/>
      <c r="IE1" s="1295"/>
      <c r="IF1" s="1295"/>
      <c r="IG1" s="1295"/>
      <c r="IH1" s="1295"/>
      <c r="II1" s="1295"/>
      <c r="IJ1" s="1295"/>
      <c r="IK1" s="1295"/>
      <c r="IL1" s="1295"/>
      <c r="IM1" s="1295"/>
      <c r="IN1" s="1295"/>
      <c r="IO1" s="1295"/>
      <c r="IP1" s="1295"/>
      <c r="IQ1" s="1295"/>
      <c r="IR1" s="1295"/>
      <c r="IS1" s="1295"/>
      <c r="IT1" s="1295"/>
      <c r="IU1" s="1295"/>
      <c r="IV1" s="1295"/>
      <c r="IW1" s="1296"/>
    </row>
    <row r="2" spans="1:257" ht="15" thickTop="1" thickBot="1">
      <c r="A2" s="1235"/>
      <c r="B2" s="1235"/>
      <c r="C2" s="1235"/>
      <c r="D2" s="1235" t="s">
        <v>1175</v>
      </c>
      <c r="E2" s="1235"/>
      <c r="F2" s="1235" t="s">
        <v>1176</v>
      </c>
      <c r="G2" s="1236"/>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5"/>
      <c r="AK2" s="1235"/>
      <c r="AL2" s="1235"/>
      <c r="AM2" s="1235"/>
      <c r="AN2" s="1235"/>
      <c r="AO2" s="1235"/>
      <c r="AP2" s="1235"/>
      <c r="AQ2" s="1235"/>
      <c r="AR2" s="1235"/>
      <c r="AS2" s="1235"/>
      <c r="AT2" s="1235"/>
      <c r="AU2" s="1235"/>
      <c r="AV2" s="1235"/>
      <c r="AW2" s="1235"/>
      <c r="AX2" s="1235"/>
      <c r="AY2" s="1235"/>
      <c r="AZ2" s="1235"/>
      <c r="BA2" s="1235"/>
      <c r="BB2" s="1235"/>
      <c r="BC2" s="1235"/>
      <c r="BD2" s="1235"/>
      <c r="BE2" s="1235"/>
      <c r="BF2" s="1235"/>
      <c r="BG2" s="1235"/>
      <c r="BH2" s="1235"/>
      <c r="BI2" s="1235"/>
      <c r="BJ2" s="1235"/>
      <c r="BK2" s="1235"/>
      <c r="BL2" s="1235"/>
      <c r="BM2" s="1235"/>
      <c r="BN2" s="1235"/>
      <c r="BO2" s="1235"/>
      <c r="BP2" s="1235"/>
      <c r="BQ2" s="1235"/>
      <c r="BR2" s="1235"/>
      <c r="BS2" s="1235"/>
      <c r="BT2" s="1235"/>
      <c r="BU2" s="1235"/>
      <c r="BV2" s="1235"/>
      <c r="BW2" s="1235"/>
      <c r="BX2" s="1235"/>
      <c r="BY2" s="1235"/>
      <c r="BZ2" s="1235"/>
      <c r="CA2" s="1235"/>
      <c r="CB2" s="1235"/>
      <c r="CC2" s="1235"/>
      <c r="CD2" s="1235"/>
      <c r="CE2" s="1235"/>
      <c r="CF2" s="1235"/>
      <c r="CG2" s="1235"/>
      <c r="CH2" s="1235"/>
      <c r="CI2" s="1235"/>
      <c r="CJ2" s="1235"/>
      <c r="CK2" s="1235"/>
      <c r="CL2" s="1235"/>
      <c r="CM2" s="1235"/>
      <c r="CN2" s="1235"/>
      <c r="CO2" s="1235"/>
      <c r="CP2" s="1235"/>
      <c r="CQ2" s="1235"/>
      <c r="CR2" s="1235"/>
      <c r="CS2" s="1235"/>
      <c r="CT2" s="1235"/>
      <c r="CU2" s="1235"/>
      <c r="CV2" s="1235"/>
      <c r="CW2" s="1235"/>
      <c r="CX2" s="1235"/>
      <c r="CY2" s="1235"/>
      <c r="CZ2" s="1235"/>
      <c r="DA2" s="1235"/>
      <c r="DB2" s="1235"/>
      <c r="DC2" s="1235"/>
      <c r="DD2" s="1235"/>
      <c r="DE2" s="1235"/>
      <c r="DF2" s="1235"/>
      <c r="DG2" s="1235"/>
      <c r="DH2" s="1235"/>
      <c r="DI2" s="1235"/>
      <c r="DJ2" s="1235"/>
      <c r="DK2" s="1235"/>
      <c r="DL2" s="1235"/>
      <c r="DM2" s="1235"/>
      <c r="DN2" s="1235"/>
      <c r="DO2" s="1235"/>
      <c r="DP2" s="1235"/>
      <c r="DQ2" s="1235"/>
      <c r="DR2" s="1235"/>
      <c r="DS2" s="1235"/>
      <c r="DT2" s="1235"/>
      <c r="DU2" s="1235"/>
      <c r="DV2" s="1235"/>
      <c r="DW2" s="1235"/>
      <c r="DX2" s="1235"/>
      <c r="DY2" s="1235"/>
      <c r="DZ2" s="1235"/>
      <c r="EA2" s="1235"/>
      <c r="EB2" s="1235"/>
      <c r="EC2" s="1235"/>
      <c r="ED2" s="1235"/>
      <c r="EE2" s="1235"/>
      <c r="EF2" s="1235"/>
      <c r="EG2" s="1235"/>
      <c r="EH2" s="1235"/>
      <c r="EI2" s="1235"/>
      <c r="EJ2" s="1235"/>
      <c r="EK2" s="1235"/>
      <c r="EL2" s="1235"/>
      <c r="EM2" s="1235"/>
      <c r="EN2" s="1235"/>
      <c r="EO2" s="1235"/>
      <c r="EP2" s="1235"/>
      <c r="EQ2" s="1235"/>
      <c r="ER2" s="1235"/>
      <c r="ES2" s="1235"/>
      <c r="ET2" s="1235"/>
      <c r="EU2" s="1235"/>
      <c r="EV2" s="1235"/>
      <c r="EW2" s="1235"/>
      <c r="EX2" s="1235"/>
      <c r="EY2" s="1235"/>
      <c r="EZ2" s="1235"/>
      <c r="FA2" s="1235"/>
      <c r="FB2" s="1235"/>
      <c r="FC2" s="1235"/>
      <c r="FD2" s="1235"/>
      <c r="FE2" s="1235"/>
      <c r="FF2" s="1235"/>
      <c r="FG2" s="1235"/>
      <c r="FH2" s="1235"/>
      <c r="FI2" s="1235"/>
      <c r="FJ2" s="1235"/>
      <c r="FK2" s="1235"/>
      <c r="FL2" s="1235"/>
      <c r="FM2" s="1235"/>
      <c r="FN2" s="1235"/>
      <c r="FO2" s="1235"/>
      <c r="FP2" s="1235"/>
      <c r="FQ2" s="1235"/>
      <c r="FR2" s="1235"/>
      <c r="FS2" s="1235"/>
      <c r="FT2" s="1235"/>
      <c r="FU2" s="1235"/>
      <c r="FV2" s="1235"/>
      <c r="FW2" s="1235"/>
      <c r="FX2" s="1235"/>
      <c r="FY2" s="1235"/>
      <c r="FZ2" s="1235"/>
      <c r="GA2" s="1235"/>
      <c r="GB2" s="1235"/>
      <c r="GC2" s="1235"/>
      <c r="GD2" s="1235"/>
      <c r="GE2" s="1235"/>
      <c r="GF2" s="1235"/>
      <c r="GG2" s="1235"/>
      <c r="GH2" s="1235"/>
      <c r="GI2" s="1235"/>
      <c r="GJ2" s="1235"/>
      <c r="GK2" s="1235"/>
      <c r="GL2" s="1235"/>
      <c r="GM2" s="1235"/>
      <c r="GN2" s="1235"/>
      <c r="GO2" s="1235"/>
      <c r="GP2" s="1235"/>
      <c r="GQ2" s="1235"/>
      <c r="GR2" s="1235"/>
      <c r="GS2" s="1235"/>
      <c r="GT2" s="1235"/>
      <c r="GU2" s="1235"/>
      <c r="GV2" s="1235"/>
      <c r="GW2" s="1235"/>
      <c r="GX2" s="1235"/>
      <c r="GY2" s="1235"/>
      <c r="GZ2" s="1235"/>
      <c r="HA2" s="1235"/>
      <c r="HB2" s="1235"/>
      <c r="HC2" s="1235"/>
      <c r="HD2" s="1235"/>
      <c r="HE2" s="1235"/>
      <c r="HF2" s="1235"/>
      <c r="HG2" s="1235"/>
      <c r="HH2" s="1235"/>
      <c r="HI2" s="1235"/>
      <c r="HJ2" s="1235"/>
      <c r="HK2" s="1235"/>
      <c r="HL2" s="1235"/>
      <c r="HM2" s="1235"/>
      <c r="HN2" s="1235"/>
      <c r="HO2" s="1235"/>
      <c r="HP2" s="1235"/>
      <c r="HQ2" s="1235"/>
      <c r="HR2" s="1235"/>
      <c r="HS2" s="1235"/>
      <c r="HT2" s="1235"/>
      <c r="HU2" s="1235"/>
      <c r="HV2" s="1235"/>
      <c r="HW2" s="1235"/>
      <c r="HX2" s="1235"/>
      <c r="HY2" s="1235"/>
      <c r="HZ2" s="1235"/>
      <c r="IA2" s="1235"/>
      <c r="IB2" s="1235"/>
      <c r="IC2" s="1235"/>
      <c r="ID2" s="1235"/>
      <c r="IE2" s="1235"/>
      <c r="IF2" s="1235"/>
      <c r="IG2" s="1235"/>
      <c r="IH2" s="1235"/>
      <c r="II2" s="1235"/>
      <c r="IJ2" s="1235"/>
      <c r="IK2" s="1235"/>
      <c r="IL2" s="1235"/>
      <c r="IM2" s="1235"/>
      <c r="IN2" s="1235"/>
      <c r="IO2" s="1235"/>
      <c r="IP2" s="1235"/>
      <c r="IQ2" s="1235"/>
      <c r="IR2" s="1235"/>
      <c r="IS2" s="1235"/>
      <c r="IT2" s="1235"/>
      <c r="IU2" s="1235"/>
      <c r="IV2" s="1235"/>
      <c r="IW2" s="1235"/>
    </row>
    <row r="3" spans="1:257">
      <c r="B3" s="1238" t="s">
        <v>1177</v>
      </c>
      <c r="C3" s="1239">
        <v>0</v>
      </c>
      <c r="D3" s="1240">
        <f ca="1">INDIRECT("d"&amp;$J$1)</f>
        <v>3.85</v>
      </c>
      <c r="E3" s="1241">
        <v>0.5</v>
      </c>
      <c r="F3" s="1242">
        <f ca="1">INDIRECT("p"&amp;$L$1)</f>
        <v>1.3</v>
      </c>
      <c r="G3" s="1237"/>
      <c r="H3" s="1237"/>
      <c r="I3" s="1237"/>
      <c r="J3" s="1237"/>
      <c r="L3" s="1237"/>
      <c r="M3" s="1237"/>
      <c r="N3" s="1237"/>
      <c r="O3" s="1237"/>
      <c r="P3" s="1237"/>
      <c r="Q3" s="1237"/>
      <c r="R3" s="1237"/>
      <c r="S3" s="1237"/>
      <c r="T3" s="1237"/>
      <c r="U3" s="1237"/>
      <c r="V3" s="1237"/>
      <c r="W3" s="1237"/>
      <c r="X3" s="1237"/>
      <c r="Y3" s="1237"/>
      <c r="Z3" s="1237"/>
    </row>
    <row r="4" spans="1:257">
      <c r="B4" s="1244" t="s">
        <v>1178</v>
      </c>
      <c r="C4" s="1245">
        <v>0.5</v>
      </c>
      <c r="D4" s="1246">
        <f ca="1">INDIRECT("e"&amp;$J$1)</f>
        <v>3.85</v>
      </c>
      <c r="E4" s="1247">
        <v>1</v>
      </c>
      <c r="F4" s="1248">
        <f ca="1">INDIRECT("q"&amp;$L$1)</f>
        <v>1.5</v>
      </c>
      <c r="G4" s="1237"/>
      <c r="H4" s="1237"/>
      <c r="I4" s="1237"/>
      <c r="J4" s="1237"/>
      <c r="L4" s="1237"/>
      <c r="M4" s="1237"/>
      <c r="N4" s="1237"/>
      <c r="O4" s="1237"/>
      <c r="P4" s="1237"/>
      <c r="Q4" s="1237"/>
      <c r="R4" s="1237"/>
      <c r="S4" s="1237"/>
      <c r="T4" s="1237"/>
      <c r="U4" s="1237"/>
      <c r="V4" s="1237"/>
      <c r="W4" s="1237"/>
      <c r="X4" s="1237"/>
      <c r="Y4" s="1237"/>
      <c r="Z4" s="1237"/>
    </row>
    <row r="5" spans="1:257">
      <c r="B5" s="1244" t="s">
        <v>1179</v>
      </c>
      <c r="C5" s="1245">
        <v>1</v>
      </c>
      <c r="D5" s="1246">
        <f ca="1">INDIRECT("f"&amp;$J$1)</f>
        <v>3.85</v>
      </c>
      <c r="E5" s="1247">
        <v>2</v>
      </c>
      <c r="F5" s="1248">
        <f ca="1">INDIRECT("r"&amp;$L$1)</f>
        <v>2.1</v>
      </c>
      <c r="G5" s="1237"/>
      <c r="H5" s="1237"/>
      <c r="I5" s="1237"/>
      <c r="J5" s="1237"/>
      <c r="L5" s="1237"/>
      <c r="M5" s="1237"/>
      <c r="N5" s="1237"/>
      <c r="O5" s="1237"/>
      <c r="P5" s="1237"/>
      <c r="Q5" s="1237"/>
      <c r="R5" s="1237"/>
      <c r="S5" s="1237"/>
      <c r="T5" s="1237"/>
      <c r="U5" s="1237"/>
      <c r="V5" s="1237"/>
      <c r="W5" s="1237"/>
      <c r="X5" s="1237"/>
      <c r="Y5" s="1237"/>
      <c r="Z5" s="1237"/>
    </row>
    <row r="6" spans="1:257">
      <c r="B6" s="1244" t="s">
        <v>1180</v>
      </c>
      <c r="C6" s="1245">
        <v>3</v>
      </c>
      <c r="D6" s="1246">
        <f ca="1">INDIRECT("g"&amp;$J$1)</f>
        <v>3.85</v>
      </c>
      <c r="E6" s="1247">
        <v>3</v>
      </c>
      <c r="F6" s="1248">
        <f ca="1">INDIRECT("s"&amp;$L$1)</f>
        <v>2.75</v>
      </c>
      <c r="G6" s="1237"/>
      <c r="H6" s="1237"/>
      <c r="I6" s="1237"/>
      <c r="J6" s="1237"/>
      <c r="L6" s="1237"/>
      <c r="M6" s="1237"/>
      <c r="N6" s="1237"/>
      <c r="O6" s="1237"/>
      <c r="P6" s="1237"/>
      <c r="Q6" s="1237"/>
      <c r="R6" s="1237"/>
      <c r="S6" s="1237"/>
      <c r="T6" s="1237"/>
      <c r="U6" s="1237"/>
      <c r="V6" s="1237"/>
      <c r="W6" s="1237"/>
      <c r="X6" s="1237"/>
      <c r="Y6" s="1237"/>
      <c r="Z6" s="1237"/>
    </row>
    <row r="7" spans="1:257" ht="14.25" thickBot="1">
      <c r="B7" s="1249" t="s">
        <v>1181</v>
      </c>
      <c r="C7" s="1250">
        <v>5</v>
      </c>
      <c r="D7" s="1251">
        <f ca="1">INDIRECT("h"&amp;$J$1)</f>
        <v>4.6500000000000004</v>
      </c>
      <c r="E7" s="1252">
        <v>5</v>
      </c>
      <c r="F7" s="1253">
        <f ca="1">INDIRECT("t"&amp;$L$1)</f>
        <v>0</v>
      </c>
      <c r="G7" s="1237"/>
      <c r="H7" s="1237"/>
      <c r="I7" s="1237"/>
      <c r="J7" s="1237"/>
      <c r="L7" s="1237"/>
      <c r="M7" s="1237"/>
      <c r="N7" s="1237"/>
      <c r="O7" s="1237"/>
      <c r="P7" s="1237"/>
      <c r="Q7" s="1237"/>
      <c r="R7" s="1237"/>
      <c r="S7" s="1237"/>
      <c r="T7" s="1237"/>
      <c r="U7" s="1237"/>
      <c r="V7" s="1237"/>
      <c r="W7" s="1237"/>
      <c r="X7" s="1237"/>
      <c r="Y7" s="1237"/>
      <c r="Z7" s="1237"/>
    </row>
    <row r="8" spans="1:257">
      <c r="A8" s="1254"/>
      <c r="B8" s="1255"/>
      <c r="C8" s="1256"/>
      <c r="D8" s="1237"/>
      <c r="E8" s="1237"/>
      <c r="F8" s="1237"/>
      <c r="G8" s="1237"/>
      <c r="H8" s="1237"/>
      <c r="I8" s="1237"/>
      <c r="J8" s="1237"/>
      <c r="L8" s="1237"/>
      <c r="M8" s="1237"/>
      <c r="N8" s="1237"/>
      <c r="O8" s="1237"/>
      <c r="P8" s="1237"/>
      <c r="Q8" s="1237"/>
      <c r="R8" s="1237"/>
      <c r="S8" s="1237"/>
      <c r="T8" s="1237"/>
      <c r="U8" s="1237"/>
      <c r="V8" s="1237"/>
      <c r="W8" s="1237"/>
      <c r="X8" s="1237"/>
      <c r="Y8" s="1237"/>
      <c r="Z8" s="1237"/>
    </row>
    <row r="9" spans="1:257" ht="20.25">
      <c r="A9" s="1257"/>
      <c r="B9" s="1258" t="s">
        <v>1182</v>
      </c>
      <c r="C9" s="1259"/>
      <c r="D9" s="1260"/>
      <c r="E9" s="1260"/>
      <c r="F9" s="1260"/>
      <c r="G9" s="1260"/>
      <c r="H9" s="1260"/>
      <c r="I9" s="1260"/>
      <c r="J9" s="1260"/>
      <c r="K9" s="1260"/>
      <c r="L9" s="1260"/>
      <c r="M9" s="1260"/>
      <c r="N9" s="1260"/>
      <c r="O9" s="1260"/>
      <c r="P9" s="1260"/>
      <c r="Q9" s="1260"/>
      <c r="R9" s="1260"/>
      <c r="S9" s="1260"/>
      <c r="T9" s="1260"/>
      <c r="U9" s="1260"/>
      <c r="V9" s="1260"/>
      <c r="W9" s="1260"/>
      <c r="X9" s="1260"/>
      <c r="Y9" s="1260"/>
      <c r="Z9" s="1260"/>
      <c r="AA9" s="1261"/>
      <c r="AB9" s="1261"/>
      <c r="AC9" s="1261"/>
      <c r="AD9" s="1261"/>
      <c r="AE9" s="1261"/>
      <c r="AF9" s="1261"/>
      <c r="AG9" s="1261"/>
      <c r="AH9" s="1261"/>
      <c r="AI9" s="1261"/>
      <c r="AJ9" s="1261"/>
      <c r="AK9" s="1261"/>
      <c r="AL9" s="1261"/>
      <c r="AM9" s="1261"/>
      <c r="AN9" s="1261"/>
      <c r="AO9" s="1261"/>
      <c r="AP9" s="1261"/>
      <c r="AQ9" s="1261"/>
      <c r="AR9" s="1261"/>
      <c r="AS9" s="1261"/>
      <c r="AT9" s="1261"/>
      <c r="AU9" s="1261"/>
      <c r="AV9" s="1261"/>
      <c r="AW9" s="1261"/>
      <c r="AX9" s="1261"/>
      <c r="AY9" s="1261"/>
      <c r="AZ9" s="1261"/>
      <c r="BA9" s="1261"/>
      <c r="BB9" s="1261"/>
      <c r="BC9" s="1261"/>
      <c r="BD9" s="1261"/>
      <c r="BE9" s="1261"/>
      <c r="BF9" s="1261"/>
      <c r="BG9" s="1261"/>
      <c r="BH9" s="1261"/>
      <c r="BI9" s="1261"/>
      <c r="BJ9" s="1261"/>
      <c r="BK9" s="1261"/>
      <c r="BL9" s="1261"/>
      <c r="BM9" s="1261"/>
      <c r="BN9" s="1261"/>
      <c r="BO9" s="1261"/>
      <c r="BP9" s="1261"/>
      <c r="BQ9" s="1261"/>
      <c r="BR9" s="1261"/>
      <c r="BS9" s="1261"/>
      <c r="BT9" s="1261"/>
      <c r="BU9" s="1261"/>
      <c r="BV9" s="1261"/>
      <c r="BW9" s="1261"/>
      <c r="BX9" s="1261"/>
      <c r="BY9" s="1261"/>
      <c r="BZ9" s="1261"/>
      <c r="CA9" s="1261"/>
      <c r="CB9" s="1261"/>
      <c r="CC9" s="1261"/>
      <c r="CD9" s="1261"/>
      <c r="CE9" s="1261"/>
      <c r="CF9" s="1261"/>
      <c r="CG9" s="1261"/>
      <c r="CH9" s="1261"/>
      <c r="CI9" s="1261"/>
      <c r="CJ9" s="1261"/>
      <c r="CK9" s="1261"/>
      <c r="CL9" s="1261"/>
      <c r="CM9" s="1261"/>
      <c r="CN9" s="1261"/>
      <c r="CO9" s="1261"/>
      <c r="CP9" s="1261"/>
      <c r="CQ9" s="1261"/>
      <c r="CR9" s="1261"/>
      <c r="CS9" s="1261"/>
      <c r="CT9" s="1261"/>
      <c r="CU9" s="1261"/>
      <c r="CV9" s="1261"/>
      <c r="CW9" s="1261"/>
      <c r="CX9" s="1261"/>
      <c r="CY9" s="1261"/>
      <c r="CZ9" s="1261"/>
      <c r="DA9" s="1261"/>
      <c r="DB9" s="1261"/>
      <c r="DC9" s="1261"/>
      <c r="DD9" s="1261"/>
      <c r="DE9" s="1261"/>
      <c r="DF9" s="1261"/>
      <c r="DG9" s="1261"/>
      <c r="DH9" s="1261"/>
      <c r="DI9" s="1261"/>
      <c r="DJ9" s="1261"/>
      <c r="DK9" s="1261"/>
      <c r="DL9" s="1261"/>
      <c r="DM9" s="1261"/>
      <c r="DN9" s="1261"/>
      <c r="DO9" s="1261"/>
      <c r="DP9" s="1261"/>
      <c r="DQ9" s="1261"/>
      <c r="DR9" s="1261"/>
      <c r="DS9" s="1261"/>
      <c r="DT9" s="1261"/>
      <c r="DU9" s="1261"/>
      <c r="DV9" s="1261"/>
      <c r="DW9" s="1261"/>
      <c r="DX9" s="1261"/>
      <c r="DY9" s="1261"/>
      <c r="DZ9" s="1261"/>
      <c r="EA9" s="1261"/>
      <c r="EB9" s="1261"/>
      <c r="EC9" s="1261"/>
      <c r="ED9" s="1261"/>
      <c r="EE9" s="1261"/>
      <c r="EF9" s="1261"/>
      <c r="EG9" s="1261"/>
      <c r="EH9" s="1261"/>
      <c r="EI9" s="1261"/>
      <c r="EJ9" s="1261"/>
      <c r="EK9" s="1261"/>
      <c r="EL9" s="1261"/>
      <c r="EM9" s="1261"/>
      <c r="EN9" s="1261"/>
      <c r="EO9" s="1261"/>
      <c r="EP9" s="1261"/>
      <c r="EQ9" s="1261"/>
      <c r="ER9" s="1261"/>
      <c r="ES9" s="1261"/>
      <c r="ET9" s="1261"/>
      <c r="EU9" s="1261"/>
      <c r="EV9" s="1261"/>
      <c r="EW9" s="1261"/>
      <c r="EX9" s="1261"/>
      <c r="EY9" s="1261"/>
      <c r="EZ9" s="1261"/>
      <c r="FA9" s="1261"/>
      <c r="FB9" s="1261"/>
      <c r="FC9" s="1261"/>
      <c r="FD9" s="1261"/>
      <c r="FE9" s="1261"/>
      <c r="FF9" s="1261"/>
      <c r="FG9" s="1261"/>
      <c r="FH9" s="1261"/>
      <c r="FI9" s="1261"/>
      <c r="FJ9" s="1261"/>
      <c r="FK9" s="1261"/>
      <c r="FL9" s="1261"/>
      <c r="FM9" s="1261"/>
      <c r="FN9" s="1261"/>
      <c r="FO9" s="1261"/>
      <c r="FP9" s="1261"/>
      <c r="FQ9" s="1261"/>
      <c r="FR9" s="1261"/>
      <c r="FS9" s="1261"/>
      <c r="FT9" s="1261"/>
      <c r="FU9" s="1261"/>
      <c r="FV9" s="1261"/>
      <c r="FW9" s="1261"/>
      <c r="FX9" s="1261"/>
      <c r="FY9" s="1261"/>
      <c r="FZ9" s="1261"/>
      <c r="GA9" s="1261"/>
      <c r="GB9" s="1261"/>
      <c r="GC9" s="1261"/>
      <c r="GD9" s="1261"/>
      <c r="GE9" s="1261"/>
      <c r="GF9" s="1261"/>
      <c r="GG9" s="1261"/>
      <c r="GH9" s="1261"/>
      <c r="GI9" s="1261"/>
      <c r="GJ9" s="1261"/>
      <c r="GK9" s="1261"/>
      <c r="GL9" s="1261"/>
      <c r="GM9" s="1261"/>
      <c r="GN9" s="1261"/>
      <c r="GO9" s="1261"/>
      <c r="GP9" s="1261"/>
      <c r="GQ9" s="1261"/>
      <c r="GR9" s="1261"/>
      <c r="GS9" s="1261"/>
      <c r="GT9" s="1261"/>
      <c r="GU9" s="1261"/>
      <c r="GV9" s="1261"/>
      <c r="GW9" s="1261"/>
      <c r="GX9" s="1261"/>
      <c r="GY9" s="1261"/>
      <c r="GZ9" s="1261"/>
      <c r="HA9" s="1261"/>
      <c r="HB9" s="1261"/>
      <c r="HC9" s="1261"/>
      <c r="HD9" s="1261"/>
      <c r="HE9" s="1261"/>
      <c r="HF9" s="1261"/>
      <c r="HG9" s="1261"/>
      <c r="HH9" s="1261"/>
      <c r="HI9" s="1261"/>
      <c r="HJ9" s="1261"/>
      <c r="HK9" s="1261"/>
      <c r="HL9" s="1261"/>
      <c r="HM9" s="1261"/>
      <c r="HN9" s="1261"/>
      <c r="HO9" s="1261"/>
      <c r="HP9" s="1261"/>
      <c r="HQ9" s="1261"/>
      <c r="HR9" s="1261"/>
      <c r="HS9" s="1261"/>
      <c r="HT9" s="1261"/>
      <c r="HU9" s="1261"/>
      <c r="HV9" s="1261"/>
      <c r="HW9" s="1261"/>
      <c r="HX9" s="1261"/>
      <c r="HY9" s="1261"/>
      <c r="HZ9" s="1261"/>
      <c r="IA9" s="1261"/>
      <c r="IB9" s="1261"/>
      <c r="IC9" s="1261"/>
      <c r="ID9" s="1261"/>
      <c r="IE9" s="1261"/>
      <c r="IF9" s="1261"/>
      <c r="IG9" s="1261"/>
      <c r="IH9" s="1261"/>
      <c r="II9" s="1261"/>
      <c r="IJ9" s="1261"/>
      <c r="IK9" s="1261"/>
      <c r="IL9" s="1261"/>
      <c r="IM9" s="1261"/>
      <c r="IN9" s="1261"/>
      <c r="IO9" s="1261"/>
      <c r="IP9" s="1261"/>
      <c r="IQ9" s="1261"/>
      <c r="IR9" s="1261"/>
      <c r="IS9" s="1261"/>
      <c r="IT9" s="1261"/>
      <c r="IU9" s="1261"/>
      <c r="IV9" s="1261"/>
      <c r="IW9" s="1262"/>
    </row>
    <row r="10" spans="1:257" ht="22.5">
      <c r="A10" s="1263"/>
      <c r="B10" s="1264" t="s">
        <v>1183</v>
      </c>
      <c r="C10" s="1263"/>
      <c r="D10" s="1263"/>
      <c r="E10" s="1263"/>
      <c r="F10" s="1263"/>
      <c r="G10" s="1263"/>
      <c r="H10" s="1263"/>
      <c r="I10" s="1237"/>
      <c r="J10" s="1237"/>
      <c r="K10" s="1263"/>
      <c r="L10" s="1264" t="s">
        <v>1184</v>
      </c>
      <c r="M10" s="1263"/>
      <c r="N10" s="1263"/>
      <c r="O10" s="1263"/>
      <c r="P10" s="1263"/>
      <c r="Q10" s="1263"/>
      <c r="R10" s="1263"/>
      <c r="S10" s="1263"/>
      <c r="T10" s="1263"/>
      <c r="U10" s="1263"/>
      <c r="V10" s="1263"/>
      <c r="W10" s="1263"/>
      <c r="X10" s="1263"/>
      <c r="Y10" s="1263"/>
      <c r="Z10" s="1263"/>
      <c r="AA10" s="1265"/>
      <c r="AB10" s="1265"/>
      <c r="AC10" s="1265"/>
      <c r="AD10" s="1265"/>
      <c r="AE10" s="1265"/>
      <c r="AF10" s="1265"/>
      <c r="AG10" s="1265"/>
      <c r="AH10" s="1265"/>
      <c r="AI10" s="1265"/>
      <c r="AJ10" s="1265"/>
      <c r="AK10" s="1265"/>
      <c r="AL10" s="1265"/>
      <c r="AM10" s="1265"/>
      <c r="AN10" s="1265"/>
      <c r="AO10" s="1265"/>
      <c r="AP10" s="1265"/>
      <c r="AQ10" s="1265"/>
      <c r="AR10" s="1265"/>
      <c r="AS10" s="1265"/>
      <c r="AT10" s="1265"/>
      <c r="AU10" s="1265"/>
      <c r="AV10" s="1265"/>
      <c r="AW10" s="1265"/>
      <c r="AX10" s="1265"/>
      <c r="AY10" s="1265"/>
      <c r="AZ10" s="1265"/>
      <c r="BA10" s="1265"/>
      <c r="BB10" s="1265"/>
      <c r="BC10" s="1265"/>
      <c r="BD10" s="1265"/>
      <c r="BE10" s="1265"/>
      <c r="BF10" s="1265"/>
      <c r="BG10" s="1265"/>
      <c r="BH10" s="1265"/>
      <c r="BI10" s="1265"/>
      <c r="BJ10" s="1265"/>
      <c r="BK10" s="1265"/>
      <c r="BL10" s="1265"/>
      <c r="BM10" s="1265"/>
      <c r="BN10" s="1265"/>
      <c r="BO10" s="1265"/>
      <c r="BP10" s="1265"/>
      <c r="BQ10" s="1265"/>
      <c r="BR10" s="1265"/>
      <c r="BS10" s="1265"/>
      <c r="BT10" s="1265"/>
      <c r="BU10" s="1265"/>
      <c r="BV10" s="1265"/>
      <c r="BW10" s="1265"/>
      <c r="BX10" s="1265"/>
      <c r="BY10" s="1265"/>
      <c r="BZ10" s="1265"/>
      <c r="CA10" s="1265"/>
      <c r="CB10" s="1265"/>
      <c r="CC10" s="1265"/>
      <c r="CD10" s="1265"/>
      <c r="CE10" s="1265"/>
      <c r="CF10" s="1265"/>
      <c r="CG10" s="1265"/>
      <c r="CH10" s="1265"/>
      <c r="CI10" s="1265"/>
      <c r="CJ10" s="1265"/>
      <c r="CK10" s="1265"/>
      <c r="CL10" s="1265"/>
      <c r="CM10" s="1265"/>
      <c r="CN10" s="1265"/>
      <c r="CO10" s="1265"/>
      <c r="CP10" s="1265"/>
      <c r="CQ10" s="1265"/>
      <c r="CR10" s="1265"/>
      <c r="CS10" s="1265"/>
      <c r="CT10" s="1265"/>
      <c r="CU10" s="1265"/>
      <c r="CV10" s="1265"/>
      <c r="CW10" s="1265"/>
      <c r="CX10" s="1265"/>
      <c r="CY10" s="1265"/>
      <c r="CZ10" s="1265"/>
      <c r="DA10" s="1265"/>
      <c r="DB10" s="1265"/>
      <c r="DC10" s="1265"/>
      <c r="DD10" s="1265"/>
      <c r="DE10" s="1265"/>
      <c r="DF10" s="1265"/>
      <c r="DG10" s="1265"/>
      <c r="DH10" s="1265"/>
      <c r="DI10" s="1265"/>
      <c r="DJ10" s="1265"/>
      <c r="DK10" s="1265"/>
      <c r="DL10" s="1265"/>
      <c r="DM10" s="1265"/>
      <c r="DN10" s="1265"/>
      <c r="DO10" s="1265"/>
      <c r="DP10" s="1265"/>
      <c r="DQ10" s="1265"/>
      <c r="DR10" s="1265"/>
      <c r="DS10" s="1265"/>
      <c r="DT10" s="1265"/>
      <c r="DU10" s="1265"/>
      <c r="DV10" s="1265"/>
      <c r="DW10" s="1265"/>
      <c r="DX10" s="1265"/>
      <c r="DY10" s="1265"/>
      <c r="DZ10" s="1265"/>
      <c r="EA10" s="1265"/>
      <c r="EB10" s="1265"/>
      <c r="EC10" s="1265"/>
      <c r="ED10" s="1265"/>
      <c r="EE10" s="1265"/>
      <c r="EF10" s="1265"/>
      <c r="EG10" s="1265"/>
      <c r="EH10" s="1265"/>
      <c r="EI10" s="1265"/>
      <c r="EJ10" s="1265"/>
      <c r="EK10" s="1265"/>
      <c r="EL10" s="1265"/>
      <c r="EM10" s="1265"/>
      <c r="EN10" s="1265"/>
      <c r="EO10" s="1265"/>
      <c r="EP10" s="1265"/>
      <c r="EQ10" s="1265"/>
      <c r="ER10" s="1265"/>
      <c r="ES10" s="1265"/>
      <c r="ET10" s="1265"/>
      <c r="EU10" s="1265"/>
      <c r="EV10" s="1265"/>
      <c r="EW10" s="1265"/>
      <c r="EX10" s="1265"/>
      <c r="EY10" s="1265"/>
      <c r="EZ10" s="1265"/>
      <c r="FA10" s="1265"/>
      <c r="FB10" s="1265"/>
      <c r="FC10" s="1265"/>
      <c r="FD10" s="1265"/>
      <c r="FE10" s="1265"/>
      <c r="FF10" s="1265"/>
      <c r="FG10" s="1265"/>
      <c r="FH10" s="1265"/>
      <c r="FI10" s="1265"/>
      <c r="FJ10" s="1265"/>
      <c r="FK10" s="1265"/>
      <c r="FL10" s="1265"/>
      <c r="FM10" s="1265"/>
      <c r="FN10" s="1265"/>
      <c r="FO10" s="1265"/>
      <c r="FP10" s="1265"/>
      <c r="FQ10" s="1265"/>
      <c r="FR10" s="1265"/>
      <c r="FS10" s="1265"/>
      <c r="FT10" s="1265"/>
      <c r="FU10" s="1265"/>
      <c r="FV10" s="1265"/>
      <c r="FW10" s="1265"/>
      <c r="FX10" s="1265"/>
      <c r="FY10" s="1265"/>
      <c r="FZ10" s="1265"/>
      <c r="GA10" s="1265"/>
      <c r="GB10" s="1265"/>
      <c r="GC10" s="1265"/>
      <c r="GD10" s="1265"/>
      <c r="GE10" s="1265"/>
      <c r="GF10" s="1265"/>
      <c r="GG10" s="1265"/>
      <c r="GH10" s="1265"/>
      <c r="GI10" s="1265"/>
      <c r="GJ10" s="1265"/>
      <c r="GK10" s="1265"/>
      <c r="GL10" s="1265"/>
      <c r="GM10" s="1265"/>
      <c r="GN10" s="1265"/>
      <c r="GO10" s="1265"/>
      <c r="GP10" s="1265"/>
      <c r="GQ10" s="1265"/>
      <c r="GR10" s="1265"/>
      <c r="GS10" s="1265"/>
      <c r="GT10" s="1265"/>
      <c r="GU10" s="1265"/>
      <c r="GV10" s="1265"/>
      <c r="GW10" s="1265"/>
      <c r="GX10" s="1265"/>
      <c r="GY10" s="1265"/>
      <c r="GZ10" s="1265"/>
      <c r="HA10" s="1265"/>
      <c r="HB10" s="1265"/>
      <c r="HC10" s="1265"/>
      <c r="HD10" s="1265"/>
      <c r="HE10" s="1265"/>
      <c r="HF10" s="1265"/>
      <c r="HG10" s="1265"/>
      <c r="HH10" s="1265"/>
      <c r="HI10" s="1265"/>
      <c r="HJ10" s="1265"/>
      <c r="HK10" s="1265"/>
      <c r="HL10" s="1265"/>
      <c r="HM10" s="1265"/>
      <c r="HN10" s="1265"/>
      <c r="HO10" s="1265"/>
      <c r="HP10" s="1265"/>
      <c r="HQ10" s="1265"/>
      <c r="HR10" s="1265"/>
      <c r="HS10" s="1265"/>
      <c r="HT10" s="1265"/>
      <c r="HU10" s="1265"/>
      <c r="HV10" s="1265"/>
      <c r="HW10" s="1265"/>
      <c r="HX10" s="1265"/>
      <c r="HY10" s="1265"/>
      <c r="HZ10" s="1265"/>
      <c r="IA10" s="1265"/>
      <c r="IB10" s="1265"/>
      <c r="IC10" s="1265"/>
      <c r="ID10" s="1265"/>
      <c r="IE10" s="1265"/>
      <c r="IF10" s="1265"/>
      <c r="IG10" s="1265"/>
      <c r="IH10" s="1265"/>
      <c r="II10" s="1265"/>
      <c r="IJ10" s="1265"/>
      <c r="IK10" s="1265"/>
      <c r="IL10" s="1265"/>
      <c r="IM10" s="1265"/>
      <c r="IN10" s="1265"/>
      <c r="IO10" s="1265"/>
      <c r="IP10" s="1265"/>
      <c r="IQ10" s="1265"/>
      <c r="IR10" s="1265"/>
      <c r="IS10" s="1265"/>
      <c r="IT10" s="1265"/>
      <c r="IU10" s="1265"/>
      <c r="IV10" s="1265"/>
    </row>
    <row r="11" spans="1:257">
      <c r="A11" s="1266"/>
      <c r="B11" s="1267" t="s">
        <v>1185</v>
      </c>
      <c r="C11" s="1268" t="s">
        <v>1186</v>
      </c>
      <c r="D11" s="1269" t="s">
        <v>1187</v>
      </c>
      <c r="E11" s="1270"/>
      <c r="F11" s="1269" t="s">
        <v>1188</v>
      </c>
      <c r="G11" s="1271"/>
      <c r="H11" s="1270"/>
      <c r="I11" s="1269" t="s">
        <v>1189</v>
      </c>
      <c r="J11" s="1270"/>
      <c r="K11" s="1266"/>
      <c r="L11" s="1267" t="s">
        <v>1185</v>
      </c>
      <c r="M11" s="1268" t="s">
        <v>1186</v>
      </c>
      <c r="N11" s="1267" t="s">
        <v>1190</v>
      </c>
      <c r="O11" s="1269" t="s">
        <v>1191</v>
      </c>
      <c r="P11" s="1271"/>
      <c r="Q11" s="1271"/>
      <c r="R11" s="1271"/>
      <c r="S11" s="1271"/>
      <c r="T11" s="1270"/>
      <c r="U11" s="1269" t="s">
        <v>1192</v>
      </c>
      <c r="V11" s="1271"/>
      <c r="W11" s="1270"/>
      <c r="X11" s="1267" t="s">
        <v>1193</v>
      </c>
      <c r="Y11" s="1267" t="s">
        <v>1194</v>
      </c>
      <c r="Z11" s="1267" t="s">
        <v>1195</v>
      </c>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c r="DF11" s="1272"/>
      <c r="DG11" s="1272"/>
      <c r="DH11" s="1272"/>
      <c r="DI11" s="1272"/>
      <c r="DJ11" s="1272"/>
      <c r="DK11" s="1272"/>
      <c r="DL11" s="1272"/>
      <c r="DM11" s="1272"/>
      <c r="DN11" s="1272"/>
      <c r="DO11" s="1272"/>
      <c r="DP11" s="1272"/>
      <c r="DQ11" s="1272"/>
      <c r="DR11" s="1272"/>
      <c r="DS11" s="1272"/>
      <c r="DT11" s="1272"/>
      <c r="DU11" s="1272"/>
      <c r="DV11" s="1272"/>
      <c r="DW11" s="1272"/>
      <c r="DX11" s="1272"/>
      <c r="DY11" s="1272"/>
      <c r="DZ11" s="1272"/>
      <c r="EA11" s="1272"/>
      <c r="EB11" s="1272"/>
      <c r="EC11" s="1272"/>
      <c r="ED11" s="1272"/>
      <c r="EE11" s="1272"/>
      <c r="EF11" s="1272"/>
      <c r="EG11" s="1272"/>
      <c r="EH11" s="1272"/>
      <c r="EI11" s="1272"/>
      <c r="EJ11" s="1272"/>
      <c r="EK11" s="1272"/>
      <c r="EL11" s="1272"/>
      <c r="EM11" s="1272"/>
      <c r="EN11" s="1272"/>
      <c r="EO11" s="1272"/>
      <c r="EP11" s="1272"/>
      <c r="EQ11" s="1272"/>
      <c r="ER11" s="1272"/>
      <c r="ES11" s="1272"/>
      <c r="ET11" s="1272"/>
      <c r="EU11" s="1272"/>
      <c r="EV11" s="1272"/>
      <c r="EW11" s="1272"/>
      <c r="EX11" s="1272"/>
      <c r="EY11" s="1272"/>
      <c r="EZ11" s="1272"/>
      <c r="FA11" s="1272"/>
      <c r="FB11" s="1272"/>
      <c r="FC11" s="1272"/>
      <c r="FD11" s="1272"/>
      <c r="FE11" s="1272"/>
      <c r="FF11" s="1272"/>
      <c r="FG11" s="1272"/>
      <c r="FH11" s="1272"/>
      <c r="FI11" s="1272"/>
      <c r="FJ11" s="1272"/>
      <c r="FK11" s="1272"/>
      <c r="FL11" s="1272"/>
      <c r="FM11" s="1272"/>
      <c r="FN11" s="1272"/>
      <c r="FO11" s="1272"/>
      <c r="FP11" s="1272"/>
      <c r="FQ11" s="1272"/>
      <c r="FR11" s="1272"/>
      <c r="FS11" s="1272"/>
      <c r="FT11" s="1272"/>
      <c r="FU11" s="1272"/>
      <c r="FV11" s="1272"/>
      <c r="FW11" s="1272"/>
      <c r="FX11" s="1272"/>
      <c r="FY11" s="1272"/>
      <c r="FZ11" s="1272"/>
      <c r="GA11" s="1272"/>
      <c r="GB11" s="1272"/>
      <c r="GC11" s="1272"/>
      <c r="GD11" s="1272"/>
      <c r="GE11" s="1272"/>
      <c r="GF11" s="1272"/>
      <c r="GG11" s="1272"/>
      <c r="GH11" s="1272"/>
      <c r="GI11" s="1272"/>
      <c r="GJ11" s="1272"/>
      <c r="GK11" s="1272"/>
      <c r="GL11" s="1272"/>
      <c r="GM11" s="1272"/>
      <c r="GN11" s="1272"/>
      <c r="GO11" s="1272"/>
      <c r="GP11" s="1272"/>
      <c r="GQ11" s="1272"/>
      <c r="GR11" s="1272"/>
      <c r="GS11" s="1272"/>
      <c r="GT11" s="1272"/>
      <c r="GU11" s="1272"/>
      <c r="GV11" s="1272"/>
      <c r="GW11" s="1272"/>
      <c r="GX11" s="1272"/>
      <c r="GY11" s="1272"/>
      <c r="GZ11" s="1272"/>
      <c r="HA11" s="1272"/>
      <c r="HB11" s="1272"/>
      <c r="HC11" s="1272"/>
      <c r="HD11" s="1272"/>
      <c r="HE11" s="1272"/>
      <c r="HF11" s="1272"/>
      <c r="HG11" s="1272"/>
      <c r="HH11" s="1272"/>
      <c r="HI11" s="1272"/>
      <c r="HJ11" s="1272"/>
      <c r="HK11" s="1272"/>
      <c r="HL11" s="1272"/>
      <c r="HM11" s="1272"/>
      <c r="HN11" s="1272"/>
      <c r="HO11" s="1272"/>
      <c r="HP11" s="1272"/>
      <c r="HQ11" s="1272"/>
      <c r="HR11" s="1272"/>
      <c r="HS11" s="1272"/>
      <c r="HT11" s="1272"/>
      <c r="HU11" s="1272"/>
      <c r="HV11" s="1272"/>
      <c r="HW11" s="1272"/>
      <c r="HX11" s="1272"/>
      <c r="HY11" s="1272"/>
      <c r="HZ11" s="1272"/>
      <c r="IA11" s="1272"/>
      <c r="IB11" s="1272"/>
      <c r="IC11" s="1272"/>
      <c r="ID11" s="1272"/>
      <c r="IE11" s="1272"/>
      <c r="IF11" s="1272"/>
      <c r="IG11" s="1272"/>
      <c r="IH11" s="1272"/>
      <c r="II11" s="1272"/>
      <c r="IJ11" s="1272"/>
      <c r="IK11" s="1272"/>
      <c r="IL11" s="1272"/>
      <c r="IM11" s="1272"/>
      <c r="IN11" s="1272"/>
      <c r="IO11" s="1272"/>
      <c r="IP11" s="1272"/>
      <c r="IQ11" s="1272"/>
      <c r="IR11" s="1272"/>
      <c r="IS11" s="1272"/>
      <c r="IT11" s="1272"/>
      <c r="IU11" s="1272"/>
      <c r="IV11" s="1272"/>
    </row>
    <row r="12" spans="1:257">
      <c r="A12" s="1273"/>
      <c r="B12" s="1274"/>
      <c r="C12" s="1275"/>
      <c r="D12" s="1276" t="s">
        <v>1196</v>
      </c>
      <c r="E12" s="1276" t="s">
        <v>1197</v>
      </c>
      <c r="F12" s="1276" t="s">
        <v>1198</v>
      </c>
      <c r="G12" s="1276" t="s">
        <v>1199</v>
      </c>
      <c r="H12" s="1276" t="s">
        <v>1181</v>
      </c>
      <c r="I12" s="1277" t="s">
        <v>1200</v>
      </c>
      <c r="J12" s="1277" t="s">
        <v>1200</v>
      </c>
      <c r="K12" s="1273"/>
      <c r="L12" s="1274"/>
      <c r="M12" s="1275"/>
      <c r="N12" s="1274"/>
      <c r="O12" s="1277" t="s">
        <v>1201</v>
      </c>
      <c r="P12" s="1277">
        <v>0.5</v>
      </c>
      <c r="Q12" s="1277">
        <v>1</v>
      </c>
      <c r="R12" s="1277">
        <v>2</v>
      </c>
      <c r="S12" s="1277">
        <v>3</v>
      </c>
      <c r="T12" s="1277">
        <v>5</v>
      </c>
      <c r="U12" s="1277">
        <v>1</v>
      </c>
      <c r="V12" s="1277">
        <v>3</v>
      </c>
      <c r="W12" s="1277">
        <v>5</v>
      </c>
      <c r="X12" s="1274"/>
      <c r="Y12" s="1274"/>
      <c r="Z12" s="1274"/>
      <c r="AA12" s="1278"/>
      <c r="AB12" s="1278"/>
      <c r="AC12" s="1278"/>
      <c r="AD12" s="1278"/>
      <c r="AE12" s="1278"/>
      <c r="AF12" s="1278"/>
      <c r="AG12" s="1278"/>
      <c r="AH12" s="1278"/>
      <c r="AI12" s="1278"/>
      <c r="AJ12" s="1278"/>
      <c r="AK12" s="1278"/>
      <c r="AL12" s="1278"/>
      <c r="AM12" s="1278"/>
      <c r="AN12" s="1278"/>
      <c r="AO12" s="1278"/>
      <c r="AP12" s="1278"/>
      <c r="AQ12" s="1278"/>
      <c r="AR12" s="1278"/>
      <c r="AS12" s="1278"/>
      <c r="AT12" s="1278"/>
      <c r="AU12" s="1278"/>
      <c r="AV12" s="1278"/>
      <c r="AW12" s="1278"/>
      <c r="AX12" s="1278"/>
      <c r="AY12" s="1278"/>
      <c r="AZ12" s="1278"/>
      <c r="BA12" s="1278"/>
      <c r="BB12" s="1278"/>
      <c r="BC12" s="1278"/>
      <c r="BD12" s="1278"/>
      <c r="BE12" s="1278"/>
      <c r="BF12" s="1278"/>
      <c r="BG12" s="1278"/>
      <c r="BH12" s="1278"/>
      <c r="BI12" s="1278"/>
      <c r="BJ12" s="1278"/>
      <c r="BK12" s="1278"/>
      <c r="BL12" s="1278"/>
      <c r="BM12" s="1278"/>
      <c r="BN12" s="1278"/>
      <c r="BO12" s="1278"/>
      <c r="BP12" s="1278"/>
      <c r="BQ12" s="1278"/>
      <c r="BR12" s="1278"/>
      <c r="BS12" s="1278"/>
      <c r="BT12" s="1278"/>
      <c r="BU12" s="1278"/>
      <c r="BV12" s="1278"/>
      <c r="BW12" s="1278"/>
      <c r="BX12" s="1278"/>
      <c r="BY12" s="1278"/>
      <c r="BZ12" s="1278"/>
      <c r="CA12" s="1278"/>
      <c r="CB12" s="1278"/>
      <c r="CC12" s="1278"/>
      <c r="CD12" s="1278"/>
      <c r="CE12" s="1278"/>
      <c r="CF12" s="1278"/>
      <c r="CG12" s="1278"/>
      <c r="CH12" s="1278"/>
      <c r="CI12" s="1278"/>
      <c r="CJ12" s="1278"/>
      <c r="CK12" s="1278"/>
      <c r="CL12" s="1278"/>
      <c r="CM12" s="1278"/>
      <c r="CN12" s="1278"/>
      <c r="CO12" s="1278"/>
      <c r="CP12" s="1278"/>
      <c r="CQ12" s="1278"/>
      <c r="CR12" s="1278"/>
      <c r="CS12" s="1278"/>
      <c r="CT12" s="1278"/>
      <c r="CU12" s="1278"/>
      <c r="CV12" s="1278"/>
      <c r="CW12" s="1278"/>
      <c r="CX12" s="1278"/>
      <c r="CY12" s="1278"/>
      <c r="CZ12" s="1278"/>
      <c r="DA12" s="1278"/>
      <c r="DB12" s="1278"/>
      <c r="DC12" s="1278"/>
      <c r="DD12" s="1278"/>
      <c r="DE12" s="1278"/>
      <c r="DF12" s="1278"/>
      <c r="DG12" s="1278"/>
      <c r="DH12" s="1278"/>
      <c r="DI12" s="1278"/>
      <c r="DJ12" s="1278"/>
      <c r="DK12" s="1278"/>
      <c r="DL12" s="1278"/>
      <c r="DM12" s="1278"/>
      <c r="DN12" s="1278"/>
      <c r="DO12" s="1278"/>
      <c r="DP12" s="1278"/>
      <c r="DQ12" s="1278"/>
      <c r="DR12" s="1278"/>
      <c r="DS12" s="1278"/>
      <c r="DT12" s="1278"/>
      <c r="DU12" s="1278"/>
      <c r="DV12" s="1278"/>
      <c r="DW12" s="1278"/>
      <c r="DX12" s="1278"/>
      <c r="DY12" s="1278"/>
      <c r="DZ12" s="1278"/>
      <c r="EA12" s="1278"/>
      <c r="EB12" s="1278"/>
      <c r="EC12" s="1278"/>
      <c r="ED12" s="1278"/>
      <c r="EE12" s="1278"/>
      <c r="EF12" s="1278"/>
      <c r="EG12" s="1278"/>
      <c r="EH12" s="1278"/>
      <c r="EI12" s="1278"/>
      <c r="EJ12" s="1278"/>
      <c r="EK12" s="1278"/>
      <c r="EL12" s="1278"/>
      <c r="EM12" s="1278"/>
      <c r="EN12" s="1278"/>
      <c r="EO12" s="1278"/>
      <c r="EP12" s="1278"/>
      <c r="EQ12" s="1278"/>
      <c r="ER12" s="1278"/>
      <c r="ES12" s="1278"/>
      <c r="ET12" s="1278"/>
      <c r="EU12" s="1278"/>
      <c r="EV12" s="1278"/>
      <c r="EW12" s="1278"/>
      <c r="EX12" s="1278"/>
      <c r="EY12" s="1278"/>
      <c r="EZ12" s="1278"/>
      <c r="FA12" s="1278"/>
      <c r="FB12" s="1278"/>
      <c r="FC12" s="1278"/>
      <c r="FD12" s="1278"/>
      <c r="FE12" s="1278"/>
      <c r="FF12" s="1278"/>
      <c r="FG12" s="1278"/>
      <c r="FH12" s="1278"/>
      <c r="FI12" s="1278"/>
      <c r="FJ12" s="1278"/>
      <c r="FK12" s="1278"/>
      <c r="FL12" s="1278"/>
      <c r="FM12" s="1278"/>
      <c r="FN12" s="1278"/>
      <c r="FO12" s="1278"/>
      <c r="FP12" s="1278"/>
      <c r="FQ12" s="1278"/>
      <c r="FR12" s="1278"/>
      <c r="FS12" s="1278"/>
      <c r="FT12" s="1278"/>
      <c r="FU12" s="1278"/>
      <c r="FV12" s="1278"/>
      <c r="FW12" s="1278"/>
      <c r="FX12" s="1278"/>
      <c r="FY12" s="1278"/>
      <c r="FZ12" s="1278"/>
      <c r="GA12" s="1278"/>
      <c r="GB12" s="1278"/>
      <c r="GC12" s="1278"/>
      <c r="GD12" s="1278"/>
      <c r="GE12" s="1278"/>
      <c r="GF12" s="1278"/>
      <c r="GG12" s="1278"/>
      <c r="GH12" s="1278"/>
      <c r="GI12" s="1278"/>
      <c r="GJ12" s="1278"/>
      <c r="GK12" s="1278"/>
      <c r="GL12" s="1278"/>
      <c r="GM12" s="1278"/>
      <c r="GN12" s="1278"/>
      <c r="GO12" s="1278"/>
      <c r="GP12" s="1278"/>
      <c r="GQ12" s="1278"/>
      <c r="GR12" s="1278"/>
      <c r="GS12" s="1278"/>
      <c r="GT12" s="1278"/>
      <c r="GU12" s="1278"/>
      <c r="GV12" s="1278"/>
      <c r="GW12" s="1278"/>
      <c r="GX12" s="1278"/>
      <c r="GY12" s="1278"/>
      <c r="GZ12" s="1278"/>
      <c r="HA12" s="1278"/>
      <c r="HB12" s="1278"/>
      <c r="HC12" s="1278"/>
      <c r="HD12" s="1278"/>
      <c r="HE12" s="1278"/>
      <c r="HF12" s="1278"/>
      <c r="HG12" s="1278"/>
      <c r="HH12" s="1278"/>
      <c r="HI12" s="1278"/>
      <c r="HJ12" s="1278"/>
      <c r="HK12" s="1278"/>
      <c r="HL12" s="1278"/>
      <c r="HM12" s="1278"/>
      <c r="HN12" s="1278"/>
      <c r="HO12" s="1278"/>
      <c r="HP12" s="1278"/>
      <c r="HQ12" s="1278"/>
      <c r="HR12" s="1278"/>
      <c r="HS12" s="1278"/>
      <c r="HT12" s="1278"/>
      <c r="HU12" s="1278"/>
      <c r="HV12" s="1278"/>
      <c r="HW12" s="1278"/>
      <c r="HX12" s="1278"/>
      <c r="HY12" s="1278"/>
      <c r="HZ12" s="1278"/>
      <c r="IA12" s="1278"/>
      <c r="IB12" s="1278"/>
      <c r="IC12" s="1278"/>
      <c r="ID12" s="1278"/>
      <c r="IE12" s="1278"/>
      <c r="IF12" s="1278"/>
      <c r="IG12" s="1278"/>
      <c r="IH12" s="1278"/>
      <c r="II12" s="1278"/>
      <c r="IJ12" s="1278"/>
      <c r="IK12" s="1278"/>
      <c r="IL12" s="1278"/>
      <c r="IM12" s="1278"/>
      <c r="IN12" s="1278"/>
      <c r="IO12" s="1278"/>
      <c r="IP12" s="1278"/>
      <c r="IQ12" s="1278"/>
      <c r="IR12" s="1278"/>
      <c r="IS12" s="1278"/>
      <c r="IT12" s="1278"/>
      <c r="IU12" s="1278"/>
      <c r="IV12" s="1278"/>
    </row>
    <row r="13" spans="1:257" ht="14.25">
      <c r="A13" s="1279"/>
      <c r="B13" s="1280" t="s">
        <v>1202</v>
      </c>
      <c r="C13" s="1281">
        <v>43941</v>
      </c>
      <c r="D13" s="1282">
        <v>3.85</v>
      </c>
      <c r="E13" s="1282">
        <f>D13</f>
        <v>3.85</v>
      </c>
      <c r="F13" s="1282">
        <f>D13</f>
        <v>3.85</v>
      </c>
      <c r="G13" s="1282">
        <f>D13</f>
        <v>3.85</v>
      </c>
      <c r="H13" s="1282">
        <v>4.6500000000000004</v>
      </c>
      <c r="I13" s="1282"/>
      <c r="J13" s="1282"/>
      <c r="K13" s="1279"/>
      <c r="L13" s="1280" t="s">
        <v>1202</v>
      </c>
      <c r="M13" s="1283">
        <v>42301</v>
      </c>
      <c r="N13" s="1282">
        <v>0.35</v>
      </c>
      <c r="O13" s="1282">
        <v>1.1000000000000001</v>
      </c>
      <c r="P13" s="1282">
        <v>1.3</v>
      </c>
      <c r="Q13" s="1282">
        <v>1.5</v>
      </c>
      <c r="R13" s="1282">
        <v>2.1</v>
      </c>
      <c r="S13" s="1282">
        <v>2.75</v>
      </c>
      <c r="T13" s="1282"/>
      <c r="U13" s="1282"/>
      <c r="V13" s="1282"/>
      <c r="W13" s="1282"/>
      <c r="X13" s="1282"/>
      <c r="Y13" s="1282"/>
      <c r="Z13" s="1282"/>
      <c r="AA13" s="1284"/>
      <c r="AB13" s="1284"/>
      <c r="AC13" s="1284"/>
      <c r="AD13" s="1284"/>
      <c r="AE13" s="1284"/>
      <c r="AF13" s="1284"/>
      <c r="AG13" s="1284"/>
      <c r="AH13" s="1284"/>
      <c r="AI13" s="1284"/>
      <c r="AJ13" s="1284"/>
      <c r="AK13" s="1284"/>
      <c r="AL13" s="1284"/>
      <c r="AM13" s="1284"/>
      <c r="AN13" s="1284"/>
      <c r="AO13" s="1284"/>
      <c r="AP13" s="1284"/>
      <c r="AQ13" s="1284"/>
      <c r="AR13" s="1284"/>
      <c r="AS13" s="1284"/>
      <c r="AT13" s="1284"/>
      <c r="AU13" s="1284"/>
      <c r="AV13" s="1284"/>
      <c r="AW13" s="1284"/>
      <c r="AX13" s="1284"/>
      <c r="AY13" s="1284"/>
      <c r="AZ13" s="1284"/>
      <c r="BA13" s="1284"/>
      <c r="BB13" s="1284"/>
      <c r="BC13" s="1284"/>
      <c r="BD13" s="1284"/>
      <c r="BE13" s="1284"/>
      <c r="BF13" s="1284"/>
      <c r="BG13" s="1284"/>
      <c r="BH13" s="1284"/>
      <c r="BI13" s="1284"/>
      <c r="BJ13" s="1284"/>
      <c r="BK13" s="1284"/>
      <c r="BL13" s="1284"/>
      <c r="BM13" s="1284"/>
      <c r="BN13" s="1284"/>
      <c r="BO13" s="1284"/>
      <c r="BP13" s="1284"/>
      <c r="BQ13" s="1284"/>
      <c r="BR13" s="1284"/>
      <c r="BS13" s="1284"/>
      <c r="BT13" s="1284"/>
      <c r="BU13" s="1284"/>
      <c r="BV13" s="1284"/>
      <c r="BW13" s="1284"/>
      <c r="BX13" s="1284"/>
      <c r="BY13" s="1284"/>
      <c r="BZ13" s="1284"/>
      <c r="CA13" s="1284"/>
      <c r="CB13" s="1284"/>
      <c r="CC13" s="1284"/>
      <c r="CD13" s="1284"/>
      <c r="CE13" s="1284"/>
      <c r="CF13" s="1284"/>
      <c r="CG13" s="1284"/>
      <c r="CH13" s="1284"/>
      <c r="CI13" s="1284"/>
      <c r="CJ13" s="1284"/>
      <c r="CK13" s="1284"/>
      <c r="CL13" s="1284"/>
      <c r="CM13" s="1284"/>
      <c r="CN13" s="1284"/>
      <c r="CO13" s="1284"/>
      <c r="CP13" s="1284"/>
      <c r="CQ13" s="1284"/>
      <c r="CR13" s="1284"/>
      <c r="CS13" s="1284"/>
      <c r="CT13" s="1284"/>
      <c r="CU13" s="1284"/>
      <c r="CV13" s="1284"/>
      <c r="CW13" s="1284"/>
      <c r="CX13" s="1284"/>
      <c r="CY13" s="1284"/>
      <c r="CZ13" s="1284"/>
      <c r="DA13" s="1284"/>
      <c r="DB13" s="1284"/>
      <c r="DC13" s="1284"/>
      <c r="DD13" s="1284"/>
      <c r="DE13" s="1284"/>
      <c r="DF13" s="1284"/>
      <c r="DG13" s="1284"/>
      <c r="DH13" s="1284"/>
      <c r="DI13" s="1284"/>
      <c r="DJ13" s="1284"/>
      <c r="DK13" s="1284"/>
      <c r="DL13" s="1284"/>
      <c r="DM13" s="1284"/>
      <c r="DN13" s="1284"/>
      <c r="DO13" s="1284"/>
      <c r="DP13" s="1284"/>
      <c r="DQ13" s="1284"/>
      <c r="DR13" s="1284"/>
      <c r="DS13" s="1284"/>
      <c r="DT13" s="1284"/>
      <c r="DU13" s="1284"/>
      <c r="DV13" s="1284"/>
      <c r="DW13" s="1284"/>
      <c r="DX13" s="1284"/>
      <c r="DY13" s="1284"/>
      <c r="DZ13" s="1284"/>
      <c r="EA13" s="1284"/>
      <c r="EB13" s="1284"/>
      <c r="EC13" s="1284"/>
      <c r="ED13" s="1284"/>
      <c r="EE13" s="1284"/>
      <c r="EF13" s="1284"/>
      <c r="EG13" s="1284"/>
      <c r="EH13" s="1284"/>
      <c r="EI13" s="1284"/>
      <c r="EJ13" s="1284"/>
      <c r="EK13" s="1284"/>
      <c r="EL13" s="1284"/>
      <c r="EM13" s="1284"/>
      <c r="EN13" s="1284"/>
      <c r="EO13" s="1284"/>
      <c r="EP13" s="1284"/>
      <c r="EQ13" s="1284"/>
      <c r="ER13" s="1284"/>
      <c r="ES13" s="1284"/>
      <c r="ET13" s="1284"/>
      <c r="EU13" s="1284"/>
      <c r="EV13" s="1284"/>
      <c r="EW13" s="1284"/>
      <c r="EX13" s="1284"/>
      <c r="EY13" s="1284"/>
      <c r="EZ13" s="1284"/>
      <c r="FA13" s="1284"/>
      <c r="FB13" s="1284"/>
      <c r="FC13" s="1284"/>
      <c r="FD13" s="1284"/>
      <c r="FE13" s="1284"/>
      <c r="FF13" s="1284"/>
      <c r="FG13" s="1284"/>
      <c r="FH13" s="1284"/>
      <c r="FI13" s="1284"/>
      <c r="FJ13" s="1284"/>
      <c r="FK13" s="1284"/>
      <c r="FL13" s="1284"/>
      <c r="FM13" s="1284"/>
      <c r="FN13" s="1284"/>
      <c r="FO13" s="1284"/>
      <c r="FP13" s="1284"/>
      <c r="FQ13" s="1284"/>
      <c r="FR13" s="1284"/>
      <c r="FS13" s="1284"/>
      <c r="FT13" s="1284"/>
      <c r="FU13" s="1284"/>
      <c r="FV13" s="1284"/>
      <c r="FW13" s="1284"/>
      <c r="FX13" s="1284"/>
      <c r="FY13" s="1284"/>
      <c r="FZ13" s="1284"/>
      <c r="GA13" s="1284"/>
      <c r="GB13" s="1284"/>
      <c r="GC13" s="1284"/>
      <c r="GD13" s="1284"/>
      <c r="GE13" s="1284"/>
      <c r="GF13" s="1284"/>
      <c r="GG13" s="1284"/>
      <c r="GH13" s="1284"/>
      <c r="GI13" s="1284"/>
      <c r="GJ13" s="1284"/>
      <c r="GK13" s="1284"/>
      <c r="GL13" s="1284"/>
      <c r="GM13" s="1284"/>
      <c r="GN13" s="1284"/>
      <c r="GO13" s="1284"/>
      <c r="GP13" s="1284"/>
      <c r="GQ13" s="1284"/>
      <c r="GR13" s="1284"/>
      <c r="GS13" s="1284"/>
      <c r="GT13" s="1284"/>
      <c r="GU13" s="1284"/>
      <c r="GV13" s="1284"/>
      <c r="GW13" s="1284"/>
      <c r="GX13" s="1284"/>
      <c r="GY13" s="1284"/>
      <c r="GZ13" s="1284"/>
      <c r="HA13" s="1284"/>
      <c r="HB13" s="1284"/>
      <c r="HC13" s="1284"/>
      <c r="HD13" s="1284"/>
      <c r="HE13" s="1284"/>
      <c r="HF13" s="1284"/>
      <c r="HG13" s="1284"/>
      <c r="HH13" s="1284"/>
      <c r="HI13" s="1284"/>
      <c r="HJ13" s="1284"/>
      <c r="HK13" s="1284"/>
      <c r="HL13" s="1284"/>
      <c r="HM13" s="1284"/>
      <c r="HN13" s="1284"/>
      <c r="HO13" s="1284"/>
      <c r="HP13" s="1284"/>
      <c r="HQ13" s="1284"/>
      <c r="HR13" s="1284"/>
      <c r="HS13" s="1284"/>
      <c r="HT13" s="1284"/>
      <c r="HU13" s="1284"/>
      <c r="HV13" s="1284"/>
      <c r="HW13" s="1284"/>
      <c r="HX13" s="1284"/>
      <c r="HY13" s="1284"/>
      <c r="HZ13" s="1284"/>
      <c r="IA13" s="1284"/>
      <c r="IB13" s="1284"/>
      <c r="IC13" s="1284"/>
      <c r="ID13" s="1284"/>
      <c r="IE13" s="1284"/>
      <c r="IF13" s="1284"/>
      <c r="IG13" s="1284"/>
      <c r="IH13" s="1284"/>
      <c r="II13" s="1284"/>
      <c r="IJ13" s="1284"/>
      <c r="IK13" s="1284"/>
      <c r="IL13" s="1284"/>
      <c r="IM13" s="1284"/>
      <c r="IN13" s="1284"/>
      <c r="IO13" s="1284"/>
      <c r="IP13" s="1284"/>
      <c r="IQ13" s="1284"/>
      <c r="IR13" s="1284"/>
      <c r="IS13" s="1284"/>
      <c r="IT13" s="1284"/>
      <c r="IU13" s="1284"/>
      <c r="IV13" s="1284"/>
      <c r="IW13" s="1285"/>
    </row>
    <row r="14" spans="1:257">
      <c r="B14" s="1286"/>
      <c r="C14" s="1287">
        <v>43881</v>
      </c>
      <c r="D14" s="1286">
        <v>4.05</v>
      </c>
      <c r="E14" s="1286">
        <f>D14</f>
        <v>4.05</v>
      </c>
      <c r="F14" s="1286">
        <f>D14</f>
        <v>4.05</v>
      </c>
      <c r="G14" s="1286">
        <f>D14</f>
        <v>4.05</v>
      </c>
      <c r="H14" s="1286">
        <v>4.75</v>
      </c>
      <c r="I14" s="1286"/>
      <c r="J14" s="1286"/>
      <c r="L14" s="1286"/>
      <c r="M14" s="1287">
        <v>42301</v>
      </c>
      <c r="N14" s="1286">
        <v>0.35</v>
      </c>
      <c r="O14" s="1286">
        <v>1.1000000000000001</v>
      </c>
      <c r="P14" s="1286">
        <v>1.3</v>
      </c>
      <c r="Q14" s="1286">
        <v>1.5</v>
      </c>
      <c r="R14" s="1286">
        <v>2.1</v>
      </c>
      <c r="S14" s="1286">
        <v>2.75</v>
      </c>
      <c r="T14" s="1286"/>
      <c r="U14" s="1286"/>
      <c r="V14" s="1286"/>
      <c r="W14" s="1286"/>
      <c r="X14" s="1286"/>
      <c r="Y14" s="1286"/>
      <c r="Z14" s="1286"/>
    </row>
    <row r="15" spans="1:257">
      <c r="B15" s="1286"/>
      <c r="C15" s="1287">
        <v>43789</v>
      </c>
      <c r="D15" s="1286">
        <v>4.1500000000000004</v>
      </c>
      <c r="E15" s="1286">
        <f>D15</f>
        <v>4.1500000000000004</v>
      </c>
      <c r="F15" s="1286">
        <f>D15</f>
        <v>4.1500000000000004</v>
      </c>
      <c r="G15" s="1286">
        <f>D15</f>
        <v>4.1500000000000004</v>
      </c>
      <c r="H15" s="1286">
        <v>4.8</v>
      </c>
      <c r="I15" s="1286"/>
      <c r="J15" s="1286"/>
      <c r="L15" s="1286"/>
      <c r="M15" s="1287">
        <v>42242</v>
      </c>
      <c r="N15" s="1286">
        <v>0.35</v>
      </c>
      <c r="O15" s="1286">
        <v>1.35</v>
      </c>
      <c r="P15" s="1286">
        <v>1.55</v>
      </c>
      <c r="Q15" s="1286">
        <v>1.75</v>
      </c>
      <c r="R15" s="1286">
        <v>2.35</v>
      </c>
      <c r="S15" s="1286">
        <v>3</v>
      </c>
      <c r="T15" s="1286"/>
      <c r="U15" s="1286"/>
      <c r="V15" s="1286"/>
      <c r="W15" s="1286"/>
      <c r="X15" s="1286"/>
      <c r="Y15" s="1286"/>
      <c r="Z15" s="1286"/>
    </row>
    <row r="16" spans="1:257">
      <c r="B16" s="1286"/>
      <c r="C16" s="1287">
        <v>43728</v>
      </c>
      <c r="D16" s="1286">
        <v>4.2</v>
      </c>
      <c r="E16" s="1286">
        <f>D16</f>
        <v>4.2</v>
      </c>
      <c r="F16" s="1286">
        <f>D16</f>
        <v>4.2</v>
      </c>
      <c r="G16" s="1286">
        <f>D16</f>
        <v>4.2</v>
      </c>
      <c r="H16" s="1286">
        <v>4.8499999999999996</v>
      </c>
      <c r="I16" s="1286"/>
      <c r="J16" s="1286"/>
      <c r="L16" s="1286"/>
      <c r="M16" s="1287">
        <v>42183</v>
      </c>
      <c r="N16" s="1286">
        <v>0.35</v>
      </c>
      <c r="O16" s="1286">
        <v>1.6</v>
      </c>
      <c r="P16" s="1286">
        <v>1.8</v>
      </c>
      <c r="Q16" s="1286">
        <v>2</v>
      </c>
      <c r="R16" s="1286">
        <v>2.6</v>
      </c>
      <c r="S16" s="1286">
        <v>3.25</v>
      </c>
      <c r="T16" s="1286"/>
      <c r="U16" s="1286"/>
      <c r="V16" s="1286"/>
      <c r="W16" s="1286"/>
      <c r="X16" s="1286"/>
      <c r="Y16" s="1286"/>
      <c r="Z16" s="1286"/>
    </row>
    <row r="17" spans="1:256" s="3151" customFormat="1" ht="14.25">
      <c r="A17" s="3148"/>
      <c r="B17" s="1280" t="s">
        <v>2887</v>
      </c>
      <c r="C17" s="1289">
        <v>43697</v>
      </c>
      <c r="D17" s="3149">
        <v>4.25</v>
      </c>
      <c r="E17" s="3149">
        <f>D17</f>
        <v>4.25</v>
      </c>
      <c r="F17" s="3149">
        <f>D17</f>
        <v>4.25</v>
      </c>
      <c r="G17" s="3149">
        <f>D17</f>
        <v>4.25</v>
      </c>
      <c r="H17" s="3149">
        <v>4.8499999999999996</v>
      </c>
      <c r="I17" s="3149"/>
      <c r="J17" s="3149"/>
      <c r="K17" s="3148"/>
      <c r="L17" s="1286"/>
      <c r="M17" s="1287">
        <v>42135</v>
      </c>
      <c r="N17" s="1286">
        <v>0.35</v>
      </c>
      <c r="O17" s="1286">
        <v>1.85</v>
      </c>
      <c r="P17" s="1286">
        <v>2.0499999999999998</v>
      </c>
      <c r="Q17" s="1286">
        <v>2.25</v>
      </c>
      <c r="R17" s="1286">
        <v>2.85</v>
      </c>
      <c r="S17" s="1286">
        <v>3.5</v>
      </c>
      <c r="T17" s="1286"/>
      <c r="U17" s="1286"/>
      <c r="V17" s="1286"/>
      <c r="W17" s="1286"/>
      <c r="X17" s="1286"/>
      <c r="Y17" s="1286"/>
      <c r="Z17" s="1286"/>
      <c r="AA17" s="3150"/>
      <c r="AB17" s="3150"/>
      <c r="AC17" s="3150"/>
      <c r="AD17" s="3150"/>
      <c r="AE17" s="3150"/>
      <c r="AF17" s="3150"/>
      <c r="AG17" s="3150"/>
      <c r="AH17" s="3150"/>
      <c r="AI17" s="3150"/>
      <c r="AJ17" s="3150"/>
      <c r="AK17" s="3150"/>
      <c r="AL17" s="3150"/>
      <c r="AM17" s="3150"/>
      <c r="AN17" s="3150"/>
      <c r="AO17" s="3150"/>
      <c r="AP17" s="3150"/>
      <c r="AQ17" s="3150"/>
      <c r="AR17" s="3150"/>
      <c r="AS17" s="3150"/>
      <c r="AT17" s="3150"/>
      <c r="AU17" s="3150"/>
      <c r="AV17" s="3150"/>
      <c r="AW17" s="3150"/>
      <c r="AX17" s="3150"/>
      <c r="AY17" s="3150"/>
      <c r="AZ17" s="3150"/>
      <c r="BA17" s="3150"/>
      <c r="BB17" s="3150"/>
      <c r="BC17" s="3150"/>
      <c r="BD17" s="3150"/>
      <c r="BE17" s="3150"/>
      <c r="BF17" s="3150"/>
      <c r="BG17" s="3150"/>
      <c r="BH17" s="3150"/>
      <c r="BI17" s="3150"/>
      <c r="BJ17" s="3150"/>
      <c r="BK17" s="3150"/>
      <c r="BL17" s="3150"/>
      <c r="BM17" s="3150"/>
      <c r="BN17" s="3150"/>
      <c r="BO17" s="3150"/>
      <c r="BP17" s="3150"/>
      <c r="BQ17" s="3150"/>
      <c r="BR17" s="3150"/>
      <c r="BS17" s="3150"/>
      <c r="BT17" s="3150"/>
      <c r="BU17" s="3150"/>
      <c r="BV17" s="3150"/>
      <c r="BW17" s="3150"/>
      <c r="BX17" s="3150"/>
      <c r="BY17" s="3150"/>
      <c r="BZ17" s="3150"/>
      <c r="CA17" s="3150"/>
      <c r="CB17" s="3150"/>
      <c r="CC17" s="3150"/>
      <c r="CD17" s="3150"/>
      <c r="CE17" s="3150"/>
      <c r="CF17" s="3150"/>
      <c r="CG17" s="3150"/>
      <c r="CH17" s="3150"/>
      <c r="CI17" s="3150"/>
      <c r="CJ17" s="3150"/>
      <c r="CK17" s="3150"/>
      <c r="CL17" s="3150"/>
      <c r="CM17" s="3150"/>
      <c r="CN17" s="3150"/>
      <c r="CO17" s="3150"/>
      <c r="CP17" s="3150"/>
      <c r="CQ17" s="3150"/>
      <c r="CR17" s="3150"/>
      <c r="CS17" s="3150"/>
      <c r="CT17" s="3150"/>
      <c r="CU17" s="3150"/>
      <c r="CV17" s="3150"/>
      <c r="CW17" s="3150"/>
      <c r="CX17" s="3150"/>
      <c r="CY17" s="3150"/>
      <c r="CZ17" s="3150"/>
      <c r="DA17" s="3150"/>
      <c r="DB17" s="3150"/>
      <c r="DC17" s="3150"/>
      <c r="DD17" s="3150"/>
      <c r="DE17" s="3150"/>
      <c r="DF17" s="3150"/>
      <c r="DG17" s="3150"/>
      <c r="DH17" s="3150"/>
      <c r="DI17" s="3150"/>
      <c r="DJ17" s="3150"/>
      <c r="DK17" s="3150"/>
      <c r="DL17" s="3150"/>
      <c r="DM17" s="3150"/>
      <c r="DN17" s="3150"/>
      <c r="DO17" s="3150"/>
      <c r="DP17" s="3150"/>
      <c r="DQ17" s="3150"/>
      <c r="DR17" s="3150"/>
      <c r="DS17" s="3150"/>
      <c r="DT17" s="3150"/>
      <c r="DU17" s="3150"/>
      <c r="DV17" s="3150"/>
      <c r="DW17" s="3150"/>
      <c r="DX17" s="3150"/>
      <c r="DY17" s="3150"/>
      <c r="DZ17" s="3150"/>
      <c r="EA17" s="3150"/>
      <c r="EB17" s="3150"/>
      <c r="EC17" s="3150"/>
      <c r="ED17" s="3150"/>
      <c r="EE17" s="3150"/>
      <c r="EF17" s="3150"/>
      <c r="EG17" s="3150"/>
      <c r="EH17" s="3150"/>
      <c r="EI17" s="3150"/>
      <c r="EJ17" s="3150"/>
      <c r="EK17" s="3150"/>
      <c r="EL17" s="3150"/>
      <c r="EM17" s="3150"/>
      <c r="EN17" s="3150"/>
      <c r="EO17" s="3150"/>
      <c r="EP17" s="3150"/>
      <c r="EQ17" s="3150"/>
      <c r="ER17" s="3150"/>
      <c r="ES17" s="3150"/>
      <c r="ET17" s="3150"/>
      <c r="EU17" s="3150"/>
      <c r="EV17" s="3150"/>
      <c r="EW17" s="3150"/>
      <c r="EX17" s="3150"/>
      <c r="EY17" s="3150"/>
      <c r="EZ17" s="3150"/>
      <c r="FA17" s="3150"/>
      <c r="FB17" s="3150"/>
      <c r="FC17" s="3150"/>
      <c r="FD17" s="3150"/>
      <c r="FE17" s="3150"/>
      <c r="FF17" s="3150"/>
      <c r="FG17" s="3150"/>
      <c r="FH17" s="3150"/>
      <c r="FI17" s="3150"/>
      <c r="FJ17" s="3150"/>
      <c r="FK17" s="3150"/>
      <c r="FL17" s="3150"/>
      <c r="FM17" s="3150"/>
      <c r="FN17" s="3150"/>
      <c r="FO17" s="3150"/>
      <c r="FP17" s="3150"/>
      <c r="FQ17" s="3150"/>
      <c r="FR17" s="3150"/>
      <c r="FS17" s="3150"/>
      <c r="FT17" s="3150"/>
      <c r="FU17" s="3150"/>
      <c r="FV17" s="3150"/>
      <c r="FW17" s="3150"/>
      <c r="FX17" s="3150"/>
      <c r="FY17" s="3150"/>
      <c r="FZ17" s="3150"/>
      <c r="GA17" s="3150"/>
      <c r="GB17" s="3150"/>
      <c r="GC17" s="3150"/>
      <c r="GD17" s="3150"/>
      <c r="GE17" s="3150"/>
      <c r="GF17" s="3150"/>
      <c r="GG17" s="3150"/>
      <c r="GH17" s="3150"/>
      <c r="GI17" s="3150"/>
      <c r="GJ17" s="3150"/>
      <c r="GK17" s="3150"/>
      <c r="GL17" s="3150"/>
      <c r="GM17" s="3150"/>
      <c r="GN17" s="3150"/>
      <c r="GO17" s="3150"/>
      <c r="GP17" s="3150"/>
      <c r="GQ17" s="3150"/>
      <c r="GR17" s="3150"/>
      <c r="GS17" s="3150"/>
      <c r="GT17" s="3150"/>
      <c r="GU17" s="3150"/>
      <c r="GV17" s="3150"/>
      <c r="GW17" s="3150"/>
      <c r="GX17" s="3150"/>
      <c r="GY17" s="3150"/>
      <c r="GZ17" s="3150"/>
      <c r="HA17" s="3150"/>
      <c r="HB17" s="3150"/>
      <c r="HC17" s="3150"/>
      <c r="HD17" s="3150"/>
      <c r="HE17" s="3150"/>
      <c r="HF17" s="3150"/>
      <c r="HG17" s="3150"/>
      <c r="HH17" s="3150"/>
      <c r="HI17" s="3150"/>
      <c r="HJ17" s="3150"/>
      <c r="HK17" s="3150"/>
      <c r="HL17" s="3150"/>
      <c r="HM17" s="3150"/>
      <c r="HN17" s="3150"/>
      <c r="HO17" s="3150"/>
      <c r="HP17" s="3150"/>
      <c r="HQ17" s="3150"/>
      <c r="HR17" s="3150"/>
      <c r="HS17" s="3150"/>
      <c r="HT17" s="3150"/>
      <c r="HU17" s="3150"/>
      <c r="HV17" s="3150"/>
      <c r="HW17" s="3150"/>
      <c r="HX17" s="3150"/>
      <c r="HY17" s="3150"/>
      <c r="HZ17" s="3150"/>
      <c r="IA17" s="3150"/>
      <c r="IB17" s="3150"/>
      <c r="IC17" s="3150"/>
      <c r="ID17" s="3150"/>
      <c r="IE17" s="3150"/>
      <c r="IF17" s="3150"/>
      <c r="IG17" s="3150"/>
      <c r="IH17" s="3150"/>
      <c r="II17" s="3150"/>
      <c r="IJ17" s="3150"/>
      <c r="IK17" s="3150"/>
      <c r="IL17" s="3150"/>
      <c r="IM17" s="3150"/>
      <c r="IN17" s="3150"/>
      <c r="IO17" s="3150"/>
      <c r="IP17" s="3150"/>
      <c r="IQ17" s="3150"/>
      <c r="IR17" s="3150"/>
      <c r="IS17" s="3150"/>
      <c r="IT17" s="3150"/>
      <c r="IU17" s="3150"/>
      <c r="IV17" s="3150"/>
    </row>
    <row r="18" spans="1:256">
      <c r="B18" s="1286"/>
      <c r="C18" s="1287">
        <v>42301</v>
      </c>
      <c r="D18" s="1286">
        <v>4.3499999999999996</v>
      </c>
      <c r="E18" s="1286">
        <v>4.3499999999999996</v>
      </c>
      <c r="F18" s="1286">
        <v>4.75</v>
      </c>
      <c r="G18" s="1286">
        <v>4.75</v>
      </c>
      <c r="H18" s="1286">
        <v>4.9000000000000004</v>
      </c>
      <c r="I18" s="1286">
        <v>2.75</v>
      </c>
      <c r="J18" s="1286">
        <v>3.25</v>
      </c>
      <c r="L18" s="1286"/>
      <c r="M18" s="1287">
        <v>42064</v>
      </c>
      <c r="N18" s="1286">
        <v>0.35</v>
      </c>
      <c r="O18" s="1286">
        <v>2.1</v>
      </c>
      <c r="P18" s="1286">
        <v>2.2999999999999998</v>
      </c>
      <c r="Q18" s="1286">
        <v>2.5</v>
      </c>
      <c r="R18" s="1286">
        <v>3.1</v>
      </c>
      <c r="S18" s="1286">
        <v>3.75</v>
      </c>
      <c r="T18" s="1286">
        <v>4.5</v>
      </c>
      <c r="U18" s="1286">
        <v>2.35</v>
      </c>
      <c r="V18" s="1286">
        <v>2.5499999999999998</v>
      </c>
      <c r="W18" s="1286">
        <v>2.75</v>
      </c>
      <c r="X18" s="1286"/>
      <c r="Y18" s="1286">
        <v>0.8</v>
      </c>
      <c r="Z18" s="1286">
        <v>1.35</v>
      </c>
    </row>
    <row r="19" spans="1:256" ht="15">
      <c r="B19" s="1286"/>
      <c r="C19" s="1287">
        <v>42242</v>
      </c>
      <c r="D19" s="1286">
        <v>4.5999999999999996</v>
      </c>
      <c r="E19" s="1286">
        <v>4.5999999999999996</v>
      </c>
      <c r="F19" s="1286">
        <v>5</v>
      </c>
      <c r="G19" s="1286">
        <v>5</v>
      </c>
      <c r="H19" s="1286">
        <v>5.15</v>
      </c>
      <c r="I19" s="1286">
        <v>2.75</v>
      </c>
      <c r="J19" s="1286">
        <v>3.25</v>
      </c>
      <c r="L19" s="1286"/>
      <c r="M19" s="1287">
        <v>41965</v>
      </c>
      <c r="N19" s="1286">
        <v>0.35</v>
      </c>
      <c r="O19" s="1286">
        <v>2.35</v>
      </c>
      <c r="P19" s="1286">
        <v>2.5499999999999998</v>
      </c>
      <c r="Q19" s="1286">
        <v>2.75</v>
      </c>
      <c r="R19" s="1286">
        <v>3.35</v>
      </c>
      <c r="S19" s="1286">
        <v>4</v>
      </c>
      <c r="T19" s="1286">
        <v>4.75</v>
      </c>
      <c r="U19" s="1288">
        <v>2.35</v>
      </c>
      <c r="V19" s="1288">
        <v>2.5499999999999998</v>
      </c>
      <c r="W19" s="1288">
        <v>2.75</v>
      </c>
      <c r="X19" s="1286"/>
      <c r="Y19" s="1288">
        <v>0.8</v>
      </c>
      <c r="Z19" s="1288">
        <v>1.35</v>
      </c>
    </row>
    <row r="20" spans="1:256">
      <c r="B20" s="1286"/>
      <c r="C20" s="1287">
        <v>42183</v>
      </c>
      <c r="D20" s="1286">
        <v>4.8499999999999996</v>
      </c>
      <c r="E20" s="1286">
        <v>4.8499999999999996</v>
      </c>
      <c r="F20" s="1286">
        <v>5.25</v>
      </c>
      <c r="G20" s="1286">
        <v>5.25</v>
      </c>
      <c r="H20" s="1286">
        <v>5.4</v>
      </c>
      <c r="I20" s="1286">
        <v>3</v>
      </c>
      <c r="J20" s="1286">
        <v>3.5</v>
      </c>
      <c r="L20" s="1286"/>
      <c r="M20" s="1287">
        <v>41096</v>
      </c>
      <c r="N20" s="1286">
        <v>0.35</v>
      </c>
      <c r="O20" s="1286">
        <v>2.6</v>
      </c>
      <c r="P20" s="1286">
        <v>2.8</v>
      </c>
      <c r="Q20" s="1286">
        <v>3</v>
      </c>
      <c r="R20" s="1286">
        <v>3.75</v>
      </c>
      <c r="S20" s="1286">
        <v>4.25</v>
      </c>
      <c r="T20" s="1286">
        <v>4.75</v>
      </c>
      <c r="U20" s="1286">
        <v>2.85</v>
      </c>
      <c r="V20" s="1286">
        <v>2.9</v>
      </c>
      <c r="W20" s="1286">
        <v>3</v>
      </c>
      <c r="X20" s="1286">
        <v>1.1499999999999999</v>
      </c>
      <c r="Y20" s="1286">
        <v>0.8</v>
      </c>
      <c r="Z20" s="1286">
        <v>1.35</v>
      </c>
    </row>
    <row r="21" spans="1:256">
      <c r="B21" s="1286"/>
      <c r="C21" s="1287">
        <v>42135</v>
      </c>
      <c r="D21" s="1286">
        <v>5.0999999999999996</v>
      </c>
      <c r="E21" s="1286">
        <v>5.0999999999999996</v>
      </c>
      <c r="F21" s="1286">
        <v>5.5</v>
      </c>
      <c r="G21" s="1286">
        <v>5.5</v>
      </c>
      <c r="H21" s="1286">
        <v>5.65</v>
      </c>
      <c r="I21" s="1286">
        <v>3.25</v>
      </c>
      <c r="J21" s="1286">
        <v>3.75</v>
      </c>
      <c r="L21" s="1286"/>
      <c r="M21" s="1287">
        <v>41068</v>
      </c>
      <c r="N21" s="1286">
        <v>0.4</v>
      </c>
      <c r="O21" s="1286">
        <v>2.85</v>
      </c>
      <c r="P21" s="1286">
        <v>3.05</v>
      </c>
      <c r="Q21" s="1286">
        <v>3.25</v>
      </c>
      <c r="R21" s="1286">
        <v>4.0999999999999996</v>
      </c>
      <c r="S21" s="1286">
        <v>4.6500000000000004</v>
      </c>
      <c r="T21" s="1286">
        <v>5.0999999999999996</v>
      </c>
      <c r="U21" s="1286">
        <v>3.1</v>
      </c>
      <c r="V21" s="1286">
        <v>3.15</v>
      </c>
      <c r="W21" s="1286">
        <v>3.25</v>
      </c>
      <c r="X21" s="1286">
        <v>1.31</v>
      </c>
      <c r="Y21" s="1286">
        <v>0.94</v>
      </c>
      <c r="Z21" s="1286">
        <v>1.49</v>
      </c>
    </row>
    <row r="22" spans="1:256">
      <c r="B22" s="1286"/>
      <c r="C22" s="1287">
        <v>42064</v>
      </c>
      <c r="D22" s="1286">
        <v>5.35</v>
      </c>
      <c r="E22" s="1286">
        <v>5.35</v>
      </c>
      <c r="F22" s="1286">
        <v>5.75</v>
      </c>
      <c r="G22" s="1286">
        <v>5.75</v>
      </c>
      <c r="H22" s="1286">
        <v>5.9</v>
      </c>
      <c r="I22" s="1286"/>
      <c r="J22" s="1286"/>
      <c r="L22" s="1286"/>
      <c r="M22" s="1287">
        <v>40731</v>
      </c>
      <c r="N22" s="1286">
        <v>0.5</v>
      </c>
      <c r="O22" s="1286">
        <v>3.1</v>
      </c>
      <c r="P22" s="1286">
        <v>3.3</v>
      </c>
      <c r="Q22" s="1286">
        <v>3.5</v>
      </c>
      <c r="R22" s="1286">
        <v>4.4000000000000004</v>
      </c>
      <c r="S22" s="1286">
        <v>5</v>
      </c>
      <c r="T22" s="1286">
        <v>5.5</v>
      </c>
      <c r="U22" s="1286">
        <v>3.1</v>
      </c>
      <c r="V22" s="1286">
        <v>3.3</v>
      </c>
      <c r="W22" s="1286">
        <v>3.5</v>
      </c>
      <c r="X22" s="1286">
        <v>1.31</v>
      </c>
      <c r="Y22" s="1286">
        <v>0.95</v>
      </c>
      <c r="Z22" s="1286">
        <v>1.49</v>
      </c>
    </row>
    <row r="23" spans="1:256">
      <c r="B23" s="1286"/>
      <c r="C23" s="1287">
        <v>41965</v>
      </c>
      <c r="D23" s="1286">
        <v>5.6</v>
      </c>
      <c r="E23" s="1286">
        <v>5.6</v>
      </c>
      <c r="F23" s="1286">
        <v>6</v>
      </c>
      <c r="G23" s="1286">
        <v>6</v>
      </c>
      <c r="H23" s="1286">
        <v>6.15</v>
      </c>
      <c r="I23" s="1286"/>
      <c r="J23" s="1286"/>
      <c r="L23" s="1286"/>
      <c r="M23" s="1287">
        <v>40639</v>
      </c>
      <c r="N23" s="1286">
        <v>0.5</v>
      </c>
      <c r="O23" s="1286">
        <v>2.85</v>
      </c>
      <c r="P23" s="1286">
        <v>3.05</v>
      </c>
      <c r="Q23" s="1286">
        <v>3.25</v>
      </c>
      <c r="R23" s="1286">
        <v>4.1500000000000004</v>
      </c>
      <c r="S23" s="1286">
        <v>4.75</v>
      </c>
      <c r="T23" s="1286">
        <v>5.25</v>
      </c>
      <c r="U23" s="1286">
        <v>2.85</v>
      </c>
      <c r="V23" s="1286">
        <v>3.05</v>
      </c>
      <c r="W23" s="1286">
        <v>3.25</v>
      </c>
      <c r="X23" s="1286">
        <v>1.31</v>
      </c>
      <c r="Y23" s="1286">
        <v>0.95</v>
      </c>
      <c r="Z23" s="1286">
        <v>1.49</v>
      </c>
    </row>
    <row r="24" spans="1:256">
      <c r="B24" s="1286"/>
      <c r="C24" s="1287">
        <v>41096</v>
      </c>
      <c r="D24" s="1286">
        <v>5.6</v>
      </c>
      <c r="E24" s="1286">
        <v>6</v>
      </c>
      <c r="F24" s="1286">
        <v>6.15</v>
      </c>
      <c r="G24" s="1286">
        <v>6.4</v>
      </c>
      <c r="H24" s="1286">
        <v>6.55</v>
      </c>
      <c r="I24" s="1286">
        <v>4</v>
      </c>
      <c r="J24" s="1286">
        <v>4.5</v>
      </c>
      <c r="L24" s="1286"/>
      <c r="M24" s="1287">
        <v>40583</v>
      </c>
      <c r="N24" s="1286">
        <v>0.4</v>
      </c>
      <c r="O24" s="1286">
        <v>2.6</v>
      </c>
      <c r="P24" s="1286">
        <v>2.8</v>
      </c>
      <c r="Q24" s="1286">
        <v>3</v>
      </c>
      <c r="R24" s="1286">
        <v>3.9</v>
      </c>
      <c r="S24" s="1286">
        <v>4.5</v>
      </c>
      <c r="T24" s="1286">
        <v>5</v>
      </c>
      <c r="U24" s="1286">
        <v>2.6</v>
      </c>
      <c r="V24" s="1286">
        <v>2.8</v>
      </c>
      <c r="W24" s="1286">
        <v>3</v>
      </c>
      <c r="X24" s="1286">
        <v>1.21</v>
      </c>
      <c r="Y24" s="1286">
        <v>0.85</v>
      </c>
      <c r="Z24" s="1286">
        <v>1.39</v>
      </c>
    </row>
    <row r="25" spans="1:256">
      <c r="B25" s="1286"/>
      <c r="C25" s="1287">
        <v>41068</v>
      </c>
      <c r="D25" s="1286">
        <v>5.85</v>
      </c>
      <c r="E25" s="1286">
        <v>6.31</v>
      </c>
      <c r="F25" s="1286">
        <v>6.4</v>
      </c>
      <c r="G25" s="1286">
        <v>6.65</v>
      </c>
      <c r="H25" s="1286">
        <v>6.8</v>
      </c>
      <c r="I25" s="1286">
        <v>4.2</v>
      </c>
      <c r="J25" s="1286">
        <v>4.7</v>
      </c>
      <c r="L25" s="1286"/>
      <c r="M25" s="1287">
        <v>40538</v>
      </c>
      <c r="N25" s="1286">
        <v>0.36</v>
      </c>
      <c r="O25" s="1286">
        <v>2.25</v>
      </c>
      <c r="P25" s="1286">
        <v>2.5</v>
      </c>
      <c r="Q25" s="1286">
        <v>2.75</v>
      </c>
      <c r="R25" s="1286">
        <v>3.55</v>
      </c>
      <c r="S25" s="1286">
        <v>4.1500000000000004</v>
      </c>
      <c r="T25" s="1286">
        <v>4.55</v>
      </c>
      <c r="U25" s="1286">
        <v>2.16</v>
      </c>
      <c r="V25" s="1286">
        <v>2.5</v>
      </c>
      <c r="W25" s="1286">
        <v>2.85</v>
      </c>
      <c r="X25" s="1286">
        <v>1.17</v>
      </c>
      <c r="Y25" s="1286">
        <v>0.81</v>
      </c>
      <c r="Z25" s="1286">
        <v>1.35</v>
      </c>
    </row>
    <row r="26" spans="1:256">
      <c r="B26" s="1286"/>
      <c r="C26" s="1287">
        <v>40731</v>
      </c>
      <c r="D26" s="1286">
        <v>6.1</v>
      </c>
      <c r="E26" s="1286">
        <v>6.56</v>
      </c>
      <c r="F26" s="1286">
        <v>6.65</v>
      </c>
      <c r="G26" s="1286">
        <v>6.9</v>
      </c>
      <c r="H26" s="1286">
        <v>7.05</v>
      </c>
      <c r="I26" s="1286">
        <v>4.45</v>
      </c>
      <c r="J26" s="1286">
        <v>4.9000000000000004</v>
      </c>
      <c r="L26" s="1286"/>
      <c r="M26" s="1287">
        <v>40471</v>
      </c>
      <c r="N26" s="1286">
        <v>0.36</v>
      </c>
      <c r="O26" s="1286">
        <v>1.91</v>
      </c>
      <c r="P26" s="1286">
        <v>2.2000000000000002</v>
      </c>
      <c r="Q26" s="1286">
        <v>2.5</v>
      </c>
      <c r="R26" s="1286">
        <v>3.25</v>
      </c>
      <c r="S26" s="1286">
        <v>3.85</v>
      </c>
      <c r="T26" s="1286">
        <v>4.2</v>
      </c>
      <c r="U26" s="1286">
        <v>1.91</v>
      </c>
      <c r="V26" s="1286">
        <v>2.2000000000000002</v>
      </c>
      <c r="W26" s="1286">
        <v>2.5</v>
      </c>
      <c r="X26" s="1286">
        <v>1.17</v>
      </c>
      <c r="Y26" s="1286">
        <v>0.81</v>
      </c>
      <c r="Z26" s="1286">
        <v>1.35</v>
      </c>
    </row>
    <row r="27" spans="1:256">
      <c r="B27" s="1286"/>
      <c r="C27" s="1287">
        <v>40639</v>
      </c>
      <c r="D27" s="1286">
        <v>5.85</v>
      </c>
      <c r="E27" s="1286">
        <v>6.31</v>
      </c>
      <c r="F27" s="1286">
        <v>6.4</v>
      </c>
      <c r="G27" s="1286">
        <v>6.65</v>
      </c>
      <c r="H27" s="1286">
        <v>6.8</v>
      </c>
      <c r="I27" s="1286">
        <v>4.2</v>
      </c>
      <c r="J27" s="1286">
        <v>4.7</v>
      </c>
      <c r="L27" s="1286"/>
      <c r="M27" s="1287">
        <v>39805</v>
      </c>
      <c r="N27" s="1286">
        <v>0.36</v>
      </c>
      <c r="O27" s="1286">
        <v>1.71</v>
      </c>
      <c r="P27" s="1286">
        <v>1.98</v>
      </c>
      <c r="Q27" s="1286">
        <v>2.25</v>
      </c>
      <c r="R27" s="1286">
        <v>2.79</v>
      </c>
      <c r="S27" s="1286">
        <v>3.33</v>
      </c>
      <c r="T27" s="1286">
        <v>3.6</v>
      </c>
      <c r="U27" s="1286">
        <v>1.71</v>
      </c>
      <c r="V27" s="1286">
        <v>1.98</v>
      </c>
      <c r="W27" s="1286">
        <v>2.25</v>
      </c>
      <c r="X27" s="1286">
        <v>1.17</v>
      </c>
      <c r="Y27" s="1286">
        <v>0.81</v>
      </c>
      <c r="Z27" s="1286">
        <v>1.35</v>
      </c>
    </row>
    <row r="28" spans="1:256">
      <c r="B28" s="1286"/>
      <c r="C28" s="1287">
        <v>40583</v>
      </c>
      <c r="D28" s="1286">
        <v>5.6</v>
      </c>
      <c r="E28" s="1286">
        <v>6.06</v>
      </c>
      <c r="F28" s="1286">
        <v>6.1</v>
      </c>
      <c r="G28" s="1286">
        <v>6.45</v>
      </c>
      <c r="H28" s="1286">
        <v>6.6</v>
      </c>
      <c r="I28" s="1286">
        <v>4</v>
      </c>
      <c r="J28" s="1286">
        <v>4.5</v>
      </c>
      <c r="L28" s="1286"/>
      <c r="M28" s="1287">
        <v>39779</v>
      </c>
      <c r="N28" s="1286">
        <v>0.36</v>
      </c>
      <c r="O28" s="1286">
        <v>1.98</v>
      </c>
      <c r="P28" s="1286">
        <v>2.25</v>
      </c>
      <c r="Q28" s="1286">
        <v>2.52</v>
      </c>
      <c r="R28" s="1286">
        <v>3.06</v>
      </c>
      <c r="S28" s="1286">
        <v>3.6</v>
      </c>
      <c r="T28" s="1286">
        <v>3.87</v>
      </c>
      <c r="U28" s="1286">
        <v>1.98</v>
      </c>
      <c r="V28" s="1286">
        <v>2.25</v>
      </c>
      <c r="W28" s="1286">
        <v>2.52</v>
      </c>
      <c r="X28" s="1286">
        <v>1.17</v>
      </c>
      <c r="Y28" s="1286">
        <v>0.81</v>
      </c>
      <c r="Z28" s="1286">
        <v>1.35</v>
      </c>
    </row>
    <row r="29" spans="1:256">
      <c r="B29" s="1286"/>
      <c r="C29" s="1287">
        <v>40538</v>
      </c>
      <c r="D29" s="1286">
        <v>5.35</v>
      </c>
      <c r="E29" s="1286">
        <v>5.81</v>
      </c>
      <c r="F29" s="1286">
        <v>5.85</v>
      </c>
      <c r="G29" s="1286">
        <v>6.22</v>
      </c>
      <c r="H29" s="1286">
        <v>6.4</v>
      </c>
      <c r="I29" s="1286">
        <v>3.75</v>
      </c>
      <c r="J29" s="1286">
        <v>4.3</v>
      </c>
      <c r="L29" s="1286"/>
      <c r="M29" s="1287">
        <v>39751</v>
      </c>
      <c r="N29" s="1286">
        <v>0.72</v>
      </c>
      <c r="O29" s="1286">
        <v>2.88</v>
      </c>
      <c r="P29" s="1286">
        <v>3.24</v>
      </c>
      <c r="Q29" s="1286">
        <v>3.6</v>
      </c>
      <c r="R29" s="1286">
        <v>4.1399999999999997</v>
      </c>
      <c r="S29" s="1286">
        <v>4.7699999999999996</v>
      </c>
      <c r="T29" s="1286">
        <v>5.13</v>
      </c>
      <c r="U29" s="1286">
        <v>2.88</v>
      </c>
      <c r="V29" s="1286">
        <v>3.24</v>
      </c>
      <c r="W29" s="1286">
        <v>3.6</v>
      </c>
      <c r="X29" s="1286">
        <v>1.53</v>
      </c>
      <c r="Y29" s="1286">
        <v>1.17</v>
      </c>
      <c r="Z29" s="1286">
        <v>1.71</v>
      </c>
    </row>
    <row r="30" spans="1:256">
      <c r="B30" s="1286"/>
      <c r="C30" s="1287">
        <v>40471</v>
      </c>
      <c r="D30" s="1286">
        <v>5.0999999999999996</v>
      </c>
      <c r="E30" s="1286">
        <v>5.56</v>
      </c>
      <c r="F30" s="1286">
        <v>5.6</v>
      </c>
      <c r="G30" s="1286">
        <v>5.96</v>
      </c>
      <c r="H30" s="1286">
        <v>6.14</v>
      </c>
      <c r="I30" s="1286">
        <v>3.5</v>
      </c>
      <c r="J30" s="1286">
        <v>4.05</v>
      </c>
      <c r="L30" s="1286"/>
      <c r="M30" s="1289">
        <v>39736</v>
      </c>
      <c r="N30" s="1286">
        <v>0.72</v>
      </c>
      <c r="O30" s="1286">
        <v>3.15</v>
      </c>
      <c r="P30" s="1286">
        <v>3.51</v>
      </c>
      <c r="Q30" s="1286">
        <v>3.87</v>
      </c>
      <c r="R30" s="1286">
        <v>4.41</v>
      </c>
      <c r="S30" s="1286">
        <v>5.13</v>
      </c>
      <c r="T30" s="1286">
        <v>5.58</v>
      </c>
      <c r="U30" s="1286">
        <v>3.15</v>
      </c>
      <c r="V30" s="1286">
        <v>3.51</v>
      </c>
      <c r="W30" s="1286">
        <v>3.87</v>
      </c>
      <c r="X30" s="1286">
        <v>1.53</v>
      </c>
      <c r="Y30" s="1286">
        <v>1.17</v>
      </c>
      <c r="Z30" s="1286">
        <v>1.71</v>
      </c>
    </row>
    <row r="31" spans="1:256">
      <c r="B31" s="1286"/>
      <c r="C31" s="1287">
        <v>39805</v>
      </c>
      <c r="D31" s="1286">
        <v>4.8600000000000003</v>
      </c>
      <c r="E31" s="1286">
        <v>5.31</v>
      </c>
      <c r="F31" s="1286">
        <v>5.4</v>
      </c>
      <c r="G31" s="1286">
        <v>5.76</v>
      </c>
      <c r="H31" s="1286">
        <v>5.94</v>
      </c>
      <c r="I31" s="1286">
        <v>3.33</v>
      </c>
      <c r="J31" s="1286">
        <v>3.87</v>
      </c>
      <c r="L31" s="1286"/>
      <c r="M31" s="1287">
        <v>39730</v>
      </c>
      <c r="N31" s="1286">
        <v>0.72</v>
      </c>
      <c r="O31" s="1286">
        <v>3.15</v>
      </c>
      <c r="P31" s="1286">
        <v>3.51</v>
      </c>
      <c r="Q31" s="1286">
        <v>3.87</v>
      </c>
      <c r="R31" s="1286">
        <v>4.41</v>
      </c>
      <c r="S31" s="1286">
        <v>5.13</v>
      </c>
      <c r="T31" s="1286">
        <v>5.58</v>
      </c>
      <c r="U31" s="1286">
        <v>3.15</v>
      </c>
      <c r="V31" s="1286">
        <v>3.51</v>
      </c>
      <c r="W31" s="1286">
        <v>3.87</v>
      </c>
      <c r="X31" s="1286">
        <v>1.53</v>
      </c>
      <c r="Y31" s="1286">
        <v>1.17</v>
      </c>
      <c r="Z31" s="1286">
        <v>1.71</v>
      </c>
    </row>
    <row r="32" spans="1:256">
      <c r="B32" s="1286"/>
      <c r="C32" s="1287">
        <v>39779</v>
      </c>
      <c r="D32" s="1286">
        <v>5.04</v>
      </c>
      <c r="E32" s="1286">
        <v>5.58</v>
      </c>
      <c r="F32" s="1286">
        <v>5.67</v>
      </c>
      <c r="G32" s="1286">
        <v>5.94</v>
      </c>
      <c r="H32" s="1286">
        <v>6.12</v>
      </c>
      <c r="I32" s="1286">
        <v>3.51</v>
      </c>
      <c r="J32" s="1286">
        <v>4.05</v>
      </c>
      <c r="L32" s="1286"/>
      <c r="M32" s="1287">
        <v>39437</v>
      </c>
      <c r="N32" s="1286">
        <v>0.72</v>
      </c>
      <c r="O32" s="1286">
        <v>3.33</v>
      </c>
      <c r="P32" s="1286">
        <v>3.78</v>
      </c>
      <c r="Q32" s="1286">
        <v>4.1399999999999997</v>
      </c>
      <c r="R32" s="1286">
        <v>4.68</v>
      </c>
      <c r="S32" s="1286">
        <v>5.4</v>
      </c>
      <c r="T32" s="1286">
        <v>5.85</v>
      </c>
      <c r="U32" s="1286">
        <v>3.33</v>
      </c>
      <c r="V32" s="1286">
        <v>3.78</v>
      </c>
      <c r="W32" s="1286">
        <v>4.1399999999999997</v>
      </c>
      <c r="X32" s="1286">
        <v>1.53</v>
      </c>
      <c r="Y32" s="1286">
        <v>1.17</v>
      </c>
      <c r="Z32" s="1286">
        <v>1.71</v>
      </c>
    </row>
    <row r="33" spans="2:26">
      <c r="B33" s="1286"/>
      <c r="C33" s="1287">
        <v>39751</v>
      </c>
      <c r="D33" s="1286">
        <v>6.03</v>
      </c>
      <c r="E33" s="1286">
        <v>6.66</v>
      </c>
      <c r="F33" s="1286">
        <v>6.75</v>
      </c>
      <c r="G33" s="1286">
        <v>7.02</v>
      </c>
      <c r="H33" s="1286">
        <v>7.2</v>
      </c>
      <c r="I33" s="1286">
        <v>4.05</v>
      </c>
      <c r="J33" s="1286">
        <v>4.59</v>
      </c>
      <c r="L33" s="1286"/>
      <c r="M33" s="1287">
        <v>39340</v>
      </c>
      <c r="N33" s="1286">
        <v>0.81</v>
      </c>
      <c r="O33" s="1286">
        <v>2.88</v>
      </c>
      <c r="P33" s="1286">
        <v>3.42</v>
      </c>
      <c r="Q33" s="1286">
        <v>3.87</v>
      </c>
      <c r="R33" s="1286">
        <v>4.5</v>
      </c>
      <c r="S33" s="1286">
        <v>5.22</v>
      </c>
      <c r="T33" s="1286">
        <v>5.76</v>
      </c>
      <c r="U33" s="1286">
        <v>2.88</v>
      </c>
      <c r="V33" s="1286">
        <v>3.42</v>
      </c>
      <c r="W33" s="1286">
        <v>3.87</v>
      </c>
      <c r="X33" s="1286">
        <v>1.53</v>
      </c>
      <c r="Y33" s="1286">
        <v>1.17</v>
      </c>
      <c r="Z33" s="1286">
        <v>1.71</v>
      </c>
    </row>
    <row r="34" spans="2:26">
      <c r="B34" s="1286"/>
      <c r="C34" s="1289">
        <v>39748</v>
      </c>
      <c r="D34" s="1286">
        <v>6.12</v>
      </c>
      <c r="E34" s="1286">
        <v>6.93</v>
      </c>
      <c r="F34" s="1286">
        <v>7.02</v>
      </c>
      <c r="G34" s="1286">
        <v>7.29</v>
      </c>
      <c r="H34" s="1286">
        <v>7.47</v>
      </c>
      <c r="I34" s="1286">
        <v>4.05</v>
      </c>
      <c r="J34" s="1286">
        <v>4.59</v>
      </c>
      <c r="L34" s="1286"/>
      <c r="M34" s="1287">
        <v>39316</v>
      </c>
      <c r="N34" s="1286">
        <v>0.81</v>
      </c>
      <c r="O34" s="1286">
        <v>2.61</v>
      </c>
      <c r="P34" s="1286">
        <v>3.15</v>
      </c>
      <c r="Q34" s="1286">
        <v>3.6</v>
      </c>
      <c r="R34" s="1286">
        <v>4.2300000000000004</v>
      </c>
      <c r="S34" s="1286">
        <v>4.95</v>
      </c>
      <c r="T34" s="1286">
        <v>5.49</v>
      </c>
      <c r="U34" s="1286">
        <v>2.61</v>
      </c>
      <c r="V34" s="1286">
        <v>3.15</v>
      </c>
      <c r="W34" s="1286">
        <v>3.6</v>
      </c>
      <c r="X34" s="1286">
        <v>1.53</v>
      </c>
      <c r="Y34" s="1286">
        <v>1.17</v>
      </c>
      <c r="Z34" s="1286">
        <v>1.71</v>
      </c>
    </row>
    <row r="35" spans="2:26">
      <c r="B35" s="1286"/>
      <c r="C35" s="1287">
        <v>39730</v>
      </c>
      <c r="D35" s="1286">
        <v>6.12</v>
      </c>
      <c r="E35" s="1286">
        <v>6.93</v>
      </c>
      <c r="F35" s="1286">
        <v>7.02</v>
      </c>
      <c r="G35" s="1286">
        <v>7.29</v>
      </c>
      <c r="H35" s="1286">
        <v>7.47</v>
      </c>
      <c r="I35" s="1286">
        <v>4.32</v>
      </c>
      <c r="J35" s="1286">
        <v>4.8600000000000003</v>
      </c>
      <c r="L35" s="1286"/>
      <c r="M35" s="1287">
        <v>39284</v>
      </c>
      <c r="N35" s="1286">
        <v>0.81</v>
      </c>
      <c r="O35" s="1286">
        <v>2.34</v>
      </c>
      <c r="P35" s="1286">
        <v>2.88</v>
      </c>
      <c r="Q35" s="1286">
        <v>3.33</v>
      </c>
      <c r="R35" s="1286">
        <v>3.96</v>
      </c>
      <c r="S35" s="1286">
        <v>4.68</v>
      </c>
      <c r="T35" s="1286">
        <v>5.22</v>
      </c>
      <c r="U35" s="1286">
        <v>2.34</v>
      </c>
      <c r="V35" s="1286">
        <v>2.88</v>
      </c>
      <c r="W35" s="1286">
        <v>3.33</v>
      </c>
      <c r="X35" s="1286">
        <v>1.53</v>
      </c>
      <c r="Y35" s="1286">
        <v>1.17</v>
      </c>
      <c r="Z35" s="1286">
        <v>1.71</v>
      </c>
    </row>
    <row r="36" spans="2:26">
      <c r="B36" s="1286"/>
      <c r="C36" s="1287">
        <v>39707</v>
      </c>
      <c r="D36" s="1286">
        <v>6.21</v>
      </c>
      <c r="E36" s="1286">
        <v>7.2</v>
      </c>
      <c r="F36" s="1286">
        <v>7.29</v>
      </c>
      <c r="G36" s="1286">
        <v>7.56</v>
      </c>
      <c r="H36" s="1286">
        <v>7.74</v>
      </c>
      <c r="I36" s="1286">
        <v>4.59</v>
      </c>
      <c r="J36" s="1286">
        <v>5.13</v>
      </c>
      <c r="L36" s="1286"/>
      <c r="M36" s="1287">
        <v>39221</v>
      </c>
      <c r="N36" s="1286">
        <v>0.72</v>
      </c>
      <c r="O36" s="1286">
        <v>2.0699999999999998</v>
      </c>
      <c r="P36" s="1286">
        <v>2.61</v>
      </c>
      <c r="Q36" s="1286">
        <v>3.06</v>
      </c>
      <c r="R36" s="1286">
        <v>3.69</v>
      </c>
      <c r="S36" s="1286">
        <v>4.41</v>
      </c>
      <c r="T36" s="1286">
        <v>4.95</v>
      </c>
      <c r="U36" s="1286">
        <v>2.0699999999999998</v>
      </c>
      <c r="V36" s="1286">
        <v>2.61</v>
      </c>
      <c r="W36" s="1286">
        <v>3.06</v>
      </c>
      <c r="X36" s="1286">
        <v>1.44</v>
      </c>
      <c r="Y36" s="1286">
        <v>1.08</v>
      </c>
      <c r="Z36" s="1286">
        <v>1.62</v>
      </c>
    </row>
    <row r="37" spans="2:26">
      <c r="B37" s="1286"/>
      <c r="C37" s="1287">
        <v>39437</v>
      </c>
      <c r="D37" s="1286">
        <v>6.57</v>
      </c>
      <c r="E37" s="1286">
        <v>7.47</v>
      </c>
      <c r="F37" s="1286">
        <v>7.56</v>
      </c>
      <c r="G37" s="1286">
        <v>7.74</v>
      </c>
      <c r="H37" s="1286">
        <v>7.83</v>
      </c>
      <c r="I37" s="1286">
        <v>4.7699999999999996</v>
      </c>
      <c r="J37" s="1286">
        <v>5.22</v>
      </c>
      <c r="L37" s="1286"/>
      <c r="M37" s="1287">
        <v>39159</v>
      </c>
      <c r="N37" s="1286">
        <v>0.72</v>
      </c>
      <c r="O37" s="1286">
        <v>1.98</v>
      </c>
      <c r="P37" s="1286">
        <v>2.4300000000000002</v>
      </c>
      <c r="Q37" s="1286">
        <v>2.79</v>
      </c>
      <c r="R37" s="1286">
        <v>3.33</v>
      </c>
      <c r="S37" s="1286">
        <v>3.96</v>
      </c>
      <c r="T37" s="1286">
        <v>4.41</v>
      </c>
      <c r="U37" s="1286">
        <v>1.98</v>
      </c>
      <c r="V37" s="1286">
        <v>2.4300000000000002</v>
      </c>
      <c r="W37" s="1286">
        <v>2.79</v>
      </c>
      <c r="X37" s="1286">
        <v>1.44</v>
      </c>
      <c r="Y37" s="1286">
        <v>1.08</v>
      </c>
      <c r="Z37" s="1286">
        <v>1.62</v>
      </c>
    </row>
    <row r="38" spans="2:26">
      <c r="B38" s="1286"/>
      <c r="C38" s="1287">
        <v>39340</v>
      </c>
      <c r="D38" s="1286">
        <v>6.48</v>
      </c>
      <c r="E38" s="1286">
        <v>7.29</v>
      </c>
      <c r="F38" s="1286">
        <v>7.47</v>
      </c>
      <c r="G38" s="1286">
        <v>7.65</v>
      </c>
      <c r="H38" s="1286">
        <v>7.83</v>
      </c>
      <c r="I38" s="1286">
        <v>4.7699999999999996</v>
      </c>
      <c r="J38" s="1286">
        <v>5.22</v>
      </c>
      <c r="L38" s="1286"/>
      <c r="M38" s="1287">
        <v>38948</v>
      </c>
      <c r="N38" s="1286">
        <v>0.72</v>
      </c>
      <c r="O38" s="1286">
        <v>1.8</v>
      </c>
      <c r="P38" s="1286">
        <v>2.25</v>
      </c>
      <c r="Q38" s="1286">
        <v>2.52</v>
      </c>
      <c r="R38" s="1286">
        <v>3.06</v>
      </c>
      <c r="S38" s="1286">
        <v>3.69</v>
      </c>
      <c r="T38" s="1286">
        <v>4.1399999999999997</v>
      </c>
      <c r="U38" s="1286">
        <v>1.8</v>
      </c>
      <c r="V38" s="1286">
        <v>2.25</v>
      </c>
      <c r="W38" s="1286">
        <v>2.52</v>
      </c>
      <c r="X38" s="1286">
        <v>1.44</v>
      </c>
      <c r="Y38" s="1286">
        <v>1.08</v>
      </c>
      <c r="Z38" s="1286">
        <v>1.62</v>
      </c>
    </row>
    <row r="39" spans="2:26">
      <c r="B39" s="1286"/>
      <c r="C39" s="1287">
        <v>39316</v>
      </c>
      <c r="D39" s="1286">
        <v>6.21</v>
      </c>
      <c r="E39" s="1286">
        <v>7.02</v>
      </c>
      <c r="F39" s="1286">
        <v>7.2</v>
      </c>
      <c r="G39" s="1286">
        <v>7.38</v>
      </c>
      <c r="H39" s="1286">
        <v>7.56</v>
      </c>
      <c r="I39" s="1286">
        <v>4.59</v>
      </c>
      <c r="J39" s="1286">
        <v>5.04</v>
      </c>
      <c r="L39" s="1286"/>
      <c r="M39" s="1287">
        <v>38289</v>
      </c>
      <c r="N39" s="1286">
        <v>0.72</v>
      </c>
      <c r="O39" s="1286">
        <v>1.71</v>
      </c>
      <c r="P39" s="1286">
        <v>2.0699999999999998</v>
      </c>
      <c r="Q39" s="1286">
        <v>2.25</v>
      </c>
      <c r="R39" s="1286">
        <v>2.7</v>
      </c>
      <c r="S39" s="1286">
        <v>3.24</v>
      </c>
      <c r="T39" s="1286">
        <v>3.6</v>
      </c>
      <c r="U39" s="1286">
        <v>1.71</v>
      </c>
      <c r="V39" s="1286">
        <v>2.0699999999999998</v>
      </c>
      <c r="W39" s="1286">
        <v>2.25</v>
      </c>
      <c r="X39" s="1286">
        <v>1.44</v>
      </c>
      <c r="Y39" s="1286">
        <v>1.08</v>
      </c>
      <c r="Z39" s="1286">
        <v>1.62</v>
      </c>
    </row>
    <row r="40" spans="2:26">
      <c r="B40" s="1286"/>
      <c r="C40" s="1287">
        <v>39284</v>
      </c>
      <c r="D40" s="1286">
        <v>6.03</v>
      </c>
      <c r="E40" s="1286">
        <v>6.84</v>
      </c>
      <c r="F40" s="1286">
        <v>7.02</v>
      </c>
      <c r="G40" s="1286">
        <v>7.2</v>
      </c>
      <c r="H40" s="1286">
        <v>7.38</v>
      </c>
      <c r="I40" s="1286">
        <v>4.5</v>
      </c>
      <c r="J40" s="1286">
        <v>4.95</v>
      </c>
      <c r="L40" s="1286"/>
      <c r="M40" s="1287">
        <v>37308</v>
      </c>
      <c r="N40" s="1286">
        <v>0.72</v>
      </c>
      <c r="O40" s="1286">
        <v>1.71</v>
      </c>
      <c r="P40" s="1286">
        <v>1.89</v>
      </c>
      <c r="Q40" s="1286">
        <v>1.98</v>
      </c>
      <c r="R40" s="1286">
        <v>2.25</v>
      </c>
      <c r="S40" s="1286">
        <v>2.52</v>
      </c>
      <c r="T40" s="1286">
        <v>2.79</v>
      </c>
      <c r="U40" s="1286">
        <v>1.71</v>
      </c>
      <c r="V40" s="1286">
        <v>1.89</v>
      </c>
      <c r="W40" s="1286">
        <v>1.98</v>
      </c>
      <c r="X40" s="1286">
        <v>1.44</v>
      </c>
      <c r="Y40" s="1286">
        <v>1.08</v>
      </c>
      <c r="Z40" s="1286">
        <v>1.62</v>
      </c>
    </row>
    <row r="41" spans="2:26">
      <c r="B41" s="1286"/>
      <c r="C41" s="1287">
        <v>39221</v>
      </c>
      <c r="D41" s="1286">
        <v>5.85</v>
      </c>
      <c r="E41" s="1286">
        <v>6.57</v>
      </c>
      <c r="F41" s="1286">
        <v>6.75</v>
      </c>
      <c r="G41" s="1286">
        <v>6.93</v>
      </c>
      <c r="H41" s="1286">
        <v>7.2</v>
      </c>
      <c r="I41" s="1286">
        <v>4.41</v>
      </c>
      <c r="J41" s="1286">
        <v>4.8600000000000003</v>
      </c>
      <c r="L41" s="1286"/>
      <c r="M41" s="1287">
        <v>36321</v>
      </c>
      <c r="N41" s="1286">
        <v>0.99</v>
      </c>
      <c r="O41" s="1286">
        <v>1.98</v>
      </c>
      <c r="P41" s="1286">
        <v>2.16</v>
      </c>
      <c r="Q41" s="1286">
        <v>2.25</v>
      </c>
      <c r="R41" s="1286">
        <v>2.4300000000000002</v>
      </c>
      <c r="S41" s="1286">
        <v>2.7</v>
      </c>
      <c r="T41" s="1286">
        <v>2.88</v>
      </c>
      <c r="U41" s="1286">
        <v>1.98</v>
      </c>
      <c r="V41" s="1286">
        <v>2.16</v>
      </c>
      <c r="W41" s="1286">
        <v>2.25</v>
      </c>
      <c r="X41" s="1286">
        <v>1.71</v>
      </c>
      <c r="Y41" s="1286">
        <v>1.35</v>
      </c>
      <c r="Z41" s="1286">
        <v>1.89</v>
      </c>
    </row>
    <row r="42" spans="2:26">
      <c r="B42" s="1286"/>
      <c r="C42" s="1287">
        <v>39159</v>
      </c>
      <c r="D42" s="1286">
        <v>5.67</v>
      </c>
      <c r="E42" s="1286">
        <v>6.39</v>
      </c>
      <c r="F42" s="1286">
        <v>6.57</v>
      </c>
      <c r="G42" s="1286">
        <v>6.75</v>
      </c>
      <c r="H42" s="1286">
        <v>7.11</v>
      </c>
      <c r="I42" s="1286">
        <v>4.32</v>
      </c>
      <c r="J42" s="1286">
        <v>4.7699999999999996</v>
      </c>
      <c r="L42" s="1286"/>
      <c r="M42" s="1287">
        <v>36136</v>
      </c>
      <c r="N42" s="1286">
        <v>1.44</v>
      </c>
      <c r="O42" s="1286">
        <v>2.79</v>
      </c>
      <c r="P42" s="1286">
        <v>3.33</v>
      </c>
      <c r="Q42" s="1286">
        <v>3.78</v>
      </c>
      <c r="R42" s="1286">
        <v>3.96</v>
      </c>
      <c r="S42" s="1286">
        <v>4.1399999999999997</v>
      </c>
      <c r="T42" s="1286">
        <v>4.5</v>
      </c>
      <c r="U42" s="1286">
        <v>3.33</v>
      </c>
      <c r="V42" s="1286">
        <v>3.78</v>
      </c>
      <c r="W42" s="1286">
        <v>4.1399999999999997</v>
      </c>
      <c r="X42" s="1286">
        <v>2.16</v>
      </c>
      <c r="Y42" s="1286">
        <v>1.8</v>
      </c>
      <c r="Z42" s="1286">
        <v>2.34</v>
      </c>
    </row>
    <row r="43" spans="2:26">
      <c r="B43" s="1286"/>
      <c r="C43" s="1287">
        <v>38948</v>
      </c>
      <c r="D43" s="1286">
        <v>5.58</v>
      </c>
      <c r="E43" s="1286">
        <v>6.12</v>
      </c>
      <c r="F43" s="1286">
        <v>6.3</v>
      </c>
      <c r="G43" s="1286">
        <v>6.48</v>
      </c>
      <c r="H43" s="1286">
        <v>6.84</v>
      </c>
      <c r="I43" s="1286">
        <v>4.1399999999999997</v>
      </c>
      <c r="J43" s="1286">
        <v>4.59</v>
      </c>
      <c r="L43" s="1286"/>
      <c r="M43" s="1287">
        <v>35977</v>
      </c>
      <c r="N43" s="1286">
        <v>1.44</v>
      </c>
      <c r="O43" s="1286">
        <v>2.79</v>
      </c>
      <c r="P43" s="1286">
        <v>3.96</v>
      </c>
      <c r="Q43" s="1286">
        <v>4.7699999999999996</v>
      </c>
      <c r="R43" s="1286">
        <v>4.8600000000000003</v>
      </c>
      <c r="S43" s="1286">
        <v>4.95</v>
      </c>
      <c r="T43" s="1286">
        <v>5.22</v>
      </c>
      <c r="U43" s="1286">
        <v>3.96</v>
      </c>
      <c r="V43" s="1286">
        <v>4.7699999999999996</v>
      </c>
      <c r="W43" s="1286">
        <v>4.95</v>
      </c>
      <c r="X43" s="1286" t="s">
        <v>1203</v>
      </c>
      <c r="Y43" s="1286" t="s">
        <v>1203</v>
      </c>
      <c r="Z43" s="1286" t="s">
        <v>1203</v>
      </c>
    </row>
    <row r="44" spans="2:26">
      <c r="B44" s="1286"/>
      <c r="C44" s="1287">
        <v>38835</v>
      </c>
      <c r="D44" s="1286">
        <v>5.4</v>
      </c>
      <c r="E44" s="1286">
        <v>5.85</v>
      </c>
      <c r="F44" s="1286">
        <v>6.03</v>
      </c>
      <c r="G44" s="1286">
        <v>6.12</v>
      </c>
      <c r="H44" s="1286">
        <v>6.39</v>
      </c>
      <c r="I44" s="1286">
        <v>4.1399999999999997</v>
      </c>
      <c r="J44" s="1286">
        <v>4.59</v>
      </c>
      <c r="L44" s="1286"/>
      <c r="M44" s="1287">
        <v>35879</v>
      </c>
      <c r="N44" s="1286">
        <v>1.71</v>
      </c>
      <c r="O44" s="1286">
        <v>2.88</v>
      </c>
      <c r="P44" s="1286">
        <v>4.1399999999999997</v>
      </c>
      <c r="Q44" s="1286">
        <v>5.22</v>
      </c>
      <c r="R44" s="1286">
        <v>5.58</v>
      </c>
      <c r="S44" s="1286">
        <v>6.21</v>
      </c>
      <c r="T44" s="1286">
        <v>6.66</v>
      </c>
      <c r="U44" s="1286">
        <v>4.1399999999999997</v>
      </c>
      <c r="V44" s="1286">
        <v>5.22</v>
      </c>
      <c r="W44" s="1286">
        <v>6.21</v>
      </c>
      <c r="X44" s="1286" t="s">
        <v>1203</v>
      </c>
      <c r="Y44" s="1286" t="s">
        <v>1203</v>
      </c>
      <c r="Z44" s="1286" t="s">
        <v>1203</v>
      </c>
    </row>
    <row r="45" spans="2:26">
      <c r="B45" s="1286"/>
      <c r="C45" s="1287">
        <v>38428</v>
      </c>
      <c r="D45" s="1286">
        <v>5.22</v>
      </c>
      <c r="E45" s="1286">
        <v>5.58</v>
      </c>
      <c r="F45" s="1286">
        <v>5.76</v>
      </c>
      <c r="G45" s="1286">
        <v>5.85</v>
      </c>
      <c r="H45" s="1286">
        <v>6.12</v>
      </c>
      <c r="I45" s="1286">
        <v>3.96</v>
      </c>
      <c r="J45" s="1286">
        <v>4.41</v>
      </c>
      <c r="L45" s="1286"/>
      <c r="M45" s="1287">
        <v>35726</v>
      </c>
      <c r="N45" s="1286">
        <v>1.71</v>
      </c>
      <c r="O45" s="1286">
        <v>2.88</v>
      </c>
      <c r="P45" s="1286">
        <v>4.1399999999999997</v>
      </c>
      <c r="Q45" s="1286">
        <v>5.67</v>
      </c>
      <c r="R45" s="1286">
        <v>5.94</v>
      </c>
      <c r="S45" s="1286">
        <v>6.21</v>
      </c>
      <c r="T45" s="1286">
        <v>6.66</v>
      </c>
      <c r="U45" s="1286">
        <v>4.1399999999999997</v>
      </c>
      <c r="V45" s="1286">
        <v>5.67</v>
      </c>
      <c r="W45" s="1286">
        <v>6.21</v>
      </c>
      <c r="X45" s="1286" t="s">
        <v>1203</v>
      </c>
      <c r="Y45" s="1286" t="s">
        <v>1203</v>
      </c>
      <c r="Z45" s="1286" t="s">
        <v>1203</v>
      </c>
    </row>
    <row r="46" spans="2:26">
      <c r="B46" s="1286"/>
      <c r="C46" s="1287">
        <v>38289</v>
      </c>
      <c r="D46" s="1286">
        <v>5.22</v>
      </c>
      <c r="E46" s="1286">
        <v>5.58</v>
      </c>
      <c r="F46" s="1286">
        <v>5.76</v>
      </c>
      <c r="G46" s="1286">
        <v>5.85</v>
      </c>
      <c r="H46" s="1286">
        <v>6.12</v>
      </c>
      <c r="I46" s="1286">
        <v>3.78</v>
      </c>
      <c r="J46" s="1286">
        <v>4.2300000000000004</v>
      </c>
      <c r="L46" s="1286"/>
      <c r="M46" s="1287">
        <v>35300</v>
      </c>
      <c r="N46" s="1286">
        <v>1.98</v>
      </c>
      <c r="O46" s="1286">
        <v>3.33</v>
      </c>
      <c r="P46" s="1286">
        <v>5.4</v>
      </c>
      <c r="Q46" s="1286">
        <v>7.47</v>
      </c>
      <c r="R46" s="1286">
        <v>7.92</v>
      </c>
      <c r="S46" s="1286">
        <v>8.2799999999999994</v>
      </c>
      <c r="T46" s="1286">
        <v>9</v>
      </c>
      <c r="U46" s="1286">
        <v>5.4</v>
      </c>
      <c r="V46" s="1286">
        <v>7.47</v>
      </c>
      <c r="W46" s="1286">
        <v>8.2799999999999994</v>
      </c>
      <c r="X46" s="1286" t="s">
        <v>1203</v>
      </c>
      <c r="Y46" s="1286" t="s">
        <v>1203</v>
      </c>
      <c r="Z46" s="1286" t="s">
        <v>1203</v>
      </c>
    </row>
    <row r="47" spans="2:26">
      <c r="B47" s="1286"/>
      <c r="C47" s="1287">
        <v>37308</v>
      </c>
      <c r="D47" s="1286">
        <v>5.04</v>
      </c>
      <c r="E47" s="1286">
        <v>5.31</v>
      </c>
      <c r="F47" s="1286">
        <v>5.49</v>
      </c>
      <c r="G47" s="1286">
        <v>5.58</v>
      </c>
      <c r="H47" s="1286">
        <v>5.76</v>
      </c>
      <c r="I47" s="1286">
        <v>3.6</v>
      </c>
      <c r="J47" s="1286">
        <v>4.05</v>
      </c>
      <c r="L47" s="1286"/>
      <c r="M47" s="1287">
        <v>35186</v>
      </c>
      <c r="N47" s="1286">
        <v>2.97</v>
      </c>
      <c r="O47" s="1286">
        <v>4.8600000000000003</v>
      </c>
      <c r="P47" s="1286">
        <v>7.2</v>
      </c>
      <c r="Q47" s="1286">
        <v>9.18</v>
      </c>
      <c r="R47" s="1286">
        <v>9.9</v>
      </c>
      <c r="S47" s="1286">
        <v>10.8</v>
      </c>
      <c r="T47" s="1286">
        <v>12.06</v>
      </c>
      <c r="U47" s="1286">
        <v>7.2</v>
      </c>
      <c r="V47" s="1286">
        <v>9.18</v>
      </c>
      <c r="W47" s="1286">
        <v>10.8</v>
      </c>
      <c r="X47" s="1286" t="s">
        <v>1203</v>
      </c>
      <c r="Y47" s="1286" t="s">
        <v>1203</v>
      </c>
      <c r="Z47" s="1286" t="s">
        <v>1203</v>
      </c>
    </row>
    <row r="48" spans="2:26">
      <c r="B48" s="1286"/>
      <c r="C48" s="1287">
        <v>36321</v>
      </c>
      <c r="D48" s="1286">
        <v>5.58</v>
      </c>
      <c r="E48" s="1286">
        <v>5.85</v>
      </c>
      <c r="F48" s="1286">
        <v>5.94</v>
      </c>
      <c r="G48" s="1286">
        <v>6.03</v>
      </c>
      <c r="H48" s="1286">
        <v>6.21</v>
      </c>
      <c r="I48" s="1286">
        <v>4.1399999999999997</v>
      </c>
      <c r="J48" s="1286">
        <v>4.59</v>
      </c>
      <c r="L48" s="1286"/>
      <c r="M48" s="1287">
        <v>34161</v>
      </c>
      <c r="N48" s="1286">
        <v>3.15</v>
      </c>
      <c r="O48" s="1286">
        <v>6.66</v>
      </c>
      <c r="P48" s="1286">
        <v>9</v>
      </c>
      <c r="Q48" s="1286">
        <v>10.98</v>
      </c>
      <c r="R48" s="1286">
        <v>11.7</v>
      </c>
      <c r="S48" s="1286">
        <v>12.24</v>
      </c>
      <c r="T48" s="1286">
        <v>13.86</v>
      </c>
      <c r="U48" s="1286">
        <v>9</v>
      </c>
      <c r="V48" s="1286">
        <v>10.98</v>
      </c>
      <c r="W48" s="1286">
        <v>12.24</v>
      </c>
      <c r="X48" s="1286" t="s">
        <v>1203</v>
      </c>
      <c r="Y48" s="1286" t="s">
        <v>1203</v>
      </c>
      <c r="Z48" s="1286" t="s">
        <v>1203</v>
      </c>
    </row>
    <row r="49" spans="2:26">
      <c r="B49" s="1286"/>
      <c r="C49" s="1287">
        <v>36136</v>
      </c>
      <c r="D49" s="1286">
        <v>6.12</v>
      </c>
      <c r="E49" s="1286">
        <v>6.39</v>
      </c>
      <c r="F49" s="1286">
        <v>6.66</v>
      </c>
      <c r="G49" s="1286">
        <v>7.2</v>
      </c>
      <c r="H49" s="1286">
        <v>7.56</v>
      </c>
      <c r="I49" s="1286">
        <v>0</v>
      </c>
      <c r="J49" s="1286">
        <v>0</v>
      </c>
      <c r="L49" s="1286"/>
      <c r="M49" s="1287">
        <v>34104</v>
      </c>
      <c r="N49" s="1286">
        <v>2.16</v>
      </c>
      <c r="O49" s="1286">
        <v>4.8600000000000003</v>
      </c>
      <c r="P49" s="1286">
        <v>7.2</v>
      </c>
      <c r="Q49" s="1286">
        <v>9.18</v>
      </c>
      <c r="R49" s="1286">
        <v>9.9</v>
      </c>
      <c r="S49" s="1286">
        <v>10.8</v>
      </c>
      <c r="T49" s="1286">
        <v>12.06</v>
      </c>
      <c r="U49" s="1286">
        <v>7.2</v>
      </c>
      <c r="V49" s="1286">
        <v>9.18</v>
      </c>
      <c r="W49" s="1286">
        <v>10.8</v>
      </c>
      <c r="X49" s="1286" t="s">
        <v>1203</v>
      </c>
      <c r="Y49" s="1286" t="s">
        <v>1203</v>
      </c>
      <c r="Z49" s="1286" t="s">
        <v>1203</v>
      </c>
    </row>
    <row r="50" spans="2:26">
      <c r="B50" s="1286"/>
      <c r="C50" s="1287">
        <v>35977</v>
      </c>
      <c r="D50" s="1286">
        <v>6.57</v>
      </c>
      <c r="E50" s="1286">
        <v>6.93</v>
      </c>
      <c r="F50" s="1286">
        <v>7.11</v>
      </c>
      <c r="G50" s="1286">
        <v>7.65</v>
      </c>
      <c r="H50" s="1286">
        <v>8.01</v>
      </c>
      <c r="I50" s="1286">
        <v>0</v>
      </c>
      <c r="J50" s="1286">
        <v>0</v>
      </c>
      <c r="L50" s="1286"/>
      <c r="M50" s="1287">
        <v>33349</v>
      </c>
      <c r="N50" s="1286">
        <v>1.8</v>
      </c>
      <c r="O50" s="1286">
        <v>3.24</v>
      </c>
      <c r="P50" s="1286">
        <v>5.4</v>
      </c>
      <c r="Q50" s="1286">
        <v>7.56</v>
      </c>
      <c r="R50" s="1286">
        <v>7.92</v>
      </c>
      <c r="S50" s="1286">
        <v>8.2799999999999994</v>
      </c>
      <c r="T50" s="1286">
        <v>9</v>
      </c>
      <c r="U50" s="1286">
        <v>6.12</v>
      </c>
      <c r="V50" s="1286">
        <v>6.84</v>
      </c>
      <c r="W50" s="1286">
        <v>7.56</v>
      </c>
      <c r="X50" s="1286" t="s">
        <v>1203</v>
      </c>
      <c r="Y50" s="1286" t="s">
        <v>1203</v>
      </c>
      <c r="Z50" s="1286" t="s">
        <v>1203</v>
      </c>
    </row>
    <row r="51" spans="2:26">
      <c r="B51" s="1286"/>
      <c r="C51" s="1287">
        <v>35879</v>
      </c>
      <c r="D51" s="1286">
        <v>7.02</v>
      </c>
      <c r="E51" s="1286">
        <v>7.92</v>
      </c>
      <c r="F51" s="1286">
        <v>9</v>
      </c>
      <c r="G51" s="1286">
        <v>9.7200000000000006</v>
      </c>
      <c r="H51" s="1286">
        <v>10.35</v>
      </c>
      <c r="I51" s="1286">
        <v>0</v>
      </c>
      <c r="J51" s="1286">
        <v>0</v>
      </c>
      <c r="L51" s="1286"/>
      <c r="M51" s="1287">
        <v>33106</v>
      </c>
      <c r="N51" s="1286">
        <v>2.16</v>
      </c>
      <c r="O51" s="1286">
        <v>4.32</v>
      </c>
      <c r="P51" s="1286">
        <v>6.48</v>
      </c>
      <c r="Q51" s="1286">
        <v>8.64</v>
      </c>
      <c r="R51" s="1286">
        <v>9.36</v>
      </c>
      <c r="S51" s="1286">
        <v>10.08</v>
      </c>
      <c r="T51" s="1286">
        <v>11.52</v>
      </c>
      <c r="U51" s="1286">
        <v>7.2</v>
      </c>
      <c r="V51" s="1286">
        <v>8.64</v>
      </c>
      <c r="W51" s="1286">
        <v>10.08</v>
      </c>
      <c r="X51" s="1286" t="s">
        <v>1203</v>
      </c>
      <c r="Y51" s="1286" t="s">
        <v>1203</v>
      </c>
      <c r="Z51" s="1286" t="s">
        <v>1203</v>
      </c>
    </row>
    <row r="52" spans="2:26">
      <c r="B52" s="1286"/>
      <c r="C52" s="1287">
        <v>35726</v>
      </c>
      <c r="D52" s="1286">
        <v>7.65</v>
      </c>
      <c r="E52" s="1286">
        <v>8.64</v>
      </c>
      <c r="F52" s="1286">
        <v>9.36</v>
      </c>
      <c r="G52" s="1286">
        <v>9.9</v>
      </c>
      <c r="H52" s="1286">
        <v>10.53</v>
      </c>
      <c r="I52" s="1286">
        <v>0</v>
      </c>
      <c r="J52" s="1286">
        <v>0</v>
      </c>
      <c r="L52" s="1286"/>
      <c r="M52" s="1287">
        <v>32978</v>
      </c>
      <c r="N52" s="1286">
        <v>2.88</v>
      </c>
      <c r="O52" s="1286">
        <v>6.3</v>
      </c>
      <c r="P52" s="1286">
        <v>7.74</v>
      </c>
      <c r="Q52" s="1286">
        <v>10.08</v>
      </c>
      <c r="R52" s="1286">
        <v>10.98</v>
      </c>
      <c r="S52" s="1286">
        <v>11.88</v>
      </c>
      <c r="T52" s="1286">
        <v>13.68</v>
      </c>
      <c r="U52" s="1286" t="s">
        <v>1203</v>
      </c>
      <c r="V52" s="1286" t="s">
        <v>1203</v>
      </c>
      <c r="W52" s="1286" t="s">
        <v>1203</v>
      </c>
      <c r="X52" s="1286" t="s">
        <v>1203</v>
      </c>
      <c r="Y52" s="1286" t="s">
        <v>1203</v>
      </c>
      <c r="Z52" s="1286" t="s">
        <v>1203</v>
      </c>
    </row>
    <row r="53" spans="2:26">
      <c r="B53" s="1286"/>
      <c r="C53" s="1287">
        <v>35300</v>
      </c>
      <c r="D53" s="1286">
        <v>9.18</v>
      </c>
      <c r="E53" s="1286">
        <v>10.08</v>
      </c>
      <c r="F53" s="1286">
        <v>10.98</v>
      </c>
      <c r="G53" s="1286">
        <v>11.7</v>
      </c>
      <c r="H53" s="1286">
        <v>12.42</v>
      </c>
      <c r="I53" s="1286">
        <v>0</v>
      </c>
      <c r="J53" s="1286">
        <v>0</v>
      </c>
      <c r="L53" s="1286"/>
      <c r="M53" s="1287"/>
      <c r="N53" s="1286"/>
      <c r="O53" s="1286"/>
      <c r="P53" s="1286"/>
      <c r="Q53" s="1286"/>
      <c r="R53" s="1286"/>
      <c r="S53" s="1286"/>
      <c r="T53" s="1286"/>
      <c r="U53" s="1286"/>
      <c r="V53" s="1286"/>
      <c r="W53" s="1286"/>
      <c r="X53" s="1286"/>
      <c r="Y53" s="1286"/>
      <c r="Z53" s="1286"/>
    </row>
    <row r="54" spans="2:26">
      <c r="B54" s="1286"/>
      <c r="C54" s="1287">
        <v>35186</v>
      </c>
      <c r="D54" s="1286">
        <v>9.7200000000000006</v>
      </c>
      <c r="E54" s="1286">
        <v>10.98</v>
      </c>
      <c r="F54" s="1286">
        <v>13.14</v>
      </c>
      <c r="G54" s="1286">
        <v>14.94</v>
      </c>
      <c r="H54" s="1286">
        <v>15.12</v>
      </c>
      <c r="I54" s="1286">
        <v>0</v>
      </c>
      <c r="J54" s="1286">
        <v>0</v>
      </c>
      <c r="L54" s="1286"/>
      <c r="M54" s="1287"/>
      <c r="N54" s="1286"/>
      <c r="O54" s="1286"/>
      <c r="P54" s="1286"/>
      <c r="Q54" s="1286"/>
      <c r="R54" s="1286"/>
      <c r="S54" s="1286"/>
      <c r="T54" s="1286"/>
      <c r="U54" s="1286"/>
      <c r="V54" s="1286"/>
      <c r="W54" s="1286"/>
      <c r="X54" s="1286"/>
      <c r="Y54" s="1286"/>
      <c r="Z54" s="1286"/>
    </row>
    <row r="55" spans="2:26">
      <c r="B55" s="1286"/>
      <c r="C55" s="1287">
        <v>34881</v>
      </c>
      <c r="D55" s="1286">
        <v>10.08</v>
      </c>
      <c r="E55" s="1286">
        <v>12.06</v>
      </c>
      <c r="F55" s="1286">
        <v>13.5</v>
      </c>
      <c r="G55" s="1286">
        <v>15.12</v>
      </c>
      <c r="H55" s="1286">
        <v>15.3</v>
      </c>
      <c r="I55" s="1286">
        <v>0</v>
      </c>
      <c r="J55" s="1286">
        <v>0</v>
      </c>
      <c r="L55" s="1286"/>
      <c r="M55" s="1287"/>
      <c r="N55" s="1286"/>
      <c r="O55" s="1286"/>
      <c r="P55" s="1286"/>
      <c r="Q55" s="1286"/>
      <c r="R55" s="1286"/>
      <c r="S55" s="1286"/>
      <c r="T55" s="1286"/>
      <c r="U55" s="1286"/>
      <c r="V55" s="1286"/>
      <c r="W55" s="1286"/>
      <c r="X55" s="1286"/>
      <c r="Y55" s="1286"/>
      <c r="Z55" s="1286"/>
    </row>
    <row r="56" spans="2:26">
      <c r="B56" s="1286"/>
      <c r="C56" s="1287">
        <v>34700</v>
      </c>
      <c r="D56" s="1286">
        <v>9</v>
      </c>
      <c r="E56" s="1286">
        <v>10.98</v>
      </c>
      <c r="F56" s="1286">
        <v>12.96</v>
      </c>
      <c r="G56" s="1286">
        <v>14.58</v>
      </c>
      <c r="H56" s="1286">
        <v>14.76</v>
      </c>
      <c r="I56" s="1286">
        <v>0</v>
      </c>
      <c r="J56" s="1286">
        <v>0</v>
      </c>
      <c r="L56" s="1286"/>
      <c r="M56" s="1287"/>
      <c r="N56" s="1286"/>
      <c r="O56" s="1286"/>
      <c r="P56" s="1286"/>
      <c r="Q56" s="1286"/>
      <c r="R56" s="1286"/>
      <c r="S56" s="1286"/>
      <c r="T56" s="1286"/>
      <c r="U56" s="1286"/>
      <c r="V56" s="1286"/>
      <c r="W56" s="1286"/>
      <c r="X56" s="1286"/>
      <c r="Y56" s="1286"/>
      <c r="Z56" s="1286"/>
    </row>
    <row r="57" spans="2:26">
      <c r="B57" s="1286"/>
      <c r="C57" s="1287">
        <v>34161</v>
      </c>
      <c r="D57" s="1286">
        <v>9</v>
      </c>
      <c r="E57" s="1286">
        <v>10.98</v>
      </c>
      <c r="F57" s="1286">
        <v>12.24</v>
      </c>
      <c r="G57" s="1286">
        <v>13.86</v>
      </c>
      <c r="H57" s="1286">
        <v>14.04</v>
      </c>
      <c r="I57" s="1286">
        <v>0</v>
      </c>
      <c r="J57" s="1286">
        <v>0</v>
      </c>
      <c r="L57" s="1286"/>
      <c r="M57" s="1287"/>
      <c r="N57" s="1286"/>
      <c r="O57" s="1286"/>
      <c r="P57" s="1286"/>
      <c r="Q57" s="1286"/>
      <c r="R57" s="1286"/>
      <c r="S57" s="1286"/>
      <c r="T57" s="1286"/>
      <c r="U57" s="1286"/>
      <c r="V57" s="1286"/>
      <c r="W57" s="1286"/>
      <c r="X57" s="1286"/>
      <c r="Y57" s="1286"/>
      <c r="Z57" s="1286"/>
    </row>
    <row r="58" spans="2:26">
      <c r="B58" s="1286"/>
      <c r="C58" s="1287">
        <v>34104</v>
      </c>
      <c r="D58" s="1286">
        <v>8.82</v>
      </c>
      <c r="E58" s="1286">
        <v>9.36</v>
      </c>
      <c r="F58" s="1286">
        <v>10.8</v>
      </c>
      <c r="G58" s="1286">
        <v>12.06</v>
      </c>
      <c r="H58" s="1286">
        <v>12.24</v>
      </c>
      <c r="I58" s="1286">
        <v>0</v>
      </c>
      <c r="J58" s="1286">
        <v>0</v>
      </c>
      <c r="L58" s="1286"/>
      <c r="M58" s="1287"/>
      <c r="N58" s="1286"/>
      <c r="O58" s="1286"/>
      <c r="P58" s="1286"/>
      <c r="Q58" s="1286"/>
      <c r="R58" s="1286"/>
      <c r="S58" s="1286"/>
      <c r="T58" s="1286"/>
      <c r="U58" s="1286"/>
      <c r="V58" s="1286"/>
      <c r="W58" s="1286"/>
      <c r="X58" s="1286"/>
      <c r="Y58" s="1286"/>
      <c r="Z58" s="1286"/>
    </row>
    <row r="59" spans="2:26">
      <c r="B59" s="1286"/>
      <c r="C59" s="1287">
        <v>33349</v>
      </c>
      <c r="D59" s="1286">
        <v>8.1</v>
      </c>
      <c r="E59" s="1286">
        <v>8.64</v>
      </c>
      <c r="F59" s="1286">
        <v>9</v>
      </c>
      <c r="G59" s="1286">
        <v>9.5399999999999991</v>
      </c>
      <c r="H59" s="1286">
        <v>9.7200000000000006</v>
      </c>
      <c r="I59" s="1286">
        <v>0</v>
      </c>
      <c r="J59" s="1286">
        <v>0</v>
      </c>
    </row>
    <row r="60" spans="2:26">
      <c r="B60" s="1286"/>
      <c r="C60" s="1287">
        <v>33318</v>
      </c>
      <c r="D60" s="1286">
        <v>9</v>
      </c>
      <c r="E60" s="1286">
        <v>10.08</v>
      </c>
      <c r="F60" s="1286">
        <v>10.8</v>
      </c>
      <c r="G60" s="1286">
        <v>11.52</v>
      </c>
      <c r="H60" s="1286">
        <v>11.88</v>
      </c>
      <c r="I60" s="1286" t="s">
        <v>1203</v>
      </c>
      <c r="J60" s="1286" t="s">
        <v>1203</v>
      </c>
    </row>
    <row r="61" spans="2:26">
      <c r="B61" s="1286"/>
      <c r="C61" s="1287">
        <v>33106</v>
      </c>
      <c r="D61" s="1286">
        <v>8.64</v>
      </c>
      <c r="E61" s="1286">
        <v>9.36</v>
      </c>
      <c r="F61" s="1286">
        <v>10.08</v>
      </c>
      <c r="G61" s="1286">
        <v>10.8</v>
      </c>
      <c r="H61" s="1286">
        <v>11.16</v>
      </c>
      <c r="I61" s="1286">
        <v>0</v>
      </c>
      <c r="J61" s="1286">
        <v>0</v>
      </c>
    </row>
    <row r="62" spans="2:26">
      <c r="B62" s="1286"/>
      <c r="C62" s="1287">
        <v>32540</v>
      </c>
      <c r="D62" s="1286">
        <v>11.34</v>
      </c>
      <c r="E62" s="1286">
        <v>11.34</v>
      </c>
      <c r="F62" s="1286">
        <v>12.78</v>
      </c>
      <c r="G62" s="1286">
        <v>14.4</v>
      </c>
      <c r="H62" s="1286">
        <v>19.260000000000002</v>
      </c>
      <c r="I62" s="1286">
        <v>0</v>
      </c>
      <c r="J62" s="1286">
        <v>0</v>
      </c>
    </row>
    <row r="63" spans="2:26">
      <c r="B63" s="1286"/>
      <c r="C63" s="1287"/>
      <c r="D63" s="1286"/>
      <c r="E63" s="1286"/>
      <c r="F63" s="1286"/>
      <c r="G63" s="1286"/>
      <c r="H63" s="1286"/>
      <c r="I63" s="1286"/>
      <c r="J63" s="1286"/>
    </row>
    <row r="64" spans="2:26">
      <c r="B64" s="1290"/>
      <c r="C64" s="1291"/>
      <c r="D64" s="1290"/>
      <c r="E64" s="1290"/>
      <c r="F64" s="1290"/>
      <c r="G64" s="1290"/>
      <c r="H64" s="1290"/>
      <c r="I64" s="1290"/>
      <c r="J64" s="1290"/>
    </row>
    <row r="65" spans="2:10">
      <c r="B65" s="1290"/>
      <c r="C65" s="1291"/>
      <c r="D65" s="1290"/>
      <c r="E65" s="1290"/>
      <c r="F65" s="1290"/>
      <c r="G65" s="1290"/>
      <c r="H65" s="1290"/>
      <c r="I65" s="1290"/>
      <c r="J65" s="1290"/>
    </row>
    <row r="66" spans="2:10">
      <c r="B66" s="1290"/>
      <c r="C66" s="1291"/>
      <c r="D66" s="1290"/>
      <c r="E66" s="1290"/>
      <c r="F66" s="1290"/>
      <c r="G66" s="1290"/>
      <c r="H66" s="1290"/>
      <c r="I66" s="1290"/>
      <c r="J66" s="1290"/>
    </row>
    <row r="67" spans="2:10">
      <c r="B67" s="1237"/>
      <c r="C67" s="1237"/>
      <c r="D67" s="1237"/>
      <c r="E67" s="1237"/>
      <c r="F67" s="1237"/>
      <c r="G67" s="1237"/>
      <c r="H67" s="1237"/>
      <c r="I67" s="1237"/>
      <c r="J67" s="1237"/>
    </row>
    <row r="68" spans="2:10">
      <c r="B68" s="1237"/>
      <c r="C68" s="1237"/>
      <c r="D68" s="1237"/>
      <c r="E68" s="1237"/>
      <c r="F68" s="1237"/>
      <c r="G68" s="1237"/>
      <c r="H68" s="1237"/>
      <c r="I68" s="1237"/>
      <c r="J68" s="1237"/>
    </row>
  </sheetData>
  <sheetProtection password="CEE9" sheet="1" objects="1" scenarios="1"/>
  <phoneticPr fontId="14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46"/>
  <sheetViews>
    <sheetView view="pageLayout" zoomScale="80" zoomScaleNormal="100" zoomScalePageLayoutView="80" workbookViewId="0">
      <selection activeCell="A2" sqref="A2:E2"/>
    </sheetView>
  </sheetViews>
  <sheetFormatPr defaultColWidth="9" defaultRowHeight="13.5"/>
  <cols>
    <col min="1" max="1" width="4.125" style="1341" customWidth="1"/>
    <col min="2" max="2" width="37.875" style="1341" customWidth="1"/>
    <col min="3" max="3" width="16.125" style="1341" customWidth="1"/>
    <col min="4" max="4" width="22.25" style="1341" customWidth="1"/>
    <col min="5" max="5" width="4.125" style="1341" customWidth="1"/>
    <col min="6" max="7" width="13" style="1341" customWidth="1"/>
    <col min="8" max="16384" width="9" style="1341"/>
  </cols>
  <sheetData>
    <row r="1" spans="1:5" ht="18.75">
      <c r="A1" s="1361" t="s">
        <v>774</v>
      </c>
      <c r="B1" s="1359"/>
      <c r="C1" s="1359"/>
      <c r="D1" s="1359"/>
      <c r="E1" s="1359"/>
    </row>
    <row r="2" spans="1:5" ht="78.75" customHeight="1">
      <c r="A2" s="3178" t="str">
        <f>"评估专业人员根据估价的目的，按照估价的程序，采用科学的估价方法，在认真分析现有资料的基础上，"&amp;IF(项目基本情况!D5="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178"/>
      <c r="C2" s="3178"/>
      <c r="D2" s="3178"/>
      <c r="E2" s="3178"/>
    </row>
    <row r="3" spans="1:5" ht="13.5" customHeight="1">
      <c r="A3" s="1362"/>
      <c r="B3" s="1362"/>
      <c r="C3" s="1362"/>
      <c r="D3" s="1362"/>
      <c r="E3" s="1362"/>
    </row>
    <row r="4" spans="1:5" ht="19.5" thickBot="1">
      <c r="A4" s="3179" t="str">
        <f>IF(项目基本情况!D5="房地产市场价值","估价结果一览表（市场价值不需本页表格)","估价结果一览表")</f>
        <v>估价结果一览表</v>
      </c>
      <c r="B4" s="3179"/>
      <c r="C4" s="3179"/>
      <c r="D4" s="3179"/>
      <c r="E4" s="3179"/>
    </row>
    <row r="5" spans="1:5" ht="14.25" customHeight="1" thickTop="1">
      <c r="A5" s="1359"/>
      <c r="B5" s="1363" t="s">
        <v>742</v>
      </c>
      <c r="C5" s="3180" t="s">
        <v>775</v>
      </c>
      <c r="D5" s="3181"/>
      <c r="E5" s="1359"/>
    </row>
    <row r="6" spans="1:5" ht="14.25">
      <c r="A6" s="1359"/>
      <c r="B6" s="1364" t="str">
        <f>项目基本情况!I1</f>
        <v>北京市房地产</v>
      </c>
      <c r="C6" s="3182">
        <f>项目基本情况!C12</f>
        <v>841.27</v>
      </c>
      <c r="D6" s="3182"/>
      <c r="E6" s="1359"/>
    </row>
    <row r="7" spans="1:5" ht="14.25">
      <c r="A7" s="1359"/>
      <c r="B7" s="3176" t="s">
        <v>776</v>
      </c>
      <c r="C7" s="1365" t="str">
        <f>IF('数据-取费表'!B3="万元","总价（万元）","总价（元）")</f>
        <v>总价（万元）</v>
      </c>
      <c r="D7" s="1366">
        <f ca="1">IF('数据-取费表'!E3="否",结果表!I102,'结果表 (1修多)'!I104)</f>
        <v>2708</v>
      </c>
      <c r="E7" s="1359"/>
    </row>
    <row r="8" spans="1:5" ht="14.25">
      <c r="A8" s="1359"/>
      <c r="B8" s="3176"/>
      <c r="C8" s="1367" t="s">
        <v>1162</v>
      </c>
      <c r="D8" s="1368" t="str">
        <f ca="1">IF('数据-取费表'!B3="万元",NUMBERSTRING(INT(D7*10000),2)&amp;"元整",NUMBERSTRING(INT(D7),2)&amp;"元整")</f>
        <v>贰仟柒佰零捌万元整</v>
      </c>
      <c r="E8" s="1359"/>
    </row>
    <row r="9" spans="1:5" ht="14.25">
      <c r="A9" s="1359"/>
      <c r="B9" s="3176"/>
      <c r="C9" s="1369" t="s">
        <v>1260</v>
      </c>
      <c r="D9" s="1366">
        <f ca="1">IF('数据-取费表'!E3="否",结果表!I103,'结果表 (1修多)'!I105)</f>
        <v>32189</v>
      </c>
      <c r="E9" s="1359"/>
    </row>
    <row r="10" spans="1:5" ht="14.25">
      <c r="A10" s="1359"/>
      <c r="B10" s="3183" t="str">
        <f>IF('数据-取费表'!E3="否",结果表!F105,'结果表 (1修多)'!F107)</f>
        <v>2.估价师所知悉的法定优先受偿款</v>
      </c>
      <c r="C10" s="1370" t="str">
        <f>IF('数据-取费表'!B3="万元","总额（万元）","总额（元）")</f>
        <v>总额（万元）</v>
      </c>
      <c r="D10" s="1366">
        <f>IF('数据-取费表'!E3="否",结果表!I105,'结果表 (1修多)'!I107)</f>
        <v>0</v>
      </c>
      <c r="E10" s="1359"/>
    </row>
    <row r="11" spans="1:5" ht="14.25">
      <c r="A11" s="1359"/>
      <c r="B11" s="3183"/>
      <c r="C11" s="1367" t="s">
        <v>1162</v>
      </c>
      <c r="D11" s="1368" t="str">
        <f>IF('数据-取费表'!B3="万元",NUMBERSTRING(INT(D10*10000),2)&amp;"元整",NUMBERSTRING(INT(D10),2)&amp;"元整")</f>
        <v>零元整</v>
      </c>
      <c r="E11" s="1359"/>
    </row>
    <row r="12" spans="1:5" ht="14.25">
      <c r="A12" s="1359"/>
      <c r="B12" s="1371" t="s">
        <v>743</v>
      </c>
      <c r="C12" s="1372" t="str">
        <f>C10</f>
        <v>总额（万元）</v>
      </c>
      <c r="D12" s="1373">
        <f>IF('数据-取费表'!E3="否",结果表!I106,'结果表 (1修多)'!I108)</f>
        <v>0</v>
      </c>
      <c r="E12" s="1359"/>
    </row>
    <row r="13" spans="1:5" ht="14.25">
      <c r="A13" s="1359"/>
      <c r="B13" s="1371" t="s">
        <v>744</v>
      </c>
      <c r="C13" s="1372" t="str">
        <f>C10</f>
        <v>总额（万元）</v>
      </c>
      <c r="D13" s="1373">
        <f>IF('数据-取费表'!E3="否",结果表!I107,'结果表 (1修多)'!I109)</f>
        <v>0</v>
      </c>
      <c r="E13" s="1359"/>
    </row>
    <row r="14" spans="1:5" ht="14.25">
      <c r="A14" s="1359"/>
      <c r="B14" s="1371" t="s">
        <v>745</v>
      </c>
      <c r="C14" s="1372" t="str">
        <f>C10</f>
        <v>总额（万元）</v>
      </c>
      <c r="D14" s="1373">
        <f>IF('数据-取费表'!E3="否",结果表!I108,'结果表 (1修多)'!I110)</f>
        <v>0</v>
      </c>
      <c r="E14" s="1359"/>
    </row>
    <row r="15" spans="1:5" ht="14.25">
      <c r="A15" s="1359"/>
      <c r="B15" s="3183" t="str">
        <f>IF('数据-取费表'!E3="否",结果表!F110,'结果表 (1修多)'!F112)</f>
        <v>3.房地产抵押价值</v>
      </c>
      <c r="C15" s="1360" t="str">
        <f>C7</f>
        <v>总价（万元）</v>
      </c>
      <c r="D15" s="1366">
        <f ca="1">IF('数据-取费表'!E3="否",结果表!I110,'结果表 (1修多)'!I112)</f>
        <v>2708</v>
      </c>
      <c r="E15" s="1359"/>
    </row>
    <row r="16" spans="1:5" ht="14.25">
      <c r="A16" s="1359"/>
      <c r="B16" s="3183"/>
      <c r="C16" s="1367" t="s">
        <v>1162</v>
      </c>
      <c r="D16" s="1366" t="str">
        <f ca="1">IF('数据-取费表'!B3="万元",NUMBERSTRING(INT(D15*10000),2)&amp;"元整",NUMBERSTRING(INT(D15),2)&amp;"元整")</f>
        <v>贰仟柒佰零捌万元整</v>
      </c>
      <c r="E16" s="1359"/>
    </row>
    <row r="17" spans="1:5" ht="14.25">
      <c r="A17" s="1359"/>
      <c r="B17" s="3183"/>
      <c r="C17" s="1369" t="s">
        <v>1260</v>
      </c>
      <c r="D17" s="1366">
        <f ca="1">IF('数据-取费表'!E3="否",结果表!I111,'结果表 (1修多)'!I113)</f>
        <v>32189</v>
      </c>
      <c r="E17" s="1359"/>
    </row>
    <row r="18" spans="1:5" ht="14.25">
      <c r="A18" s="1359"/>
      <c r="B18" s="3183" t="str">
        <f>IF('数据-取费表'!E3="否",结果表!F112,'结果表 (1修多)'!F114)</f>
        <v>——</v>
      </c>
      <c r="C18" s="1360" t="str">
        <f>C7</f>
        <v>总价（万元）</v>
      </c>
      <c r="D18" s="1366" t="str">
        <f>IF('数据-取费表'!E3="否",结果表!I112,'结果表 (1修多)'!I114)</f>
        <v>——</v>
      </c>
      <c r="E18" s="1359"/>
    </row>
    <row r="19" spans="1:5" ht="14.25">
      <c r="A19" s="1359"/>
      <c r="B19" s="3183"/>
      <c r="C19" s="1367" t="s">
        <v>1162</v>
      </c>
      <c r="D19" s="1366" t="e">
        <f>IF('数据-取费表'!B3="万元",NUMBERSTRING(INT(D18*10000),2)&amp;"元整",NUMBERSTRING(INT(D18),2)&amp;"元整")</f>
        <v>#VALUE!</v>
      </c>
      <c r="E19" s="1359"/>
    </row>
    <row r="20" spans="1:5" ht="14.25">
      <c r="A20" s="1359"/>
      <c r="B20" s="3183"/>
      <c r="C20" s="1369" t="s">
        <v>1260</v>
      </c>
      <c r="D20" s="1366" t="str">
        <f>IF('数据-取费表'!E3="否",结果表!I113,'结果表 (1修多)'!I115)</f>
        <v>——</v>
      </c>
      <c r="E20" s="1359"/>
    </row>
    <row r="21" spans="1:5" ht="14.25">
      <c r="A21" s="1359"/>
      <c r="B21" s="3176" t="str">
        <f>IF('数据-取费表'!E3="否",结果表!F114,'结果表 (1修多)'!F116)</f>
        <v>——</v>
      </c>
      <c r="C21" s="1365" t="str">
        <f>C7</f>
        <v>总价（万元）</v>
      </c>
      <c r="D21" s="1366" t="str">
        <f>IF('数据-取费表'!E3="否",结果表!I114,'结果表 (1修多)'!I116)</f>
        <v>——</v>
      </c>
      <c r="E21" s="1359"/>
    </row>
    <row r="22" spans="1:5" ht="14.25">
      <c r="A22" s="1359"/>
      <c r="B22" s="3176"/>
      <c r="C22" s="1367" t="s">
        <v>1162</v>
      </c>
      <c r="D22" s="1368" t="e">
        <f>IF('数据-取费表'!B3="万元",NUMBERSTRING(INT(D21*10000),2)&amp;"元整",NUMBERSTRING(INT(D21),2)&amp;"元整")</f>
        <v>#VALUE!</v>
      </c>
      <c r="E22" s="1359"/>
    </row>
    <row r="23" spans="1:5" ht="15" thickBot="1">
      <c r="A23" s="1359"/>
      <c r="B23" s="3177"/>
      <c r="C23" s="1374" t="s">
        <v>1260</v>
      </c>
      <c r="D23" s="1375" t="str">
        <f ca="1">IF('数据-取费表'!E3="否",结果表!I115,'结果表 (1修多)'!I117)</f>
        <v>——</v>
      </c>
      <c r="E23" s="1359"/>
    </row>
    <row r="24" spans="1:5" ht="14.25" thickTop="1">
      <c r="A24" s="1359"/>
      <c r="B24" s="1359"/>
      <c r="C24" s="1359"/>
      <c r="D24" s="1359"/>
      <c r="E24" s="1359"/>
    </row>
    <row r="25" spans="1:5" ht="18.75" customHeight="1" thickBot="1">
      <c r="A25" s="1359"/>
      <c r="B25" s="3168" t="s">
        <v>1261</v>
      </c>
      <c r="C25" s="3168"/>
      <c r="D25" s="3168"/>
      <c r="E25" s="1359"/>
    </row>
    <row r="26" spans="1:5" ht="18.75" customHeight="1" thickTop="1">
      <c r="A26" s="1359"/>
      <c r="B26" s="3171" t="s">
        <v>1161</v>
      </c>
      <c r="C26" s="3172"/>
      <c r="D26" s="3169" t="s">
        <v>1160</v>
      </c>
      <c r="E26" s="1359"/>
    </row>
    <row r="27" spans="1:5" ht="18.75" customHeight="1">
      <c r="A27" s="1359"/>
      <c r="B27" s="3173"/>
      <c r="C27" s="3174"/>
      <c r="D27" s="3170"/>
      <c r="E27" s="1359"/>
    </row>
    <row r="28" spans="1:5" ht="14.25">
      <c r="A28" s="1359"/>
      <c r="B28" s="3161" t="s">
        <v>776</v>
      </c>
      <c r="C28" s="1376" t="s">
        <v>1163</v>
      </c>
      <c r="D28" s="1377">
        <f ca="1">IF('数据-取费表'!E3="否",结果表!I102,'结果表 (1修多)'!I104)</f>
        <v>2708</v>
      </c>
      <c r="E28" s="1359"/>
    </row>
    <row r="29" spans="1:5" ht="14.25">
      <c r="A29" s="1359"/>
      <c r="B29" s="3162"/>
      <c r="C29" s="1378" t="s">
        <v>1162</v>
      </c>
      <c r="D29" s="1379" t="str">
        <f ca="1">IF('数据-取费表'!B3="万元",NUMBERSTRING(INT(D28*10000),2)&amp;"元整",NUMBERSTRING(INT(D28),2)&amp;"元整")</f>
        <v>贰仟柒佰零捌万元整</v>
      </c>
      <c r="E29" s="1359"/>
    </row>
    <row r="30" spans="1:5" ht="14.25">
      <c r="A30" s="1359"/>
      <c r="B30" s="3163"/>
      <c r="C30" s="1369" t="s">
        <v>1165</v>
      </c>
      <c r="D30" s="1380">
        <f ca="1">IF('数据-取费表'!E3="否",结果表!I103,'结果表 (1修多)'!I105)</f>
        <v>32189</v>
      </c>
      <c r="E30" s="1359"/>
    </row>
    <row r="31" spans="1:5" ht="14.25">
      <c r="A31" s="1359"/>
      <c r="B31" s="3166" t="str">
        <f>B10</f>
        <v>2.估价师所知悉的法定优先受偿款</v>
      </c>
      <c r="C31" s="1381" t="s">
        <v>1164</v>
      </c>
      <c r="D31" s="1382">
        <f>IF('数据-取费表'!E3="否",结果表!I105,'结果表 (1修多)'!I107)</f>
        <v>0</v>
      </c>
      <c r="E31" s="1359"/>
    </row>
    <row r="32" spans="1:5" ht="14.25">
      <c r="A32" s="1359"/>
      <c r="B32" s="3175"/>
      <c r="C32" s="1378" t="s">
        <v>1162</v>
      </c>
      <c r="D32" s="1383" t="str">
        <f>IF('数据-取费表'!B3="万元",NUMBERSTRING(INT(D31*10000),2)&amp;"元整",NUMBERSTRING(INT(D31),2)&amp;"元整")</f>
        <v>零元整</v>
      </c>
      <c r="E32" s="1359"/>
    </row>
    <row r="33" spans="1:5" ht="14.25">
      <c r="A33" s="1359"/>
      <c r="B33" s="1367" t="s">
        <v>1145</v>
      </c>
      <c r="C33" s="1367" t="str">
        <f>C31</f>
        <v>总额</v>
      </c>
      <c r="D33" s="1380">
        <f>IF('数据-取费表'!E3="否",结果表!I106,'结果表 (1修多)'!I108)</f>
        <v>0</v>
      </c>
      <c r="E33" s="1359"/>
    </row>
    <row r="34" spans="1:5" ht="14.25">
      <c r="A34" s="1359"/>
      <c r="B34" s="1367" t="s">
        <v>1146</v>
      </c>
      <c r="C34" s="1367" t="str">
        <f>C31</f>
        <v>总额</v>
      </c>
      <c r="D34" s="1380">
        <f>IF('数据-取费表'!E3="否",结果表!I107,'结果表 (1修多)'!I109)</f>
        <v>0</v>
      </c>
      <c r="E34" s="1359"/>
    </row>
    <row r="35" spans="1:5" ht="14.25">
      <c r="A35" s="1359"/>
      <c r="B35" s="1367" t="s">
        <v>1147</v>
      </c>
      <c r="C35" s="1367" t="str">
        <f>C31</f>
        <v>总额</v>
      </c>
      <c r="D35" s="1380">
        <f>IF('数据-取费表'!E3="否",结果表!I108,'结果表 (1修多)'!I110)</f>
        <v>0</v>
      </c>
      <c r="E35" s="1359"/>
    </row>
    <row r="36" spans="1:5" ht="14.25">
      <c r="A36" s="1359"/>
      <c r="B36" s="3164" t="str">
        <f>B15</f>
        <v>3.房地产抵押价值</v>
      </c>
      <c r="C36" s="1381" t="str">
        <f>C28</f>
        <v>总价</v>
      </c>
      <c r="D36" s="1382">
        <f ca="1">IF('数据-取费表'!E3="否",结果表!I110,'结果表 (1修多)'!I112)</f>
        <v>2708</v>
      </c>
      <c r="E36" s="1359"/>
    </row>
    <row r="37" spans="1:5" ht="14.25">
      <c r="A37" s="1359"/>
      <c r="B37" s="3164"/>
      <c r="C37" s="1378" t="s">
        <v>1162</v>
      </c>
      <c r="D37" s="1383" t="str">
        <f ca="1">IF('数据-取费表'!B3="万元",NUMBERSTRING(INT(D36*10000),2)&amp;"元整",NUMBERSTRING(INT(D36),2)&amp;"元整")</f>
        <v>贰仟柒佰零捌万元整</v>
      </c>
      <c r="E37" s="1359"/>
    </row>
    <row r="38" spans="1:5" ht="14.25">
      <c r="A38" s="1359"/>
      <c r="B38" s="3164"/>
      <c r="C38" s="1369" t="s">
        <v>1166</v>
      </c>
      <c r="D38" s="1380">
        <f ca="1">IF('数据-取费表'!E3="否",结果表!D113,'结果表 (1修多)'!D117)</f>
        <v>32189</v>
      </c>
      <c r="E38" s="1359"/>
    </row>
    <row r="39" spans="1:5" ht="14.25">
      <c r="A39" s="1359"/>
      <c r="B39" s="3165" t="str">
        <f>B18</f>
        <v>——</v>
      </c>
      <c r="C39" s="1381" t="str">
        <f>C28</f>
        <v>总价</v>
      </c>
      <c r="D39" s="1382" t="str">
        <f>IF('数据-取费表'!E3="否",结果表!I112,'结果表 (1修多)'!I114)</f>
        <v>——</v>
      </c>
      <c r="E39" s="1359"/>
    </row>
    <row r="40" spans="1:5" ht="14.25">
      <c r="A40" s="1359"/>
      <c r="B40" s="3165"/>
      <c r="C40" s="1378" t="s">
        <v>1162</v>
      </c>
      <c r="D40" s="1383" t="e">
        <f>IF('数据-取费表'!B3="万元",NUMBERSTRING(INT(D39*10000),2)&amp;"元整",NUMBERSTRING(INT(D39),2)&amp;"元整")</f>
        <v>#VALUE!</v>
      </c>
      <c r="E40" s="1359"/>
    </row>
    <row r="41" spans="1:5" ht="14.25">
      <c r="A41" s="1359"/>
      <c r="B41" s="3165"/>
      <c r="C41" s="1369" t="s">
        <v>1166</v>
      </c>
      <c r="D41" s="1380" t="str">
        <f>IF('数据-取费表'!E3="否",结果表!D115,'结果表 (1修多)'!D119)</f>
        <v>——</v>
      </c>
      <c r="E41" s="1359"/>
    </row>
    <row r="42" spans="1:5" ht="14.25">
      <c r="A42" s="1359"/>
      <c r="B42" s="3164" t="str">
        <f>B21</f>
        <v>——</v>
      </c>
      <c r="C42" s="1381" t="str">
        <f>C28</f>
        <v>总价</v>
      </c>
      <c r="D42" s="1382" t="str">
        <f>IF('数据-取费表'!E3="否",结果表!I114,'结果表 (1修多)'!I116)</f>
        <v>——</v>
      </c>
      <c r="E42" s="1359"/>
    </row>
    <row r="43" spans="1:5" ht="14.25">
      <c r="A43" s="1359"/>
      <c r="B43" s="3166"/>
      <c r="C43" s="1378" t="s">
        <v>1162</v>
      </c>
      <c r="D43" s="1384" t="e">
        <f>IF('数据-取费表'!B3="万元",NUMBERSTRING(INT(D42*10000),2)&amp;"元整",NUMBERSTRING(INT(D42),2)&amp;"元整")</f>
        <v>#VALUE!</v>
      </c>
      <c r="E43" s="1359"/>
    </row>
    <row r="44" spans="1:5" ht="15" thickBot="1">
      <c r="A44" s="1359"/>
      <c r="B44" s="3167"/>
      <c r="C44" s="1374" t="s">
        <v>1166</v>
      </c>
      <c r="D44" s="1385" t="str">
        <f ca="1">IF('数据-取费表'!E3="否",结果表!D117,'结果表 (1修多)'!D121)</f>
        <v>——</v>
      </c>
      <c r="E44" s="1359"/>
    </row>
    <row r="45" spans="1:5" ht="14.25" thickTop="1">
      <c r="A45" s="1359"/>
      <c r="B45" s="1359" t="str">
        <f>IF('数据-取费表'!B3="元","单位：元、元/平方米（单位：人民币）","单位：万元、元/平方米（单位：人民币）")</f>
        <v>单位：万元、元/平方米（单位：人民币）</v>
      </c>
      <c r="C45" s="1359"/>
      <c r="D45" s="1359"/>
      <c r="E45" s="1359"/>
    </row>
    <row r="46" spans="1:5" ht="18.75">
      <c r="B46" s="1386" t="s">
        <v>1149</v>
      </c>
    </row>
  </sheetData>
  <sheetProtection sheet="1" objects="1" scenarios="1" formatCells="0" formatRows="0" insertRows="0" deleteRows="0"/>
  <mergeCells count="17">
    <mergeCell ref="B21:B23"/>
    <mergeCell ref="A2:E2"/>
    <mergeCell ref="A4:E4"/>
    <mergeCell ref="B7:B9"/>
    <mergeCell ref="C5:D5"/>
    <mergeCell ref="C6:D6"/>
    <mergeCell ref="B10:B11"/>
    <mergeCell ref="B15:B17"/>
    <mergeCell ref="B18:B20"/>
    <mergeCell ref="B28:B30"/>
    <mergeCell ref="B36:B38"/>
    <mergeCell ref="B39:B41"/>
    <mergeCell ref="B42:B44"/>
    <mergeCell ref="B25:D25"/>
    <mergeCell ref="D26:D27"/>
    <mergeCell ref="B26:C27"/>
    <mergeCell ref="B31:B32"/>
  </mergeCells>
  <phoneticPr fontId="84" type="noConversion"/>
  <dataValidations count="1">
    <dataValidation type="list" allowBlank="1" showInputMessage="1" showErrorMessage="1" sqref="B46">
      <formula1>"（转下页）,（本页下方空白无内容）"</formula1>
    </dataValidation>
  </dataValidations>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I26"/>
  <sheetViews>
    <sheetView view="pageLayout" zoomScale="90" zoomScaleNormal="100" zoomScalePageLayoutView="90" workbookViewId="0">
      <selection activeCell="A21" sqref="A21"/>
    </sheetView>
  </sheetViews>
  <sheetFormatPr defaultColWidth="9" defaultRowHeight="14.25"/>
  <cols>
    <col min="1" max="1" width="29.875" style="1344" customWidth="1"/>
    <col min="2" max="9" width="12.25" style="1344" customWidth="1"/>
    <col min="10" max="16384" width="9" style="1344"/>
  </cols>
  <sheetData>
    <row r="1" spans="1:9" ht="16.5" thickBot="1">
      <c r="A1" s="3190" t="str">
        <f>IF(项目基本情况!D5="房地产市场价值","估价结果一览表","结果表-2")</f>
        <v>结果表-2</v>
      </c>
      <c r="B1" s="3190"/>
      <c r="C1" s="3190"/>
      <c r="D1" s="3190"/>
      <c r="E1" s="3190"/>
      <c r="F1" s="3190"/>
      <c r="G1" s="3190"/>
      <c r="H1" s="3190"/>
      <c r="I1" s="3190"/>
    </row>
    <row r="2" spans="1:9" ht="30" customHeight="1" thickTop="1">
      <c r="A2" s="3191" t="s">
        <v>1262</v>
      </c>
      <c r="B2" s="3191" t="s">
        <v>1263</v>
      </c>
      <c r="C2" s="3191" t="s">
        <v>1264</v>
      </c>
      <c r="D2" s="3191" t="str">
        <f>IF('数据-取费表'!E3="否",结果表!D119,'结果表 (1修多)'!D123)</f>
        <v>出让国有建设用地使用权价值</v>
      </c>
      <c r="E2" s="3191"/>
      <c r="F2" s="3191" t="s">
        <v>1265</v>
      </c>
      <c r="G2" s="3191"/>
      <c r="H2" s="3191" t="s">
        <v>1266</v>
      </c>
      <c r="I2" s="3191"/>
    </row>
    <row r="3" spans="1:9" ht="15">
      <c r="A3" s="3184"/>
      <c r="B3" s="3184"/>
      <c r="C3" s="3184"/>
      <c r="D3" s="818" t="s">
        <v>1267</v>
      </c>
      <c r="E3" s="818" t="s">
        <v>1268</v>
      </c>
      <c r="F3" s="818" t="s">
        <v>1267</v>
      </c>
      <c r="G3" s="818" t="s">
        <v>1269</v>
      </c>
      <c r="H3" s="818" t="s">
        <v>1267</v>
      </c>
      <c r="I3" s="818" t="s">
        <v>1269</v>
      </c>
    </row>
    <row r="4" spans="1:9" ht="46.5" customHeight="1">
      <c r="A4" s="818" t="str">
        <f>项目基本情况!I1</f>
        <v>北京市房地产</v>
      </c>
      <c r="B4" s="818">
        <f>结果表!B121</f>
        <v>841.27</v>
      </c>
      <c r="C4" s="818">
        <f>结果表!C121</f>
        <v>0</v>
      </c>
      <c r="D4" s="818">
        <f>IF('数据-取费表'!E3="否",结果表!D121,'结果表 (1修多)'!D125)</f>
        <v>0</v>
      </c>
      <c r="E4" s="818">
        <f>IF('数据-取费表'!E3="否",结果表!E121,'结果表 (1修多)'!E125)</f>
        <v>0</v>
      </c>
      <c r="F4" s="818">
        <f>IF('数据-取费表'!E3="否",结果表!F121,'结果表 (1修多)'!F125)</f>
        <v>0</v>
      </c>
      <c r="G4" s="818">
        <f>IF('数据-取费表'!E3="否",结果表!G121,'结果表 (1修多)'!G125)</f>
        <v>0</v>
      </c>
      <c r="H4" s="818">
        <f ca="1">IF('数据-取费表'!E3="否",结果表!H121,'结果表 (1修多)'!H125)</f>
        <v>2708</v>
      </c>
      <c r="I4" s="818">
        <f ca="1">IF('数据-取费表'!E3="否",结果表!I121,'结果表 (1修多)'!I125)</f>
        <v>32189</v>
      </c>
    </row>
    <row r="5" spans="1:9" ht="15">
      <c r="A5" s="3184" t="s">
        <v>1270</v>
      </c>
      <c r="B5" s="3184"/>
      <c r="C5" s="3184"/>
      <c r="D5" s="3185" t="str">
        <f>IF('数据-取费表'!E3="否",结果表!D122,'结果表 (1修多)'!D126)</f>
        <v>零元整</v>
      </c>
      <c r="E5" s="3185"/>
      <c r="F5" s="3185" t="str">
        <f>IF('数据-取费表'!E3="否",结果表!F122,'结果表 (1修多)'!F126)</f>
        <v>零元整</v>
      </c>
      <c r="G5" s="3185"/>
      <c r="H5" s="3185" t="str">
        <f ca="1">IF('数据-取费表'!E3="否",结果表!H122,'结果表 (1修多)'!H126)</f>
        <v>贰仟柒佰零捌万元整</v>
      </c>
      <c r="I5" s="3185"/>
    </row>
    <row r="6" spans="1:9" ht="15.75">
      <c r="A6" s="3186" t="str">
        <f>IF('数据-取费表'!E3="否",结果表!A123,'结果表 (1修多)'!A127)</f>
        <v>估价师所知悉的法定优先受偿款</v>
      </c>
      <c r="B6" s="3186"/>
      <c r="C6" s="3186"/>
      <c r="D6" s="3186">
        <f>IF('数据-取费表'!E3="否",结果表!D123,'结果表 (1修多)'!D127)</f>
        <v>0</v>
      </c>
      <c r="E6" s="3186"/>
      <c r="F6" s="3186"/>
      <c r="G6" s="3186"/>
      <c r="H6" s="3186"/>
      <c r="I6" s="3186"/>
    </row>
    <row r="7" spans="1:9" ht="15">
      <c r="A7" s="3184" t="s">
        <v>1270</v>
      </c>
      <c r="B7" s="3184"/>
      <c r="C7" s="3184"/>
      <c r="D7" s="3192">
        <f>IF('数据-取费表'!E3="否",结果表!D124,'结果表 (1修多)'!D128)</f>
        <v>0</v>
      </c>
      <c r="E7" s="3193"/>
      <c r="F7" s="3193"/>
      <c r="G7" s="3193"/>
      <c r="H7" s="3193"/>
      <c r="I7" s="3194"/>
    </row>
    <row r="8" spans="1:9" ht="15.75">
      <c r="A8" s="3186" t="str">
        <f>IF('数据-取费表'!E3="否",结果表!A125,'结果表 (1修多)'!A129)</f>
        <v>房地产抵押价值</v>
      </c>
      <c r="B8" s="3186"/>
      <c r="C8" s="3186"/>
      <c r="D8" s="3186">
        <f ca="1">IF('数据-取费表'!E3="否",结果表!D125,'结果表 (1修多)'!D129)</f>
        <v>2708</v>
      </c>
      <c r="E8" s="3186"/>
      <c r="F8" s="3186"/>
      <c r="G8" s="3186"/>
      <c r="H8" s="3186"/>
      <c r="I8" s="3186"/>
    </row>
    <row r="9" spans="1:9" ht="15">
      <c r="A9" s="3184" t="s">
        <v>1270</v>
      </c>
      <c r="B9" s="3184"/>
      <c r="C9" s="3184"/>
      <c r="D9" s="3185">
        <f ca="1">IF('数据-取费表'!E3="否",结果表!D126,'结果表 (1修多)'!D130)</f>
        <v>32189</v>
      </c>
      <c r="E9" s="3185"/>
      <c r="F9" s="3185"/>
      <c r="G9" s="3185"/>
      <c r="H9" s="3185"/>
      <c r="I9" s="3185"/>
    </row>
    <row r="10" spans="1:9" ht="15.75">
      <c r="A10" s="3186" t="str">
        <f>IF('数据-取费表'!E3="否",结果表!A127,'结果表 (1修多)'!A131)</f>
        <v/>
      </c>
      <c r="B10" s="3186"/>
      <c r="C10" s="3186"/>
      <c r="D10" s="3186">
        <f ca="1">IF('数据-取费表'!E3="否",结果表!D127,'结果表 (1修多)'!D130)</f>
        <v>32189</v>
      </c>
      <c r="E10" s="3186"/>
      <c r="F10" s="3186"/>
      <c r="G10" s="3186"/>
      <c r="H10" s="3186"/>
      <c r="I10" s="3186"/>
    </row>
    <row r="11" spans="1:9" ht="15">
      <c r="A11" s="3184" t="s">
        <v>1270</v>
      </c>
      <c r="B11" s="3184"/>
      <c r="C11" s="3184"/>
      <c r="D11" s="3185" t="str">
        <f>IF('数据-取费表'!E3="否",结果表!D128,'结果表 (1修多)'!D132)</f>
        <v>——</v>
      </c>
      <c r="E11" s="3185"/>
      <c r="F11" s="3185"/>
      <c r="G11" s="3185"/>
      <c r="H11" s="3185"/>
      <c r="I11" s="3185"/>
    </row>
    <row r="12" spans="1:9" ht="15.75">
      <c r="A12" s="3186" t="str">
        <f>IF('数据-取费表'!E3="否",结果表!A129,'结果表 (1修多)'!A133)</f>
        <v/>
      </c>
      <c r="B12" s="3186"/>
      <c r="C12" s="3186"/>
      <c r="D12" s="3186" t="str">
        <f>IF('数据-取费表'!E3="否",结果表!D129,'结果表 (1修多)'!D133)</f>
        <v>——</v>
      </c>
      <c r="E12" s="3186"/>
      <c r="F12" s="3186"/>
      <c r="G12" s="3186"/>
      <c r="H12" s="3186"/>
      <c r="I12" s="3186"/>
    </row>
    <row r="13" spans="1:9" ht="15.75" thickBot="1">
      <c r="A13" s="3187" t="s">
        <v>1270</v>
      </c>
      <c r="B13" s="3187"/>
      <c r="C13" s="3187"/>
      <c r="D13" s="3188">
        <f>IF('数据-取费表'!E3="否",结果表!D130,'结果表 (1修多)'!D134)</f>
        <v>0</v>
      </c>
      <c r="E13" s="3188"/>
      <c r="F13" s="3188"/>
      <c r="G13" s="3188"/>
      <c r="H13" s="3188"/>
      <c r="I13" s="3188"/>
    </row>
    <row r="14" spans="1:9" ht="15" thickTop="1">
      <c r="A14" s="3189" t="str">
        <f>IF('数据-取费表'!E3="否",结果表!A131,'结果表 (1修多)'!A135)</f>
        <v>单位：平方米、万元、元/平方米（币种：人民币）</v>
      </c>
      <c r="B14" s="3189"/>
      <c r="C14" s="3189"/>
      <c r="D14" s="3189"/>
      <c r="E14" s="3189"/>
      <c r="F14" s="3189"/>
      <c r="G14" s="3189"/>
      <c r="H14" s="3189"/>
      <c r="I14" s="3189"/>
    </row>
    <row r="15" spans="1:9">
      <c r="A15" s="605"/>
      <c r="B15" s="605"/>
      <c r="C15" s="605"/>
      <c r="D15" s="605"/>
      <c r="E15" s="605"/>
      <c r="F15" s="605"/>
      <c r="G15" s="605"/>
      <c r="H15" s="605"/>
      <c r="I15" s="605"/>
    </row>
    <row r="16" spans="1:9" ht="18.75">
      <c r="A16" s="1387" t="s">
        <v>1271</v>
      </c>
      <c r="B16" s="605"/>
      <c r="C16" s="605"/>
      <c r="D16" s="605"/>
      <c r="E16" s="605"/>
      <c r="F16" s="605"/>
      <c r="G16" s="605"/>
      <c r="H16" s="605"/>
      <c r="I16" s="605"/>
    </row>
    <row r="17" spans="1:9">
      <c r="A17" s="605"/>
      <c r="B17" s="605"/>
      <c r="C17" s="605"/>
      <c r="D17" s="605"/>
      <c r="E17" s="605"/>
      <c r="F17" s="605"/>
      <c r="G17" s="605"/>
      <c r="H17" s="605"/>
      <c r="I17" s="605"/>
    </row>
    <row r="18" spans="1:9">
      <c r="A18" s="605"/>
      <c r="B18" s="605"/>
      <c r="C18" s="605"/>
      <c r="D18" s="605"/>
      <c r="E18" s="605"/>
      <c r="F18" s="605"/>
      <c r="G18" s="605"/>
      <c r="H18" s="605"/>
      <c r="I18" s="605"/>
    </row>
    <row r="19" spans="1:9">
      <c r="A19" s="605"/>
      <c r="B19" s="605"/>
      <c r="C19" s="605"/>
      <c r="D19" s="605"/>
      <c r="E19" s="605"/>
      <c r="F19" s="605"/>
      <c r="G19" s="605"/>
      <c r="H19" s="605"/>
      <c r="I19" s="605"/>
    </row>
    <row r="20" spans="1:9">
      <c r="A20" s="605"/>
      <c r="B20" s="605"/>
      <c r="C20" s="605"/>
      <c r="D20" s="605"/>
      <c r="E20" s="605"/>
      <c r="F20" s="605"/>
      <c r="G20" s="605"/>
      <c r="H20" s="605"/>
      <c r="I20" s="605"/>
    </row>
    <row r="21" spans="1:9">
      <c r="A21" s="605"/>
      <c r="B21" s="605"/>
      <c r="C21" s="605"/>
      <c r="D21" s="605"/>
      <c r="E21" s="605"/>
      <c r="F21" s="605"/>
      <c r="G21" s="605"/>
      <c r="H21" s="605"/>
      <c r="I21" s="605"/>
    </row>
    <row r="22" spans="1:9">
      <c r="A22" s="605"/>
      <c r="B22" s="605"/>
      <c r="C22" s="605"/>
      <c r="D22" s="605"/>
      <c r="E22" s="605"/>
      <c r="F22" s="605"/>
      <c r="G22" s="605"/>
      <c r="H22" s="605"/>
      <c r="I22" s="605"/>
    </row>
    <row r="23" spans="1:9">
      <c r="A23" s="605"/>
      <c r="B23" s="605"/>
      <c r="C23" s="605"/>
      <c r="D23" s="605"/>
      <c r="E23" s="605"/>
      <c r="F23" s="605"/>
      <c r="G23" s="605"/>
      <c r="H23" s="605"/>
      <c r="I23" s="605"/>
    </row>
    <row r="24" spans="1:9">
      <c r="A24" s="605"/>
      <c r="B24" s="605"/>
      <c r="C24" s="605"/>
      <c r="D24" s="605"/>
      <c r="E24" s="605"/>
      <c r="F24" s="605"/>
      <c r="G24" s="605"/>
      <c r="H24" s="605"/>
      <c r="I24" s="605"/>
    </row>
    <row r="25" spans="1:9">
      <c r="A25" s="605"/>
      <c r="B25" s="605"/>
      <c r="C25" s="605"/>
      <c r="D25" s="605"/>
      <c r="E25" s="605"/>
      <c r="F25" s="605"/>
      <c r="G25" s="605"/>
      <c r="H25" s="605"/>
      <c r="I25" s="605"/>
    </row>
    <row r="26" spans="1:9">
      <c r="A26" s="605"/>
      <c r="B26" s="605"/>
      <c r="C26" s="605"/>
      <c r="D26" s="605"/>
      <c r="E26" s="605"/>
      <c r="F26" s="605"/>
      <c r="G26" s="605"/>
      <c r="H26" s="605"/>
      <c r="I26" s="605"/>
    </row>
  </sheetData>
  <sheetProtection sheet="1" objects="1" scenarios="1" formatCells="0" formatRows="0" insertRows="0" deleteRows="0"/>
  <mergeCells count="28">
    <mergeCell ref="F5:G5"/>
    <mergeCell ref="A6:C6"/>
    <mergeCell ref="A7:C7"/>
    <mergeCell ref="A8:C8"/>
    <mergeCell ref="D6:I6"/>
    <mergeCell ref="D7:I7"/>
    <mergeCell ref="D8:I8"/>
    <mergeCell ref="H5:I5"/>
    <mergeCell ref="A5:C5"/>
    <mergeCell ref="D5:E5"/>
    <mergeCell ref="A1:I1"/>
    <mergeCell ref="A2:A3"/>
    <mergeCell ref="B2:B3"/>
    <mergeCell ref="C2:C3"/>
    <mergeCell ref="D2:E2"/>
    <mergeCell ref="F2:G2"/>
    <mergeCell ref="H2:I2"/>
    <mergeCell ref="A12:C12"/>
    <mergeCell ref="D12:I12"/>
    <mergeCell ref="A13:C13"/>
    <mergeCell ref="D13:I13"/>
    <mergeCell ref="A14:I14"/>
    <mergeCell ref="A9:C9"/>
    <mergeCell ref="D9:I9"/>
    <mergeCell ref="A10:C10"/>
    <mergeCell ref="D10:I10"/>
    <mergeCell ref="A11:C11"/>
    <mergeCell ref="D11:I11"/>
  </mergeCells>
  <phoneticPr fontId="85" type="noConversion"/>
  <printOptions horizontalCentered="1"/>
  <pageMargins left="0.98425196850393704" right="0.78740157480314965" top="0.98425196850393704" bottom="0.98425196850393704" header="0.59055118110236227" footer="0.59055118110236227"/>
  <pageSetup paperSize="9" orientation="landscape" r:id="rId1"/>
  <headerFooter>
    <oddHeader>&amp;C&amp;G</oddHeader>
    <oddFooter>&amp;C&amp;P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D29"/>
  <sheetViews>
    <sheetView view="pageLayout" zoomScale="80" zoomScaleNormal="100" zoomScaleSheetLayoutView="90" zoomScalePageLayoutView="80" workbookViewId="0">
      <selection activeCell="A26" sqref="A26"/>
    </sheetView>
  </sheetViews>
  <sheetFormatPr defaultColWidth="9" defaultRowHeight="14.25"/>
  <cols>
    <col min="1" max="1" width="15.125" style="1344" customWidth="1"/>
    <col min="2" max="2" width="24" style="1344" customWidth="1"/>
    <col min="3" max="3" width="23.25" style="1344" customWidth="1"/>
    <col min="4" max="4" width="21" style="1344" customWidth="1"/>
    <col min="5" max="16384" width="9" style="1344"/>
  </cols>
  <sheetData>
    <row r="1" spans="1:4" ht="18.75">
      <c r="A1" s="3196" t="s">
        <v>1283</v>
      </c>
      <c r="B1" s="3196"/>
      <c r="C1" s="3196"/>
      <c r="D1" s="3196"/>
    </row>
    <row r="2" spans="1:4" ht="18">
      <c r="A2" s="3195" t="s">
        <v>1272</v>
      </c>
      <c r="B2" s="3195"/>
      <c r="C2" s="3195"/>
      <c r="D2" s="3195"/>
    </row>
    <row r="3" spans="1:4" ht="18.75">
      <c r="A3" s="1388" t="s">
        <v>1273</v>
      </c>
      <c r="B3" s="1388" t="s">
        <v>1274</v>
      </c>
      <c r="C3" s="1388" t="s">
        <v>1275</v>
      </c>
      <c r="D3" s="1388" t="s">
        <v>1276</v>
      </c>
    </row>
    <row r="4" spans="1:4" ht="56.25" customHeight="1">
      <c r="A4" s="1389" t="str">
        <f>项目基本情况!B3</f>
        <v>吴薇</v>
      </c>
      <c r="B4" s="1390">
        <f ca="1">项目基本情况!C3</f>
        <v>1419970001</v>
      </c>
      <c r="C4" s="1391"/>
      <c r="D4" s="1392" t="s">
        <v>1284</v>
      </c>
    </row>
    <row r="5" spans="1:4" ht="56.25" customHeight="1">
      <c r="A5" s="1389" t="str">
        <f>项目基本情况!D3</f>
        <v>郑燚</v>
      </c>
      <c r="B5" s="1390">
        <f ca="1">项目基本情况!E3</f>
        <v>1120070131</v>
      </c>
      <c r="C5" s="1393"/>
      <c r="D5" s="1392" t="s">
        <v>1284</v>
      </c>
    </row>
    <row r="6" spans="1:4" ht="12" customHeight="1">
      <c r="A6" s="1389"/>
      <c r="B6" s="1390"/>
      <c r="C6" s="1394"/>
      <c r="D6" s="1392"/>
    </row>
    <row r="7" spans="1:4" ht="18">
      <c r="A7" s="3195" t="s">
        <v>1277</v>
      </c>
      <c r="B7" s="3195"/>
      <c r="C7" s="3195"/>
      <c r="D7" s="3195"/>
    </row>
    <row r="8" spans="1:4" ht="18.75">
      <c r="A8" s="1388" t="s">
        <v>1273</v>
      </c>
      <c r="B8" s="1390" t="s">
        <v>1278</v>
      </c>
      <c r="C8" s="1388" t="s">
        <v>1275</v>
      </c>
      <c r="D8" s="1388" t="s">
        <v>1276</v>
      </c>
    </row>
    <row r="9" spans="1:4" ht="56.25" customHeight="1">
      <c r="A9" s="1395" t="s">
        <v>777</v>
      </c>
      <c r="B9" s="1395" t="s">
        <v>778</v>
      </c>
      <c r="C9" s="1391"/>
      <c r="D9" s="1392" t="s">
        <v>1284</v>
      </c>
    </row>
    <row r="11" spans="1:4" ht="18.75">
      <c r="A11" s="1396" t="s">
        <v>1279</v>
      </c>
    </row>
    <row r="12" spans="1:4" ht="30" customHeight="1">
      <c r="A12" s="3197" t="s">
        <v>2738</v>
      </c>
      <c r="B12" s="3198"/>
      <c r="C12" s="3198"/>
      <c r="D12" s="3198"/>
    </row>
    <row r="13" spans="1:4" ht="15.75">
      <c r="A13" s="3197" t="str">
        <f>IF(项目基本情况!D4="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3" s="3198"/>
      <c r="C13" s="3198"/>
      <c r="D13" s="3198"/>
    </row>
    <row r="14" spans="1:4" ht="30" customHeight="1">
      <c r="A14" s="3197" t="str">
        <f>IF(项目基本情况!D4="抵押","3.抵押双方在办理抵押登记手续时，应使用本公司出具的正式《不动产估价报告书》，特提醒报告使用者注意。","——")</f>
        <v>3.抵押双方在办理抵押登记手续时，应使用本公司出具的正式《不动产估价报告书》，特提醒报告使用者注意。</v>
      </c>
      <c r="B14" s="3198"/>
      <c r="C14" s="3198"/>
      <c r="D14" s="3198"/>
    </row>
    <row r="15" spans="1:4" ht="15.75" customHeight="1">
      <c r="A15" s="3197" t="str">
        <f>IF(项目基本情况!D4="抵押","4.本次评估估价师所知悉的法定优先受偿款情况说明如下：","——")</f>
        <v>4.本次评估估价师所知悉的法定优先受偿款情况说明如下：</v>
      </c>
      <c r="B15" s="3198"/>
      <c r="C15" s="3198"/>
      <c r="D15" s="3198"/>
    </row>
    <row r="16" spans="1:4" ht="75" customHeight="1">
      <c r="A16" s="3197" t="str">
        <f>IF(项目基本情况!D4="抵押",CONCATENATE(项目基本情况!J13,项目基本情况!J14,项目基本情况!J15),"——")</f>
        <v>根据估价对象、，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6" s="3197"/>
      <c r="C16" s="3197"/>
      <c r="D16" s="3197"/>
    </row>
    <row r="17" spans="1:4" ht="63.75" customHeight="1">
      <c r="A17" s="3199" t="s">
        <v>1285</v>
      </c>
      <c r="B17" s="3199"/>
      <c r="C17" s="3199"/>
      <c r="D17" s="3199"/>
    </row>
    <row r="18" spans="1:4" ht="15.75" customHeight="1">
      <c r="A18" s="3197" t="str">
        <f>IF(项目基本情况!D4="抵押",结果表!L106,"——")</f>
        <v>本次评估不存在估价师所知悉的法定优先受偿款。</v>
      </c>
      <c r="B18" s="3197"/>
      <c r="C18" s="3197"/>
      <c r="D18" s="3197"/>
    </row>
    <row r="19" spans="1:4" ht="46.5" customHeight="1">
      <c r="A19" s="3197" t="str">
        <f>IF(项目基本情况!D4="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197"/>
      <c r="C19" s="3197"/>
      <c r="D19" s="3197"/>
    </row>
    <row r="20" spans="1:4" ht="15">
      <c r="A20" s="3199" t="s">
        <v>2739</v>
      </c>
      <c r="B20" s="3199"/>
      <c r="C20" s="3199"/>
      <c r="D20" s="3199"/>
    </row>
    <row r="21" spans="1:4">
      <c r="A21" s="1397"/>
      <c r="B21" s="980"/>
      <c r="C21" s="980"/>
      <c r="D21" s="980"/>
    </row>
    <row r="22" spans="1:4">
      <c r="A22" s="1397"/>
      <c r="B22" s="980"/>
      <c r="C22" s="980"/>
      <c r="D22" s="980"/>
    </row>
    <row r="23" spans="1:4" ht="18.75">
      <c r="A23" s="1358" t="s">
        <v>1280</v>
      </c>
    </row>
    <row r="24" spans="1:4" ht="18">
      <c r="A24" s="1358"/>
    </row>
    <row r="25" spans="1:4" ht="18.75">
      <c r="A25" s="1358" t="s">
        <v>1281</v>
      </c>
    </row>
    <row r="28" spans="1:4" ht="21" customHeight="1">
      <c r="D28" s="1398" t="s">
        <v>1282</v>
      </c>
    </row>
    <row r="29" spans="1:4" ht="21" customHeight="1">
      <c r="C29" s="1399"/>
      <c r="D29" s="1400">
        <v>42551</v>
      </c>
    </row>
  </sheetData>
  <sheetProtection sheet="1" objects="1" scenarios="1" formatCells="0" formatRows="0" insertRows="0" deleteRows="0"/>
  <mergeCells count="12">
    <mergeCell ref="A19:D19"/>
    <mergeCell ref="A18:D18"/>
    <mergeCell ref="A20:D20"/>
    <mergeCell ref="A14:D14"/>
    <mergeCell ref="A15:D15"/>
    <mergeCell ref="A16:D16"/>
    <mergeCell ref="A17:D17"/>
    <mergeCell ref="A2:D2"/>
    <mergeCell ref="A7:D7"/>
    <mergeCell ref="A1:D1"/>
    <mergeCell ref="A12:D12"/>
    <mergeCell ref="A13:D13"/>
  </mergeCells>
  <phoneticPr fontId="84"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G32"/>
  <sheetViews>
    <sheetView workbookViewId="0">
      <pane ySplit="1" topLeftCell="A2" activePane="bottomLeft" state="frozen"/>
      <selection activeCell="A11" sqref="A11:D11"/>
      <selection pane="bottomLeft" activeCell="D25" sqref="D25"/>
    </sheetView>
  </sheetViews>
  <sheetFormatPr defaultColWidth="14.5" defaultRowHeight="15.75"/>
  <cols>
    <col min="1" max="1" width="14.5" style="1406" customWidth="1"/>
    <col min="2" max="16384" width="14.5" style="605"/>
  </cols>
  <sheetData>
    <row r="1" spans="1:7" s="1387" customFormat="1" ht="18.75">
      <c r="A1" s="603" t="s">
        <v>1352</v>
      </c>
    </row>
    <row r="3" spans="1:7" ht="14.25">
      <c r="A3" s="1404" t="s">
        <v>1353</v>
      </c>
      <c r="B3" s="605" t="s">
        <v>1354</v>
      </c>
      <c r="G3" s="1405"/>
    </row>
    <row r="4" spans="1:7">
      <c r="G4" s="1405"/>
    </row>
    <row r="5" spans="1:7" ht="14.25">
      <c r="A5" s="1407" t="s">
        <v>1355</v>
      </c>
      <c r="B5" s="605" t="s">
        <v>1356</v>
      </c>
      <c r="G5" s="1405"/>
    </row>
    <row r="6" spans="1:7">
      <c r="G6" s="1405"/>
    </row>
    <row r="7" spans="1:7" ht="14.25">
      <c r="A7" s="1408" t="s">
        <v>1357</v>
      </c>
      <c r="B7" s="605" t="s">
        <v>1358</v>
      </c>
      <c r="G7" s="1405"/>
    </row>
    <row r="8" spans="1:7">
      <c r="G8" s="1405"/>
    </row>
    <row r="9" spans="1:7">
      <c r="A9" s="1409" t="s">
        <v>1359</v>
      </c>
      <c r="B9" s="605" t="s">
        <v>1360</v>
      </c>
    </row>
    <row r="11" spans="1:7">
      <c r="A11" s="1410" t="s">
        <v>1361</v>
      </c>
      <c r="B11" s="1411" t="s">
        <v>1362</v>
      </c>
    </row>
    <row r="13" spans="1:7">
      <c r="A13" s="1190" t="s">
        <v>1363</v>
      </c>
    </row>
    <row r="15" spans="1:7" ht="14.25">
      <c r="A15" s="3205" t="s">
        <v>1364</v>
      </c>
      <c r="B15" s="3200" t="s">
        <v>1365</v>
      </c>
      <c r="C15" s="3201"/>
    </row>
    <row r="16" spans="1:7" ht="14.25">
      <c r="A16" s="3206"/>
      <c r="B16" s="3200" t="s">
        <v>1366</v>
      </c>
      <c r="C16" s="3201"/>
    </row>
    <row r="17" spans="1:3" ht="14.25">
      <c r="A17" s="3206"/>
      <c r="B17" s="3200" t="s">
        <v>1367</v>
      </c>
      <c r="C17" s="3201"/>
    </row>
    <row r="18" spans="1:3" ht="14.25">
      <c r="A18" s="3207"/>
      <c r="B18" s="3202" t="s">
        <v>1368</v>
      </c>
      <c r="C18" s="3201"/>
    </row>
    <row r="19" spans="1:3" ht="14.25">
      <c r="A19" s="1412" t="s">
        <v>1369</v>
      </c>
      <c r="B19" s="1413"/>
      <c r="C19" s="1414"/>
    </row>
    <row r="20" spans="1:3" ht="14.25">
      <c r="A20" s="3203" t="s">
        <v>1370</v>
      </c>
      <c r="B20" s="3202" t="s">
        <v>1371</v>
      </c>
      <c r="C20" s="3201"/>
    </row>
    <row r="21" spans="1:3" ht="14.25">
      <c r="A21" s="3203"/>
      <c r="B21" s="3202" t="s">
        <v>1372</v>
      </c>
      <c r="C21" s="3201"/>
    </row>
    <row r="22" spans="1:3" ht="14.25">
      <c r="A22" s="3203"/>
      <c r="B22" s="3202" t="s">
        <v>1373</v>
      </c>
      <c r="C22" s="3201"/>
    </row>
    <row r="23" spans="1:3" ht="14.25">
      <c r="A23" s="3203"/>
      <c r="B23" s="3204" t="s">
        <v>1374</v>
      </c>
      <c r="C23" s="1415" t="s">
        <v>1375</v>
      </c>
    </row>
    <row r="24" spans="1:3" ht="14.25">
      <c r="A24" s="3203"/>
      <c r="B24" s="3204"/>
      <c r="C24" s="1415" t="s">
        <v>1376</v>
      </c>
    </row>
    <row r="25" spans="1:3" ht="14.25">
      <c r="A25" s="3203"/>
      <c r="B25" s="3204"/>
      <c r="C25" s="1415" t="s">
        <v>1377</v>
      </c>
    </row>
    <row r="26" spans="1:3" ht="14.25">
      <c r="A26" s="3203"/>
      <c r="B26" s="3204"/>
      <c r="C26" s="1415" t="s">
        <v>1378</v>
      </c>
    </row>
    <row r="27" spans="1:3" ht="14.25">
      <c r="A27" s="3203"/>
      <c r="B27" s="3204"/>
      <c r="C27" s="1415" t="s">
        <v>1379</v>
      </c>
    </row>
    <row r="28" spans="1:3" ht="14.25">
      <c r="A28" s="3203"/>
      <c r="B28" s="3204"/>
      <c r="C28" s="1415" t="s">
        <v>1380</v>
      </c>
    </row>
    <row r="29" spans="1:3" ht="14.25">
      <c r="A29" s="3203"/>
      <c r="B29" s="3204"/>
      <c r="C29" s="1415" t="s">
        <v>1381</v>
      </c>
    </row>
    <row r="30" spans="1:3" ht="14.25">
      <c r="A30" s="3203"/>
      <c r="B30" s="3204"/>
      <c r="C30" s="1415" t="s">
        <v>1382</v>
      </c>
    </row>
    <row r="31" spans="1:3" ht="14.25">
      <c r="A31" s="3203"/>
      <c r="B31" s="3204"/>
      <c r="C31" s="1415" t="s">
        <v>1383</v>
      </c>
    </row>
    <row r="32" spans="1:3">
      <c r="A32" s="1416" t="s">
        <v>1384</v>
      </c>
    </row>
  </sheetData>
  <sheetProtection password="CEE9" sheet="1" objects="1" scenarios="1" formatCells="0" formatColumns="0" formatRows="0"/>
  <mergeCells count="10">
    <mergeCell ref="B17:C17"/>
    <mergeCell ref="B15:C15"/>
    <mergeCell ref="B21:C21"/>
    <mergeCell ref="B22:C22"/>
    <mergeCell ref="A20:A31"/>
    <mergeCell ref="B23:B31"/>
    <mergeCell ref="B16:C16"/>
    <mergeCell ref="B18:C18"/>
    <mergeCell ref="B20:C20"/>
    <mergeCell ref="A15:A18"/>
  </mergeCells>
  <phoneticPr fontId="28" type="noConversion"/>
  <dataValidations count="1">
    <dataValidation type="list" allowBlank="1" showInputMessage="1" showErrorMessage="1" sqref="A5">
      <formula1>"下拉菜单,111,222,333"</formula1>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2"/>
  <sheetViews>
    <sheetView view="pageBreakPreview" zoomScale="60" zoomScaleNormal="100" workbookViewId="0">
      <selection activeCell="E24" sqref="E24"/>
    </sheetView>
  </sheetViews>
  <sheetFormatPr defaultColWidth="22.625" defaultRowHeight="24" customHeight="1"/>
  <cols>
    <col min="1" max="1" width="24.625" style="3057" customWidth="1"/>
    <col min="2" max="2" width="38.625" style="3057" customWidth="1"/>
    <col min="3" max="3" width="26" style="3057" customWidth="1"/>
    <col min="4" max="4" width="35" style="3057" hidden="1" customWidth="1"/>
    <col min="5" max="5" width="30.125" style="3057" customWidth="1"/>
    <col min="6" max="6" width="35.5" style="3057" customWidth="1"/>
    <col min="7" max="7" width="31" style="3057" customWidth="1"/>
    <col min="8" max="8" width="37.5" style="3057" hidden="1" customWidth="1"/>
    <col min="9" max="16384" width="22.625" style="3057"/>
  </cols>
  <sheetData>
    <row r="1" spans="1:8" ht="24" customHeight="1">
      <c r="A1" s="3060"/>
      <c r="B1" s="3060"/>
      <c r="C1" s="3060"/>
      <c r="D1" s="3060"/>
      <c r="E1" s="3060"/>
      <c r="F1" s="3060"/>
      <c r="G1" s="3060"/>
      <c r="H1" s="3060"/>
    </row>
    <row r="2" spans="1:8" ht="24" customHeight="1">
      <c r="A2" s="3061" t="s">
        <v>746</v>
      </c>
      <c r="B2" s="3062">
        <f ca="1">TODAY()</f>
        <v>44336</v>
      </c>
      <c r="C2" s="3063" t="s">
        <v>747</v>
      </c>
      <c r="D2" s="3063"/>
      <c r="E2" s="3063"/>
      <c r="F2" s="3060"/>
      <c r="G2" s="3060"/>
      <c r="H2" s="3060"/>
    </row>
    <row r="3" spans="1:8" ht="24" customHeight="1">
      <c r="A3" s="3064" t="s">
        <v>748</v>
      </c>
      <c r="B3" s="3065" t="s">
        <v>749</v>
      </c>
      <c r="C3" s="3065" t="s">
        <v>750</v>
      </c>
      <c r="D3" s="3066" t="s">
        <v>772</v>
      </c>
      <c r="E3" s="3079" t="s">
        <v>751</v>
      </c>
      <c r="F3" s="1301" t="s">
        <v>752</v>
      </c>
      <c r="G3" s="3065" t="s">
        <v>750</v>
      </c>
      <c r="H3" s="3066" t="s">
        <v>773</v>
      </c>
    </row>
    <row r="4" spans="1:8" ht="24" customHeight="1">
      <c r="A4" s="1301" t="s">
        <v>753</v>
      </c>
      <c r="B4" s="1301">
        <f ca="1">IF(C4&lt;B2,"已过期",1119970066)</f>
        <v>1119970066</v>
      </c>
      <c r="C4" s="3067">
        <v>44876</v>
      </c>
      <c r="D4" s="3078" t="str">
        <f ca="1">A4&amp;"（注册号："&amp;B4&amp;"）"</f>
        <v>梁津（注册号：1119970066）</v>
      </c>
      <c r="E4" s="3080" t="s">
        <v>753</v>
      </c>
      <c r="F4" s="1301">
        <f ca="1">IF(G4&lt;B2,"已过期",96010014)</f>
        <v>96010014</v>
      </c>
      <c r="G4" s="3068">
        <v>47118</v>
      </c>
      <c r="H4" s="3069" t="str">
        <f ca="1">E4&amp;"（注册号："&amp;F4&amp;"）"</f>
        <v>梁津（注册号：96010014）</v>
      </c>
    </row>
    <row r="5" spans="1:8" ht="24" customHeight="1">
      <c r="A5" s="1301" t="s">
        <v>754</v>
      </c>
      <c r="B5" s="1301">
        <f ca="1">IF(C5&lt;B2,"已过期",1119970111)</f>
        <v>1119970111</v>
      </c>
      <c r="C5" s="3067">
        <v>44876</v>
      </c>
      <c r="D5" s="3078" t="str">
        <f t="shared" ref="D5:D14" ca="1" si="0">A5&amp;"（注册号："&amp;B5&amp;"）"</f>
        <v>叶凌（注册号：1119970111）</v>
      </c>
      <c r="E5" s="3080" t="s">
        <v>754</v>
      </c>
      <c r="F5" s="1301">
        <f ca="1">IF(G5&lt;B2,"已过期",94010078)</f>
        <v>94010078</v>
      </c>
      <c r="G5" s="3068">
        <v>46387</v>
      </c>
      <c r="H5" s="3069" t="str">
        <f t="shared" ref="H5:H16" ca="1" si="1">E5&amp;"（注册号："&amp;F5&amp;"）"</f>
        <v>叶凌（注册号：94010078）</v>
      </c>
    </row>
    <row r="6" spans="1:8" ht="24" customHeight="1">
      <c r="A6" s="1301" t="s">
        <v>755</v>
      </c>
      <c r="B6" s="1301">
        <f ca="1">IF(C6&lt;B2,"已过期",1120050019)</f>
        <v>1120050019</v>
      </c>
      <c r="C6" s="3067">
        <v>44395</v>
      </c>
      <c r="D6" s="3078" t="str">
        <f t="shared" ca="1" si="0"/>
        <v>王鹏（注册号：1120050019）</v>
      </c>
      <c r="E6" s="3080" t="s">
        <v>755</v>
      </c>
      <c r="F6" s="1301">
        <f ca="1">IF(G6&lt;B2,"已过期",2002110030)</f>
        <v>2002110030</v>
      </c>
      <c r="G6" s="3068">
        <v>46387</v>
      </c>
      <c r="H6" s="3069" t="str">
        <f t="shared" ca="1" si="1"/>
        <v>王鹏（注册号：2002110030）</v>
      </c>
    </row>
    <row r="7" spans="1:8" ht="24" customHeight="1">
      <c r="A7" s="1301" t="s">
        <v>756</v>
      </c>
      <c r="B7" s="1301">
        <f ca="1">IF(C7&lt;B2,"已过期",1120000080)</f>
        <v>1120000080</v>
      </c>
      <c r="C7" s="3067">
        <v>44876</v>
      </c>
      <c r="D7" s="3078" t="str">
        <f t="shared" ca="1" si="0"/>
        <v>欧红伟（注册号：1120000080）</v>
      </c>
      <c r="E7" s="3080" t="s">
        <v>756</v>
      </c>
      <c r="F7" s="1301">
        <f ca="1">IF(G7&lt;B2,"已过期",2000110082)</f>
        <v>2000110082</v>
      </c>
      <c r="G7" s="3068">
        <v>46387</v>
      </c>
      <c r="H7" s="3069" t="str">
        <f t="shared" ca="1" si="1"/>
        <v>欧红伟（注册号：2000110082）</v>
      </c>
    </row>
    <row r="8" spans="1:8" ht="24" customHeight="1">
      <c r="A8" s="1301" t="s">
        <v>757</v>
      </c>
      <c r="B8" s="1301">
        <f ca="1">IF(C8&lt;B2,"已过期",1419970001)</f>
        <v>1419970001</v>
      </c>
      <c r="C8" s="3067">
        <v>44899</v>
      </c>
      <c r="D8" s="3078" t="str">
        <f t="shared" ca="1" si="0"/>
        <v>吴薇（注册号：1419970001）</v>
      </c>
      <c r="E8" s="3080" t="s">
        <v>757</v>
      </c>
      <c r="F8" s="1301">
        <f ca="1">IF(G8&lt;B2,"已过期",2002110125)</f>
        <v>2002110125</v>
      </c>
      <c r="G8" s="3068">
        <v>47118</v>
      </c>
      <c r="H8" s="3069" t="str">
        <f t="shared" ca="1" si="1"/>
        <v>吴薇（注册号：2002110125）</v>
      </c>
    </row>
    <row r="9" spans="1:8" ht="24" customHeight="1">
      <c r="A9" s="1301" t="s">
        <v>758</v>
      </c>
      <c r="B9" s="1301">
        <f ca="1">IF(C9&lt;B2,"已过期",1120060040)</f>
        <v>1120060040</v>
      </c>
      <c r="C9" s="3070">
        <v>44554</v>
      </c>
      <c r="D9" s="3078" t="str">
        <f t="shared" ca="1" si="0"/>
        <v>陈颖（注册号：1120060040）</v>
      </c>
      <c r="E9" s="3080" t="s">
        <v>758</v>
      </c>
      <c r="F9" s="1301">
        <f ca="1">IF(G9&lt;B2,"已过期",2004110096)</f>
        <v>2004110096</v>
      </c>
      <c r="G9" s="3068">
        <v>47118</v>
      </c>
      <c r="H9" s="3069" t="str">
        <f t="shared" ca="1" si="1"/>
        <v>陈颖（注册号：2004110096）</v>
      </c>
    </row>
    <row r="10" spans="1:8" ht="24" customHeight="1">
      <c r="A10" s="1301" t="s">
        <v>759</v>
      </c>
      <c r="B10" s="1301">
        <f ca="1">IF(C10&lt;B2,"已过期",1120100036)</f>
        <v>1120100036</v>
      </c>
      <c r="C10" s="3070">
        <v>44675</v>
      </c>
      <c r="D10" s="3078" t="str">
        <f t="shared" ca="1" si="0"/>
        <v>崔锴（注册号：1120100036）</v>
      </c>
      <c r="E10" s="3080" t="s">
        <v>759</v>
      </c>
      <c r="F10" s="1301">
        <f ca="1">IF(G10&lt;B2,"已过期",2010110070)</f>
        <v>2010110070</v>
      </c>
      <c r="G10" s="3068">
        <v>47907</v>
      </c>
      <c r="H10" s="3069" t="str">
        <f t="shared" ca="1" si="1"/>
        <v>崔锴（注册号：2010110070）</v>
      </c>
    </row>
    <row r="11" spans="1:8" ht="24" customHeight="1">
      <c r="A11" s="1301" t="s">
        <v>760</v>
      </c>
      <c r="B11" s="1301">
        <f ca="1">IF(C11&lt;B2,"已过期",1120070131)</f>
        <v>1120070131</v>
      </c>
      <c r="C11" s="3067">
        <v>44849</v>
      </c>
      <c r="D11" s="3078" t="str">
        <f t="shared" ca="1" si="0"/>
        <v>郑燚（注册号：1120070131）</v>
      </c>
      <c r="E11" s="3080" t="s">
        <v>760</v>
      </c>
      <c r="F11" s="1301">
        <f ca="1">IF(G11&lt;B2,"已过期",2014110011)</f>
        <v>2014110011</v>
      </c>
      <c r="G11" s="3068">
        <v>49302</v>
      </c>
      <c r="H11" s="3069" t="str">
        <f t="shared" ca="1" si="1"/>
        <v>郑燚（注册号：2014110011）</v>
      </c>
    </row>
    <row r="12" spans="1:8" ht="24" customHeight="1">
      <c r="A12" s="1301" t="s">
        <v>2714</v>
      </c>
      <c r="B12" s="1301">
        <f ca="1">IF(C12&lt;B2,"已过期",1120040230)</f>
        <v>1120040230</v>
      </c>
      <c r="C12" s="3070">
        <v>44864</v>
      </c>
      <c r="D12" s="3078" t="str">
        <f t="shared" ca="1" si="0"/>
        <v>苏海（注册号：1120040230）</v>
      </c>
      <c r="E12" s="3080" t="s">
        <v>2714</v>
      </c>
      <c r="F12" s="1301">
        <f ca="1">IF(G12&lt;B2,"已过期",98030020)</f>
        <v>98030020</v>
      </c>
      <c r="G12" s="3068">
        <v>47118</v>
      </c>
      <c r="H12" s="3069" t="str">
        <f t="shared" ca="1" si="1"/>
        <v>苏海（注册号：98030020）</v>
      </c>
    </row>
    <row r="13" spans="1:8" ht="24" customHeight="1">
      <c r="A13" s="1301" t="s">
        <v>761</v>
      </c>
      <c r="B13" s="1301">
        <f ca="1">IF(C13&lt;B2,"已过期",1120020033)</f>
        <v>1120020033</v>
      </c>
      <c r="C13" s="3067">
        <v>44339</v>
      </c>
      <c r="D13" s="3078" t="str">
        <f t="shared" ca="1" si="0"/>
        <v>刘敬东（注册号：1120020033）</v>
      </c>
      <c r="E13" s="3080" t="s">
        <v>761</v>
      </c>
      <c r="F13" s="1301">
        <f ca="1">IF(G13&lt;B2,"已过期",2000110137)</f>
        <v>2000110137</v>
      </c>
      <c r="G13" s="3068">
        <v>46387</v>
      </c>
      <c r="H13" s="3069" t="str">
        <f t="shared" ca="1" si="1"/>
        <v>刘敬东（注册号：2000110137）</v>
      </c>
    </row>
    <row r="14" spans="1:8" ht="24" customHeight="1">
      <c r="A14" s="1301" t="s">
        <v>2731</v>
      </c>
      <c r="B14" s="1301">
        <f ca="1">IF(C14&lt;B2,"已过期",1119980106)</f>
        <v>1119980106</v>
      </c>
      <c r="C14" s="3070">
        <v>44969</v>
      </c>
      <c r="D14" s="3078" t="str">
        <f t="shared" ca="1" si="0"/>
        <v>刘俊财（注册号：1119980106）</v>
      </c>
      <c r="E14" s="3080" t="s">
        <v>2831</v>
      </c>
      <c r="F14" s="1301">
        <f ca="1">IF(G14&lt;B2,"已过期",96010063)</f>
        <v>96010063</v>
      </c>
      <c r="G14" s="3068">
        <v>47483</v>
      </c>
      <c r="H14" s="3069" t="str">
        <f t="shared" ca="1" si="1"/>
        <v>刘俊财（注册号：96010063）</v>
      </c>
    </row>
    <row r="15" spans="1:8" ht="24" customHeight="1">
      <c r="A15" s="1301"/>
      <c r="B15" s="1301"/>
      <c r="C15" s="3070"/>
      <c r="D15" s="3078" t="str">
        <f t="shared" ref="D15" si="2">A15&amp;"（注册号："&amp;B15&amp;"）"</f>
        <v>（注册号：）</v>
      </c>
      <c r="E15" s="3080" t="s">
        <v>2835</v>
      </c>
      <c r="F15" s="1301">
        <f ca="1">IF(G15&lt;B2,"已过期",2011110090)</f>
        <v>2011110090</v>
      </c>
      <c r="G15" s="3068">
        <v>48302</v>
      </c>
      <c r="H15" s="3069" t="str">
        <f t="shared" ref="H15" ca="1" si="3">E15&amp;"（注册号："&amp;F15&amp;"）"</f>
        <v>赵雯（注册号：2011110090）</v>
      </c>
    </row>
    <row r="16" spans="1:8" s="3058" customFormat="1" ht="24" customHeight="1">
      <c r="A16" s="1301"/>
      <c r="B16" s="1301"/>
      <c r="C16" s="1301"/>
      <c r="D16" s="3078" t="str">
        <f>A16&amp;"（注册号："&amp;B16&amp;"）"</f>
        <v>（注册号：）</v>
      </c>
      <c r="E16" s="3080"/>
      <c r="F16" s="1301"/>
      <c r="G16" s="1301"/>
      <c r="H16" s="3071" t="str">
        <f t="shared" si="1"/>
        <v>（注册号：）</v>
      </c>
    </row>
    <row r="17" spans="1:8" ht="24" customHeight="1">
      <c r="A17" s="3208" t="s">
        <v>762</v>
      </c>
      <c r="B17" s="3208"/>
      <c r="C17" s="3208"/>
      <c r="D17" s="3208"/>
      <c r="E17" s="3208"/>
      <c r="F17" s="3208"/>
      <c r="G17" s="3208"/>
      <c r="H17" s="3208"/>
    </row>
    <row r="18" spans="1:8" ht="24" customHeight="1">
      <c r="A18" s="3209" t="s">
        <v>763</v>
      </c>
      <c r="B18" s="3209"/>
      <c r="C18" s="3209"/>
      <c r="D18" s="3066"/>
      <c r="E18" s="3210" t="s">
        <v>764</v>
      </c>
      <c r="F18" s="3209"/>
      <c r="G18" s="3209"/>
    </row>
    <row r="19" spans="1:8" s="3056" customFormat="1" ht="24" customHeight="1">
      <c r="A19" s="3072" t="s">
        <v>765</v>
      </c>
      <c r="B19" s="3065" t="s">
        <v>766</v>
      </c>
      <c r="C19" s="3065" t="s">
        <v>767</v>
      </c>
      <c r="D19" s="3066"/>
      <c r="E19" s="3080" t="s">
        <v>765</v>
      </c>
      <c r="F19" s="3065" t="s">
        <v>766</v>
      </c>
      <c r="G19" s="3065" t="s">
        <v>767</v>
      </c>
    </row>
    <row r="20" spans="1:8" s="3056" customFormat="1" ht="24" customHeight="1">
      <c r="A20" s="3073" t="s">
        <v>2832</v>
      </c>
      <c r="B20" s="3073" t="s">
        <v>2833</v>
      </c>
      <c r="C20" s="3068">
        <v>44820</v>
      </c>
      <c r="D20" s="3081"/>
      <c r="E20" s="3083" t="s">
        <v>768</v>
      </c>
      <c r="F20" s="3073" t="s">
        <v>769</v>
      </c>
      <c r="G20" s="3074">
        <v>44377</v>
      </c>
    </row>
    <row r="21" spans="1:8" s="3056" customFormat="1" ht="24" customHeight="1">
      <c r="A21" s="3073"/>
      <c r="B21" s="3073"/>
      <c r="C21" s="3075"/>
      <c r="D21" s="3082"/>
      <c r="E21" s="3083" t="s">
        <v>770</v>
      </c>
      <c r="F21" s="3076" t="s">
        <v>2730</v>
      </c>
      <c r="G21" s="3077">
        <v>44012</v>
      </c>
    </row>
    <row r="22" spans="1:8" ht="24" customHeight="1">
      <c r="C22" s="3059"/>
      <c r="D22" s="3059"/>
      <c r="E22" s="3084"/>
      <c r="F22" s="3085"/>
      <c r="G22" s="3086" t="s">
        <v>2834</v>
      </c>
    </row>
  </sheetData>
  <sheetProtection password="CEE9" sheet="1" objects="1" scenarios="1" formatCells="0" formatColumns="0" formatRows="0"/>
  <mergeCells count="3">
    <mergeCell ref="A17:H17"/>
    <mergeCell ref="A18:C18"/>
    <mergeCell ref="E18:G18"/>
  </mergeCells>
  <phoneticPr fontId="81" type="noConversion"/>
  <conditionalFormatting sqref="D16 C4:D5 D7:D12 C13:D13 C12">
    <cfRule type="expression" dxfId="235" priority="108">
      <formula>AND($C4-TODAY()&lt;30,TODAY()&lt;$C4)</formula>
    </cfRule>
  </conditionalFormatting>
  <conditionalFormatting sqref="C20:D20">
    <cfRule type="expression" dxfId="234" priority="107">
      <formula>AND($C20-TODAY()&lt;30,TODAY()&lt;$C20)</formula>
    </cfRule>
  </conditionalFormatting>
  <conditionalFormatting sqref="C20:D20 G4 C4:D5 C13:D13">
    <cfRule type="cellIs" dxfId="233" priority="109" stopIfTrue="1" operator="lessThan">
      <formula>$B$2</formula>
    </cfRule>
  </conditionalFormatting>
  <conditionalFormatting sqref="G5 G7 G9">
    <cfRule type="cellIs" dxfId="232" priority="103" stopIfTrue="1" operator="lessThan">
      <formula>$B$2</formula>
    </cfRule>
  </conditionalFormatting>
  <conditionalFormatting sqref="C6:D6 D14 D16">
    <cfRule type="expression" dxfId="231" priority="101">
      <formula>AND($C6-TODAY()&lt;30,TODAY()&lt;$C6)</formula>
    </cfRule>
  </conditionalFormatting>
  <conditionalFormatting sqref="G6 G8 G10 C6:D6 D7:D12 D14 D16">
    <cfRule type="cellIs" dxfId="230" priority="102" stopIfTrue="1" operator="lessThan">
      <formula>$B$2</formula>
    </cfRule>
  </conditionalFormatting>
  <conditionalFormatting sqref="D12">
    <cfRule type="expression" dxfId="229" priority="95">
      <formula>AND($C12-TODAY()&lt;30,TODAY()&lt;$C12)</formula>
    </cfRule>
  </conditionalFormatting>
  <conditionalFormatting sqref="D12">
    <cfRule type="cellIs" dxfId="228" priority="96" stopIfTrue="1" operator="lessThan">
      <formula>$B$2</formula>
    </cfRule>
  </conditionalFormatting>
  <conditionalFormatting sqref="C13:D13">
    <cfRule type="expression" dxfId="227" priority="87">
      <formula>AND($C13-TODAY()&lt;30,TODAY()&lt;$C13)</formula>
    </cfRule>
  </conditionalFormatting>
  <conditionalFormatting sqref="C13:D13">
    <cfRule type="cellIs" dxfId="226" priority="88" stopIfTrue="1" operator="lessThan">
      <formula>$B$2</formula>
    </cfRule>
  </conditionalFormatting>
  <conditionalFormatting sqref="D14">
    <cfRule type="expression" dxfId="225" priority="77">
      <formula>AND($C14-TODAY()&lt;30,TODAY()&lt;$C14)</formula>
    </cfRule>
  </conditionalFormatting>
  <conditionalFormatting sqref="D14">
    <cfRule type="cellIs" dxfId="224" priority="78" stopIfTrue="1" operator="lessThan">
      <formula>$B$2</formula>
    </cfRule>
  </conditionalFormatting>
  <conditionalFormatting sqref="G13">
    <cfRule type="cellIs" dxfId="223" priority="73" stopIfTrue="1" operator="lessThan">
      <formula>$B$2</formula>
    </cfRule>
  </conditionalFormatting>
  <conditionalFormatting sqref="B4:B11 F4:F11 B13 F13:F14">
    <cfRule type="cellIs" dxfId="222" priority="70" stopIfTrue="1" operator="equal">
      <formula>"已过期"</formula>
    </cfRule>
  </conditionalFormatting>
  <conditionalFormatting sqref="G20">
    <cfRule type="expression" dxfId="221" priority="68">
      <formula>AND($E20-TODAY()&lt;30,TODAY()&lt;$E20)</formula>
    </cfRule>
  </conditionalFormatting>
  <conditionalFormatting sqref="G20">
    <cfRule type="cellIs" dxfId="220" priority="69" stopIfTrue="1" operator="lessThan">
      <formula>$B$2</formula>
    </cfRule>
  </conditionalFormatting>
  <conditionalFormatting sqref="C7">
    <cfRule type="expression" dxfId="219" priority="60">
      <formula>AND($C7-TODAY()&lt;30,TODAY()&lt;$C7)</formula>
    </cfRule>
  </conditionalFormatting>
  <conditionalFormatting sqref="C7">
    <cfRule type="cellIs" dxfId="218" priority="61" stopIfTrue="1" operator="lessThan">
      <formula>$B$2</formula>
    </cfRule>
  </conditionalFormatting>
  <conditionalFormatting sqref="C8">
    <cfRule type="expression" dxfId="217" priority="58">
      <formula>AND($C8-TODAY()&lt;30,TODAY()&lt;$C8)</formula>
    </cfRule>
  </conditionalFormatting>
  <conditionalFormatting sqref="C8">
    <cfRule type="cellIs" dxfId="216" priority="59" stopIfTrue="1" operator="lessThan">
      <formula>$B$2</formula>
    </cfRule>
  </conditionalFormatting>
  <conditionalFormatting sqref="C11">
    <cfRule type="expression" dxfId="215" priority="56">
      <formula>AND($C11-TODAY()&lt;30,TODAY()&lt;$C11)</formula>
    </cfRule>
  </conditionalFormatting>
  <conditionalFormatting sqref="C11">
    <cfRule type="cellIs" dxfId="214" priority="57" stopIfTrue="1" operator="lessThan">
      <formula>$B$2</formula>
    </cfRule>
  </conditionalFormatting>
  <conditionalFormatting sqref="A16:C16">
    <cfRule type="cellIs" dxfId="213" priority="46" stopIfTrue="1" operator="equal">
      <formula>"已过期"</formula>
    </cfRule>
  </conditionalFormatting>
  <conditionalFormatting sqref="E16:G16">
    <cfRule type="cellIs" dxfId="212" priority="45" stopIfTrue="1" operator="equal">
      <formula>"已过期"</formula>
    </cfRule>
  </conditionalFormatting>
  <conditionalFormatting sqref="G11">
    <cfRule type="cellIs" dxfId="211" priority="44" stopIfTrue="1" operator="lessThan">
      <formula>$B$2</formula>
    </cfRule>
  </conditionalFormatting>
  <conditionalFormatting sqref="F12">
    <cfRule type="cellIs" dxfId="210" priority="35" stopIfTrue="1" operator="equal">
      <formula>"已过期"</formula>
    </cfRule>
  </conditionalFormatting>
  <conditionalFormatting sqref="G12">
    <cfRule type="cellIs" dxfId="209" priority="34" stopIfTrue="1" operator="lessThan">
      <formula>$B$2</formula>
    </cfRule>
  </conditionalFormatting>
  <conditionalFormatting sqref="C12">
    <cfRule type="cellIs" dxfId="208" priority="33" stopIfTrue="1" operator="lessThan">
      <formula>$B$2</formula>
    </cfRule>
  </conditionalFormatting>
  <conditionalFormatting sqref="C12">
    <cfRule type="expression" dxfId="207" priority="30">
      <formula>AND($C12-TODAY()&lt;30,TODAY()&lt;$C12)</formula>
    </cfRule>
  </conditionalFormatting>
  <conditionalFormatting sqref="C12">
    <cfRule type="cellIs" dxfId="206" priority="31" stopIfTrue="1" operator="lessThan">
      <formula>$B$2</formula>
    </cfRule>
  </conditionalFormatting>
  <conditionalFormatting sqref="B12">
    <cfRule type="cellIs" dxfId="205" priority="27" stopIfTrue="1" operator="equal">
      <formula>"已过期"</formula>
    </cfRule>
  </conditionalFormatting>
  <conditionalFormatting sqref="C9:C10">
    <cfRule type="expression" dxfId="204" priority="22">
      <formula>AND($C9-TODAY()&lt;30,TODAY()&lt;$C9)</formula>
    </cfRule>
  </conditionalFormatting>
  <conditionalFormatting sqref="C9:C10">
    <cfRule type="cellIs" dxfId="203" priority="23" stopIfTrue="1" operator="lessThan">
      <formula>$B$2</formula>
    </cfRule>
  </conditionalFormatting>
  <conditionalFormatting sqref="G21">
    <cfRule type="expression" dxfId="202" priority="20" stopIfTrue="1">
      <formula>AND(#REF!-TODAY()&lt;30,TODAY()&lt;#REF!)</formula>
    </cfRule>
  </conditionalFormatting>
  <conditionalFormatting sqref="G21">
    <cfRule type="cellIs" dxfId="201" priority="21" stopIfTrue="1" operator="lessThan">
      <formula>$B$2</formula>
    </cfRule>
  </conditionalFormatting>
  <conditionalFormatting sqref="C14">
    <cfRule type="expression" dxfId="200" priority="16">
      <formula>AND($C14-TODAY()&lt;30,TODAY()&lt;$C14)</formula>
    </cfRule>
  </conditionalFormatting>
  <conditionalFormatting sqref="C14">
    <cfRule type="cellIs" dxfId="199" priority="17" stopIfTrue="1" operator="lessThan">
      <formula>$B$2</formula>
    </cfRule>
  </conditionalFormatting>
  <conditionalFormatting sqref="C14">
    <cfRule type="expression" dxfId="198" priority="14">
      <formula>AND($C14-TODAY()&lt;30,TODAY()&lt;$C14)</formula>
    </cfRule>
  </conditionalFormatting>
  <conditionalFormatting sqref="C14">
    <cfRule type="cellIs" dxfId="197" priority="15" stopIfTrue="1" operator="lessThan">
      <formula>$B$2</formula>
    </cfRule>
  </conditionalFormatting>
  <conditionalFormatting sqref="B14">
    <cfRule type="cellIs" dxfId="196" priority="13" stopIfTrue="1" operator="equal">
      <formula>"已过期"</formula>
    </cfRule>
  </conditionalFormatting>
  <conditionalFormatting sqref="G14">
    <cfRule type="cellIs" dxfId="195" priority="12" stopIfTrue="1" operator="lessThan">
      <formula>$B$2</formula>
    </cfRule>
  </conditionalFormatting>
  <conditionalFormatting sqref="D15">
    <cfRule type="expression" dxfId="194" priority="10">
      <formula>AND($C15-TODAY()&lt;30,TODAY()&lt;$C15)</formula>
    </cfRule>
  </conditionalFormatting>
  <conditionalFormatting sqref="D15">
    <cfRule type="cellIs" dxfId="193" priority="11" stopIfTrue="1" operator="lessThan">
      <formula>$B$2</formula>
    </cfRule>
  </conditionalFormatting>
  <conditionalFormatting sqref="D15">
    <cfRule type="expression" dxfId="192" priority="8">
      <formula>AND($C15-TODAY()&lt;30,TODAY()&lt;$C15)</formula>
    </cfRule>
  </conditionalFormatting>
  <conditionalFormatting sqref="D15">
    <cfRule type="cellIs" dxfId="191" priority="9" stopIfTrue="1" operator="lessThan">
      <formula>$B$2</formula>
    </cfRule>
  </conditionalFormatting>
  <conditionalFormatting sqref="F15">
    <cfRule type="cellIs" dxfId="190" priority="7" stopIfTrue="1" operator="equal">
      <formula>"已过期"</formula>
    </cfRule>
  </conditionalFormatting>
  <conditionalFormatting sqref="C15">
    <cfRule type="expression" dxfId="189" priority="5">
      <formula>AND($C15-TODAY()&lt;30,TODAY()&lt;$C15)</formula>
    </cfRule>
  </conditionalFormatting>
  <conditionalFormatting sqref="C15">
    <cfRule type="cellIs" dxfId="188" priority="6" stopIfTrue="1" operator="lessThan">
      <formula>$B$2</formula>
    </cfRule>
  </conditionalFormatting>
  <conditionalFormatting sqref="C15">
    <cfRule type="expression" dxfId="187" priority="3">
      <formula>AND($C15-TODAY()&lt;30,TODAY()&lt;$C15)</formula>
    </cfRule>
  </conditionalFormatting>
  <conditionalFormatting sqref="C15">
    <cfRule type="cellIs" dxfId="186" priority="4" stopIfTrue="1" operator="lessThan">
      <formula>$B$2</formula>
    </cfRule>
  </conditionalFormatting>
  <conditionalFormatting sqref="B15">
    <cfRule type="cellIs" dxfId="185" priority="2" stopIfTrue="1" operator="equal">
      <formula>"已过期"</formula>
    </cfRule>
  </conditionalFormatting>
  <conditionalFormatting sqref="G15">
    <cfRule type="cellIs" dxfId="184" priority="1" stopIfTrue="1" operator="lessThan">
      <formula>$B$2</formula>
    </cfRule>
  </conditionalFormatting>
  <pageMargins left="0.7" right="0.7" top="0.75" bottom="0.75" header="0.3" footer="0.3"/>
  <pageSetup paperSize="9" scale="72"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sheetPr>
  <dimension ref="A1:Y128"/>
  <sheetViews>
    <sheetView workbookViewId="0">
      <selection activeCell="B1" sqref="B1:Y1048576"/>
    </sheetView>
  </sheetViews>
  <sheetFormatPr defaultColWidth="9" defaultRowHeight="14.25"/>
  <cols>
    <col min="1" max="1" width="14" style="606" customWidth="1"/>
    <col min="2" max="2" width="22.5" style="605" customWidth="1"/>
    <col min="3" max="3" width="13" style="9" hidden="1" customWidth="1"/>
    <col min="4" max="4" width="5.75" style="7" hidden="1" customWidth="1"/>
    <col min="5" max="5" width="7.125" style="7" hidden="1" customWidth="1"/>
    <col min="6" max="6" width="10.625" style="7" hidden="1" customWidth="1"/>
    <col min="7" max="7" width="7.5" style="7" hidden="1" customWidth="1"/>
    <col min="8" max="8" width="9" style="9" hidden="1" customWidth="1"/>
    <col min="9" max="9" width="11.625" style="9" hidden="1" customWidth="1"/>
    <col min="10" max="10" width="9" style="9" hidden="1" customWidth="1"/>
    <col min="11" max="19" width="9" style="7" hidden="1" customWidth="1"/>
    <col min="20" max="24" width="9" style="9" hidden="1" customWidth="1"/>
    <col min="25" max="25" width="9" style="9" customWidth="1"/>
    <col min="26" max="26" width="15.875" style="605" customWidth="1"/>
    <col min="27" max="16384" width="9" style="605"/>
  </cols>
  <sheetData>
    <row r="1" spans="1:25" s="604" customFormat="1" ht="27">
      <c r="A1" s="1417" t="s">
        <v>1385</v>
      </c>
      <c r="B1" s="4" t="s">
        <v>1386</v>
      </c>
      <c r="C1" s="1418" t="s">
        <v>1387</v>
      </c>
      <c r="D1" s="5" t="s">
        <v>1388</v>
      </c>
      <c r="E1" s="5" t="s">
        <v>1389</v>
      </c>
      <c r="F1" s="5" t="s">
        <v>1390</v>
      </c>
      <c r="G1" s="5" t="s">
        <v>1391</v>
      </c>
      <c r="H1" s="5" t="s">
        <v>1392</v>
      </c>
      <c r="I1" s="5" t="s">
        <v>1393</v>
      </c>
      <c r="J1" s="5" t="s">
        <v>1394</v>
      </c>
      <c r="K1" s="5" t="s">
        <v>1395</v>
      </c>
      <c r="L1" s="5" t="s">
        <v>1396</v>
      </c>
      <c r="M1" s="5" t="s">
        <v>1397</v>
      </c>
      <c r="N1" s="5" t="s">
        <v>1398</v>
      </c>
      <c r="O1" s="5" t="s">
        <v>1399</v>
      </c>
      <c r="P1" s="1419" t="s">
        <v>1400</v>
      </c>
      <c r="Q1" s="1419" t="s">
        <v>1401</v>
      </c>
      <c r="R1" s="1419" t="s">
        <v>1402</v>
      </c>
      <c r="S1" s="5" t="s">
        <v>1403</v>
      </c>
      <c r="T1" s="6" t="s">
        <v>1404</v>
      </c>
      <c r="U1" s="5" t="s">
        <v>1405</v>
      </c>
      <c r="V1" s="5" t="s">
        <v>1406</v>
      </c>
      <c r="W1" s="5" t="s">
        <v>1407</v>
      </c>
      <c r="X1" s="5" t="s">
        <v>1408</v>
      </c>
      <c r="Y1" s="5" t="s">
        <v>1409</v>
      </c>
    </row>
    <row r="2" spans="1:25">
      <c r="A2" s="1420" t="s">
        <v>33</v>
      </c>
      <c r="B2" s="1420" t="s">
        <v>1410</v>
      </c>
      <c r="C2" s="1421" t="s">
        <v>1411</v>
      </c>
      <c r="D2" s="7" t="s">
        <v>1412</v>
      </c>
      <c r="E2" s="7" t="s">
        <v>1413</v>
      </c>
      <c r="F2" s="7" t="s">
        <v>1414</v>
      </c>
      <c r="G2" s="7">
        <v>40</v>
      </c>
      <c r="H2" s="7" t="s">
        <v>1414</v>
      </c>
      <c r="I2" s="7" t="s">
        <v>1415</v>
      </c>
      <c r="J2" s="7" t="s">
        <v>1416</v>
      </c>
      <c r="K2" s="7" t="s">
        <v>1417</v>
      </c>
      <c r="L2" s="7" t="s">
        <v>1417</v>
      </c>
      <c r="M2" s="7" t="s">
        <v>1417</v>
      </c>
      <c r="N2" s="7" t="s">
        <v>1417</v>
      </c>
      <c r="O2" s="7" t="s">
        <v>1417</v>
      </c>
      <c r="P2" s="7" t="s">
        <v>1417</v>
      </c>
      <c r="Q2" s="7" t="s">
        <v>1417</v>
      </c>
      <c r="R2" s="7" t="s">
        <v>1418</v>
      </c>
      <c r="S2" s="7" t="s">
        <v>1417</v>
      </c>
      <c r="T2" s="7" t="s">
        <v>1419</v>
      </c>
      <c r="U2" s="7" t="s">
        <v>1417</v>
      </c>
      <c r="V2" s="7" t="s">
        <v>1420</v>
      </c>
      <c r="W2" s="7" t="s">
        <v>1417</v>
      </c>
      <c r="X2" s="7" t="s">
        <v>1421</v>
      </c>
      <c r="Y2" s="7" t="s">
        <v>1422</v>
      </c>
    </row>
    <row r="3" spans="1:25">
      <c r="A3" s="1420" t="s">
        <v>1423</v>
      </c>
      <c r="B3" s="1422" t="s">
        <v>1424</v>
      </c>
      <c r="C3" s="967" t="s">
        <v>1425</v>
      </c>
      <c r="D3" s="7" t="s">
        <v>1426</v>
      </c>
      <c r="E3" s="7" t="s">
        <v>13</v>
      </c>
      <c r="F3" s="7" t="s">
        <v>1427</v>
      </c>
      <c r="G3" s="7">
        <v>50</v>
      </c>
      <c r="H3" s="7" t="s">
        <v>1427</v>
      </c>
      <c r="I3" s="7" t="s">
        <v>1428</v>
      </c>
      <c r="J3" s="7" t="s">
        <v>1429</v>
      </c>
      <c r="K3" s="7" t="s">
        <v>1430</v>
      </c>
      <c r="L3" s="7" t="s">
        <v>1430</v>
      </c>
      <c r="M3" s="7" t="s">
        <v>1430</v>
      </c>
      <c r="N3" s="7" t="s">
        <v>1430</v>
      </c>
      <c r="O3" s="7" t="s">
        <v>1430</v>
      </c>
      <c r="P3" s="7" t="s">
        <v>1430</v>
      </c>
      <c r="Q3" s="7" t="s">
        <v>1430</v>
      </c>
      <c r="R3" s="7" t="s">
        <v>1431</v>
      </c>
      <c r="S3" s="7" t="s">
        <v>1430</v>
      </c>
      <c r="T3" s="7" t="s">
        <v>1432</v>
      </c>
      <c r="U3" s="7" t="s">
        <v>1430</v>
      </c>
      <c r="V3" s="7" t="s">
        <v>1433</v>
      </c>
      <c r="W3" s="7" t="s">
        <v>1430</v>
      </c>
      <c r="X3" s="7" t="s">
        <v>1434</v>
      </c>
      <c r="Y3" s="7" t="s">
        <v>1435</v>
      </c>
    </row>
    <row r="4" spans="1:25">
      <c r="A4" s="1420" t="s">
        <v>1436</v>
      </c>
      <c r="B4" s="1422" t="s">
        <v>1437</v>
      </c>
      <c r="C4" s="1421" t="s">
        <v>1438</v>
      </c>
      <c r="D4" s="7" t="s">
        <v>13</v>
      </c>
      <c r="E4" s="7" t="s">
        <v>1439</v>
      </c>
      <c r="F4" s="7" t="s">
        <v>1440</v>
      </c>
      <c r="G4" s="7">
        <v>70</v>
      </c>
      <c r="H4" s="7" t="s">
        <v>1440</v>
      </c>
      <c r="I4" s="7" t="s">
        <v>1441</v>
      </c>
      <c r="K4" s="7" t="s">
        <v>1442</v>
      </c>
      <c r="L4" s="7" t="s">
        <v>1442</v>
      </c>
      <c r="M4" s="7" t="s">
        <v>1442</v>
      </c>
      <c r="N4" s="7" t="s">
        <v>1442</v>
      </c>
      <c r="O4" s="7" t="s">
        <v>1442</v>
      </c>
      <c r="P4" s="7" t="s">
        <v>1442</v>
      </c>
      <c r="Q4" s="7" t="s">
        <v>1442</v>
      </c>
      <c r="R4" s="7" t="s">
        <v>1443</v>
      </c>
      <c r="S4" s="7" t="s">
        <v>1442</v>
      </c>
      <c r="T4" s="7" t="s">
        <v>1444</v>
      </c>
      <c r="U4" s="7" t="s">
        <v>1442</v>
      </c>
      <c r="W4" s="7" t="s">
        <v>1442</v>
      </c>
      <c r="X4" s="7" t="s">
        <v>1445</v>
      </c>
      <c r="Y4" s="7" t="s">
        <v>1446</v>
      </c>
    </row>
    <row r="5" spans="1:25">
      <c r="A5" s="1420" t="s">
        <v>1447</v>
      </c>
      <c r="B5" s="1420" t="s">
        <v>1448</v>
      </c>
      <c r="C5" s="1421" t="s">
        <v>1449</v>
      </c>
      <c r="F5" s="7" t="s">
        <v>1450</v>
      </c>
      <c r="H5" s="7" t="s">
        <v>1451</v>
      </c>
      <c r="I5" s="7" t="s">
        <v>1452</v>
      </c>
      <c r="K5" s="7" t="s">
        <v>1453</v>
      </c>
      <c r="L5" s="7" t="s">
        <v>1453</v>
      </c>
      <c r="M5" s="7" t="s">
        <v>1453</v>
      </c>
      <c r="N5" s="7" t="s">
        <v>1453</v>
      </c>
      <c r="O5" s="7" t="s">
        <v>1453</v>
      </c>
      <c r="P5" s="7" t="s">
        <v>1453</v>
      </c>
      <c r="Q5" s="7" t="s">
        <v>1453</v>
      </c>
      <c r="R5" s="7" t="s">
        <v>1454</v>
      </c>
      <c r="S5" s="7" t="s">
        <v>1453</v>
      </c>
      <c r="T5" s="7" t="s">
        <v>1455</v>
      </c>
      <c r="U5" s="7" t="s">
        <v>1453</v>
      </c>
      <c r="W5" s="7" t="s">
        <v>1453</v>
      </c>
      <c r="X5" s="1423"/>
    </row>
    <row r="6" spans="1:25">
      <c r="A6" s="1420" t="s">
        <v>1456</v>
      </c>
      <c r="B6" s="1420" t="s">
        <v>1457</v>
      </c>
      <c r="C6" s="954" t="s">
        <v>1458</v>
      </c>
      <c r="F6" s="7" t="s">
        <v>1459</v>
      </c>
      <c r="H6" s="7" t="s">
        <v>1460</v>
      </c>
      <c r="I6" s="7" t="s">
        <v>1461</v>
      </c>
      <c r="K6" s="7" t="s">
        <v>1462</v>
      </c>
      <c r="L6" s="7" t="s">
        <v>1462</v>
      </c>
      <c r="M6" s="7" t="s">
        <v>1462</v>
      </c>
      <c r="N6" s="7" t="s">
        <v>1462</v>
      </c>
      <c r="O6" s="7" t="s">
        <v>1462</v>
      </c>
      <c r="P6" s="7" t="s">
        <v>1462</v>
      </c>
      <c r="Q6" s="7" t="s">
        <v>1462</v>
      </c>
      <c r="R6" s="7" t="s">
        <v>1463</v>
      </c>
      <c r="S6" s="7" t="s">
        <v>1462</v>
      </c>
      <c r="T6" s="7"/>
      <c r="U6" s="7" t="s">
        <v>1462</v>
      </c>
      <c r="W6" s="7" t="s">
        <v>1462</v>
      </c>
      <c r="X6" s="1423"/>
    </row>
    <row r="7" spans="1:25">
      <c r="A7" s="1420" t="s">
        <v>1464</v>
      </c>
      <c r="B7" s="1422" t="s">
        <v>1465</v>
      </c>
      <c r="C7" s="1421" t="s">
        <v>1466</v>
      </c>
      <c r="F7" s="7" t="s">
        <v>1467</v>
      </c>
      <c r="H7" s="7" t="s">
        <v>1468</v>
      </c>
      <c r="I7" s="7" t="s">
        <v>1469</v>
      </c>
      <c r="X7" s="1423"/>
    </row>
    <row r="8" spans="1:25">
      <c r="A8" s="1420" t="s">
        <v>1470</v>
      </c>
      <c r="B8" s="1422" t="s">
        <v>1471</v>
      </c>
      <c r="C8" s="1421" t="s">
        <v>1472</v>
      </c>
      <c r="F8" s="7" t="s">
        <v>1473</v>
      </c>
      <c r="H8" s="7" t="s">
        <v>1474</v>
      </c>
      <c r="I8" s="7" t="s">
        <v>1475</v>
      </c>
      <c r="X8" s="1423"/>
    </row>
    <row r="9" spans="1:25">
      <c r="A9" s="1420" t="s">
        <v>1476</v>
      </c>
      <c r="B9" s="1420" t="s">
        <v>1477</v>
      </c>
      <c r="C9" s="1421" t="s">
        <v>1478</v>
      </c>
      <c r="F9" s="7" t="s">
        <v>1479</v>
      </c>
      <c r="H9" s="7" t="s">
        <v>1480</v>
      </c>
    </row>
    <row r="10" spans="1:25">
      <c r="A10" s="1420" t="s">
        <v>1481</v>
      </c>
      <c r="B10" s="1420" t="s">
        <v>1482</v>
      </c>
      <c r="C10" s="1421" t="s">
        <v>1483</v>
      </c>
      <c r="F10" s="7" t="s">
        <v>13</v>
      </c>
    </row>
    <row r="11" spans="1:25">
      <c r="A11" s="1420" t="s">
        <v>1484</v>
      </c>
      <c r="B11" s="1420" t="s">
        <v>1485</v>
      </c>
      <c r="C11" s="1421" t="s">
        <v>1486</v>
      </c>
    </row>
    <row r="12" spans="1:25">
      <c r="A12" s="1420" t="s">
        <v>1487</v>
      </c>
      <c r="B12" s="1420" t="s">
        <v>1488</v>
      </c>
      <c r="C12" s="1421" t="s">
        <v>1489</v>
      </c>
    </row>
    <row r="13" spans="1:25">
      <c r="A13" s="1420" t="s">
        <v>1490</v>
      </c>
      <c r="B13" s="1420" t="s">
        <v>1491</v>
      </c>
      <c r="C13" s="1421" t="s">
        <v>1492</v>
      </c>
    </row>
    <row r="14" spans="1:25">
      <c r="A14" s="1420" t="s">
        <v>1493</v>
      </c>
      <c r="B14" s="1420" t="s">
        <v>1494</v>
      </c>
      <c r="C14" s="1421"/>
    </row>
    <row r="15" spans="1:25">
      <c r="A15" s="1420" t="s">
        <v>1495</v>
      </c>
      <c r="B15" s="1420" t="s">
        <v>1496</v>
      </c>
      <c r="C15" s="1421"/>
    </row>
    <row r="16" spans="1:25">
      <c r="A16" s="1420" t="s">
        <v>1497</v>
      </c>
      <c r="B16" s="1420" t="s">
        <v>1498</v>
      </c>
      <c r="C16" s="1421"/>
    </row>
    <row r="17" spans="1:3">
      <c r="A17" s="1420" t="s">
        <v>1499</v>
      </c>
      <c r="B17" s="1420" t="s">
        <v>1500</v>
      </c>
      <c r="C17" s="1421"/>
    </row>
    <row r="18" spans="1:3">
      <c r="A18" s="1420" t="s">
        <v>1501</v>
      </c>
      <c r="B18" s="1420" t="s">
        <v>1502</v>
      </c>
      <c r="C18" s="1421"/>
    </row>
    <row r="19" spans="1:3">
      <c r="A19" s="1420" t="s">
        <v>1503</v>
      </c>
      <c r="B19" s="1420" t="s">
        <v>1504</v>
      </c>
      <c r="C19" s="1421"/>
    </row>
    <row r="20" spans="1:3">
      <c r="A20" s="1420" t="s">
        <v>1505</v>
      </c>
      <c r="B20" s="1420" t="s">
        <v>740</v>
      </c>
      <c r="C20" s="1421"/>
    </row>
    <row r="21" spans="1:3">
      <c r="A21" s="1420" t="s">
        <v>1506</v>
      </c>
      <c r="B21" s="1420" t="s">
        <v>740</v>
      </c>
      <c r="C21" s="1421"/>
    </row>
    <row r="22" spans="1:3">
      <c r="A22" s="1420" t="s">
        <v>1507</v>
      </c>
      <c r="B22" s="1420" t="s">
        <v>740</v>
      </c>
      <c r="C22" s="1421"/>
    </row>
    <row r="23" spans="1:3">
      <c r="A23" s="1420" t="s">
        <v>1508</v>
      </c>
      <c r="B23" s="1420" t="s">
        <v>740</v>
      </c>
      <c r="C23" s="1421"/>
    </row>
    <row r="24" spans="1:3">
      <c r="A24" s="1420" t="s">
        <v>1509</v>
      </c>
      <c r="B24" s="1420" t="s">
        <v>740</v>
      </c>
      <c r="C24" s="1421"/>
    </row>
    <row r="25" spans="1:3">
      <c r="A25" s="1420" t="s">
        <v>1510</v>
      </c>
      <c r="B25" s="1420" t="s">
        <v>740</v>
      </c>
      <c r="C25" s="1421"/>
    </row>
    <row r="26" spans="1:3">
      <c r="A26" s="1420" t="s">
        <v>1511</v>
      </c>
      <c r="B26" s="1420" t="s">
        <v>740</v>
      </c>
      <c r="C26" s="1421"/>
    </row>
    <row r="27" spans="1:3">
      <c r="A27" s="1420" t="s">
        <v>740</v>
      </c>
      <c r="B27" s="1420" t="s">
        <v>740</v>
      </c>
      <c r="C27" s="1421"/>
    </row>
    <row r="28" spans="1:3">
      <c r="A28" s="1420" t="s">
        <v>740</v>
      </c>
      <c r="B28" s="1420" t="s">
        <v>740</v>
      </c>
      <c r="C28" s="1421"/>
    </row>
    <row r="29" spans="1:3">
      <c r="A29" s="1420" t="s">
        <v>740</v>
      </c>
      <c r="B29" s="1420" t="s">
        <v>740</v>
      </c>
      <c r="C29" s="1421"/>
    </row>
    <row r="30" spans="1:3">
      <c r="A30" s="1420" t="s">
        <v>740</v>
      </c>
      <c r="B30" s="1420" t="s">
        <v>740</v>
      </c>
      <c r="C30" s="1421"/>
    </row>
    <row r="31" spans="1:3">
      <c r="A31" s="1420" t="s">
        <v>740</v>
      </c>
      <c r="B31" s="1420" t="s">
        <v>740</v>
      </c>
      <c r="C31" s="1421"/>
    </row>
    <row r="32" spans="1:3">
      <c r="A32" s="1420" t="s">
        <v>740</v>
      </c>
      <c r="B32" s="1420" t="s">
        <v>740</v>
      </c>
      <c r="C32" s="1421"/>
    </row>
    <row r="33" spans="1:3">
      <c r="A33" s="1420" t="s">
        <v>740</v>
      </c>
      <c r="B33" s="1420" t="s">
        <v>740</v>
      </c>
      <c r="C33" s="1421"/>
    </row>
    <row r="34" spans="1:3">
      <c r="A34" s="1420" t="s">
        <v>740</v>
      </c>
      <c r="B34" s="1420" t="s">
        <v>740</v>
      </c>
      <c r="C34" s="1421"/>
    </row>
    <row r="35" spans="1:3">
      <c r="A35" s="1420" t="s">
        <v>740</v>
      </c>
      <c r="B35" s="1420" t="s">
        <v>740</v>
      </c>
      <c r="C35" s="1421"/>
    </row>
    <row r="36" spans="1:3">
      <c r="A36" s="1420" t="s">
        <v>740</v>
      </c>
      <c r="B36" s="1420" t="s">
        <v>740</v>
      </c>
      <c r="C36" s="1421"/>
    </row>
    <row r="37" spans="1:3">
      <c r="A37" s="1420" t="s">
        <v>740</v>
      </c>
      <c r="B37" s="1420" t="s">
        <v>740</v>
      </c>
      <c r="C37" s="1421"/>
    </row>
    <row r="38" spans="1:3">
      <c r="A38" s="1420" t="s">
        <v>740</v>
      </c>
      <c r="B38" s="1420" t="s">
        <v>740</v>
      </c>
      <c r="C38" s="1421"/>
    </row>
    <row r="39" spans="1:3">
      <c r="A39" s="1420" t="s">
        <v>740</v>
      </c>
      <c r="B39" s="1420" t="s">
        <v>740</v>
      </c>
      <c r="C39" s="1421"/>
    </row>
    <row r="40" spans="1:3">
      <c r="A40" s="1420" t="s">
        <v>740</v>
      </c>
      <c r="B40" s="1420" t="s">
        <v>740</v>
      </c>
      <c r="C40" s="1421"/>
    </row>
    <row r="41" spans="1:3">
      <c r="A41" s="1420" t="s">
        <v>740</v>
      </c>
      <c r="B41" s="1420" t="s">
        <v>740</v>
      </c>
      <c r="C41" s="1421"/>
    </row>
    <row r="42" spans="1:3">
      <c r="A42" s="1420" t="s">
        <v>740</v>
      </c>
      <c r="B42" s="1420" t="s">
        <v>740</v>
      </c>
      <c r="C42" s="1421"/>
    </row>
    <row r="43" spans="1:3">
      <c r="A43" s="1420" t="s">
        <v>740</v>
      </c>
      <c r="B43" s="1420" t="s">
        <v>740</v>
      </c>
      <c r="C43" s="1421"/>
    </row>
    <row r="44" spans="1:3">
      <c r="A44" s="1420" t="s">
        <v>740</v>
      </c>
      <c r="B44" s="1420" t="s">
        <v>740</v>
      </c>
      <c r="C44" s="1421"/>
    </row>
    <row r="45" spans="1:3">
      <c r="A45" s="1420" t="s">
        <v>740</v>
      </c>
      <c r="B45" s="1420" t="s">
        <v>740</v>
      </c>
      <c r="C45" s="1421"/>
    </row>
    <row r="46" spans="1:3">
      <c r="A46" s="1420" t="s">
        <v>740</v>
      </c>
      <c r="B46" s="1420" t="s">
        <v>740</v>
      </c>
      <c r="C46" s="1421"/>
    </row>
    <row r="47" spans="1:3">
      <c r="A47" s="1420" t="s">
        <v>740</v>
      </c>
      <c r="B47" s="1420" t="s">
        <v>740</v>
      </c>
      <c r="C47" s="1421"/>
    </row>
    <row r="48" spans="1:3">
      <c r="A48" s="1420" t="s">
        <v>740</v>
      </c>
      <c r="B48" s="1420" t="s">
        <v>740</v>
      </c>
      <c r="C48" s="1421"/>
    </row>
    <row r="49" spans="1:4">
      <c r="A49" s="1420" t="s">
        <v>740</v>
      </c>
      <c r="B49" s="1420" t="s">
        <v>740</v>
      </c>
      <c r="C49" s="1421"/>
    </row>
    <row r="50" spans="1:4">
      <c r="A50" s="1420" t="s">
        <v>740</v>
      </c>
      <c r="B50" s="1420" t="s">
        <v>740</v>
      </c>
      <c r="C50" s="1421"/>
    </row>
    <row r="51" spans="1:4">
      <c r="A51" s="1424" t="s">
        <v>1512</v>
      </c>
      <c r="B51" s="9" t="str">
        <f>"为估价委托人在向"&amp;项目基本情况!B5&amp;"办理贷款手续过程中，确定房地产抵押贷款额度提供参考依据而评估房地产抵押价值。"</f>
        <v>为估价委托人在向XX办理贷款手续过程中，确定房地产抵押贷款额度提供参考依据而评估房地产抵押价值。</v>
      </c>
      <c r="C51" s="9" t="str">
        <f>项目基本情况!D7&amp;"拟使用"&amp;项目基本情况!I1&amp;"作为抵押担保物，向"&amp;项目基本情况!B5&amp;"办理贷款手续。"&amp;项目基本情况!B5&amp;"特委托北京康正宏基房地产评估有限公司对上述抵押物进行评估。本次评估为确定房地产抵押贷款额度提供参考依据而评估房地产抵押价值。"</f>
        <v>XX拟使用北京市房地产作为抵押担保物，向XX办理贷款手续。XX特委托北京康正宏基房地产评估有限公司对上述抵押物进行评估。本次评估为确定房地产抵押贷款额度提供参考依据而评估房地产抵押价值。</v>
      </c>
      <c r="D51" s="608" t="s">
        <v>1513</v>
      </c>
    </row>
    <row r="52" spans="1:4">
      <c r="A52" s="1424" t="s">
        <v>1514</v>
      </c>
      <c r="B52" s="1424" t="s">
        <v>1515</v>
      </c>
      <c r="C52" s="9" t="s">
        <v>1516</v>
      </c>
      <c r="D52" s="9" t="s">
        <v>1517</v>
      </c>
    </row>
    <row r="53" spans="1:4" ht="14.25" customHeight="1">
      <c r="A53" s="3211" t="s">
        <v>1518</v>
      </c>
      <c r="B53" s="9" t="s">
        <v>1519</v>
      </c>
      <c r="C53" s="9" t="str">
        <f>"本次估价的“房地产价值”是指在正常市场情况下，在价值时点"&amp;TEXT('数据-取费表'!B2,"yyyy年m月d日;;")
&amp;"，估价对象规划用途为"&amp;项目基本情况!C14&amp;"，假定未设立法定优先受偿款下的房地产市场价值。"</f>
        <v>本次估价的“房地产价值”是指在正常市场情况下，在价值时点2021年5月18日，估价对象规划用途为，假定未设立法定优先受偿款下的房地产市场价值。</v>
      </c>
    </row>
    <row r="54" spans="1:4">
      <c r="A54" s="3211"/>
      <c r="B54" s="9" t="s">
        <v>1520</v>
      </c>
      <c r="C54" s="9" t="s">
        <v>1521</v>
      </c>
    </row>
    <row r="55" spans="1:4">
      <c r="A55" s="3211"/>
      <c r="B55" s="9" t="s">
        <v>1522</v>
      </c>
      <c r="C55" s="9" t="s">
        <v>1523</v>
      </c>
    </row>
    <row r="56" spans="1:4">
      <c r="A56" s="3211"/>
      <c r="B56" s="9" t="s">
        <v>1524</v>
      </c>
      <c r="C56" s="9" t="s">
        <v>1525</v>
      </c>
    </row>
    <row r="57" spans="1:4">
      <c r="A57" s="3211"/>
      <c r="B57" s="9" t="s">
        <v>1526</v>
      </c>
      <c r="C57" s="9" t="s">
        <v>1527</v>
      </c>
    </row>
    <row r="58" spans="1:4">
      <c r="A58" s="1425"/>
      <c r="B58" s="1423"/>
    </row>
    <row r="59" spans="1:4">
      <c r="A59" s="1425"/>
      <c r="B59" s="1423"/>
    </row>
    <row r="60" spans="1:4">
      <c r="A60" s="8"/>
      <c r="B60" s="9"/>
    </row>
    <row r="61" spans="1:4">
      <c r="A61" s="8"/>
      <c r="B61" s="9"/>
    </row>
    <row r="62" spans="1:4">
      <c r="A62" s="8"/>
      <c r="B62" s="9"/>
    </row>
    <row r="63" spans="1:4">
      <c r="A63" s="8"/>
      <c r="B63" s="9"/>
    </row>
    <row r="64" spans="1:4">
      <c r="A64" s="8"/>
      <c r="B64" s="9"/>
    </row>
    <row r="65" spans="1:2">
      <c r="A65" s="8"/>
      <c r="B65" s="9"/>
    </row>
    <row r="66" spans="1:2">
      <c r="A66" s="8"/>
      <c r="B66" s="9"/>
    </row>
    <row r="67" spans="1:2">
      <c r="A67" s="8"/>
      <c r="B67" s="9"/>
    </row>
    <row r="68" spans="1:2">
      <c r="A68" s="8"/>
      <c r="B68" s="9"/>
    </row>
    <row r="69" spans="1:2">
      <c r="A69" s="8"/>
      <c r="B69" s="9"/>
    </row>
    <row r="70" spans="1:2">
      <c r="A70" s="8"/>
      <c r="B70" s="9"/>
    </row>
    <row r="71" spans="1:2">
      <c r="A71" s="8"/>
      <c r="B71" s="9"/>
    </row>
    <row r="72" spans="1:2">
      <c r="A72" s="8"/>
      <c r="B72" s="9"/>
    </row>
    <row r="73" spans="1:2">
      <c r="A73" s="8"/>
      <c r="B73" s="9"/>
    </row>
    <row r="74" spans="1:2">
      <c r="A74" s="8"/>
      <c r="B74" s="9"/>
    </row>
    <row r="75" spans="1:2">
      <c r="A75" s="8"/>
      <c r="B75" s="9"/>
    </row>
    <row r="76" spans="1:2">
      <c r="A76" s="8"/>
      <c r="B76" s="9"/>
    </row>
    <row r="77" spans="1:2">
      <c r="A77" s="8"/>
      <c r="B77" s="9"/>
    </row>
    <row r="78" spans="1:2">
      <c r="A78" s="8"/>
      <c r="B78" s="9"/>
    </row>
    <row r="79" spans="1:2">
      <c r="A79" s="8"/>
      <c r="B79" s="9"/>
    </row>
    <row r="80" spans="1:2">
      <c r="A80" s="8"/>
      <c r="B80" s="9"/>
    </row>
    <row r="81" spans="1:2">
      <c r="A81" s="8"/>
      <c r="B81" s="9"/>
    </row>
    <row r="82" spans="1:2">
      <c r="A82" s="8"/>
      <c r="B82" s="9"/>
    </row>
    <row r="83" spans="1:2">
      <c r="A83" s="8"/>
      <c r="B83" s="9"/>
    </row>
    <row r="84" spans="1:2">
      <c r="A84" s="8"/>
      <c r="B84" s="9"/>
    </row>
    <row r="85" spans="1:2">
      <c r="A85" s="8"/>
      <c r="B85" s="9"/>
    </row>
    <row r="86" spans="1:2">
      <c r="A86" s="8"/>
      <c r="B86" s="9"/>
    </row>
    <row r="87" spans="1:2">
      <c r="A87" s="8"/>
      <c r="B87" s="9"/>
    </row>
    <row r="88" spans="1:2">
      <c r="A88" s="8"/>
      <c r="B88" s="9"/>
    </row>
    <row r="89" spans="1:2">
      <c r="A89" s="8"/>
      <c r="B89" s="9"/>
    </row>
    <row r="90" spans="1:2">
      <c r="A90" s="8"/>
      <c r="B90" s="9"/>
    </row>
    <row r="91" spans="1:2">
      <c r="A91" s="8"/>
      <c r="B91" s="9"/>
    </row>
    <row r="92" spans="1:2">
      <c r="A92" s="8"/>
      <c r="B92" s="9"/>
    </row>
    <row r="93" spans="1:2">
      <c r="A93" s="8"/>
      <c r="B93" s="9"/>
    </row>
    <row r="94" spans="1:2">
      <c r="A94" s="8"/>
      <c r="B94" s="9"/>
    </row>
    <row r="95" spans="1:2">
      <c r="A95" s="8"/>
      <c r="B95" s="9"/>
    </row>
    <row r="96" spans="1:2">
      <c r="A96" s="8"/>
      <c r="B96" s="9"/>
    </row>
    <row r="97" spans="1:2">
      <c r="A97" s="8"/>
      <c r="B97" s="9"/>
    </row>
    <row r="98" spans="1:2">
      <c r="A98" s="8"/>
      <c r="B98" s="9"/>
    </row>
    <row r="99" spans="1:2">
      <c r="A99" s="8"/>
      <c r="B99" s="9"/>
    </row>
    <row r="100" spans="1:2">
      <c r="A100" s="8"/>
      <c r="B100" s="9"/>
    </row>
    <row r="101" spans="1:2">
      <c r="A101" s="8"/>
      <c r="B101" s="9"/>
    </row>
    <row r="102" spans="1:2">
      <c r="A102" s="8"/>
      <c r="B102" s="9"/>
    </row>
    <row r="103" spans="1:2">
      <c r="A103" s="8"/>
      <c r="B103" s="9"/>
    </row>
    <row r="104" spans="1:2">
      <c r="A104" s="8"/>
      <c r="B104" s="9"/>
    </row>
    <row r="105" spans="1:2">
      <c r="A105" s="8"/>
      <c r="B105" s="9"/>
    </row>
    <row r="106" spans="1:2">
      <c r="A106" s="8"/>
      <c r="B106" s="9"/>
    </row>
    <row r="107" spans="1:2">
      <c r="A107" s="8"/>
      <c r="B107" s="9"/>
    </row>
    <row r="108" spans="1:2">
      <c r="A108" s="8"/>
      <c r="B108" s="9"/>
    </row>
    <row r="109" spans="1:2">
      <c r="A109" s="8"/>
      <c r="B109" s="9"/>
    </row>
    <row r="110" spans="1:2">
      <c r="A110" s="8"/>
      <c r="B110" s="9"/>
    </row>
    <row r="111" spans="1:2">
      <c r="A111" s="8"/>
      <c r="B111" s="9"/>
    </row>
    <row r="112" spans="1:2">
      <c r="A112" s="8"/>
      <c r="B112" s="9"/>
    </row>
    <row r="113" spans="1:2">
      <c r="A113" s="8"/>
      <c r="B113" s="9"/>
    </row>
    <row r="114" spans="1:2">
      <c r="A114" s="8"/>
      <c r="B114" s="9"/>
    </row>
    <row r="115" spans="1:2">
      <c r="A115" s="8"/>
      <c r="B115" s="9"/>
    </row>
    <row r="116" spans="1:2">
      <c r="A116" s="8"/>
      <c r="B116" s="9"/>
    </row>
    <row r="117" spans="1:2">
      <c r="A117" s="8"/>
      <c r="B117" s="9"/>
    </row>
    <row r="118" spans="1:2">
      <c r="A118" s="8"/>
      <c r="B118" s="9"/>
    </row>
    <row r="119" spans="1:2">
      <c r="A119" s="8"/>
      <c r="B119" s="9"/>
    </row>
    <row r="120" spans="1:2">
      <c r="A120" s="8"/>
      <c r="B120" s="9"/>
    </row>
    <row r="121" spans="1:2">
      <c r="A121" s="8"/>
      <c r="B121" s="9"/>
    </row>
    <row r="122" spans="1:2">
      <c r="A122" s="8"/>
      <c r="B122" s="9"/>
    </row>
    <row r="123" spans="1:2">
      <c r="A123" s="8"/>
      <c r="B123" s="9"/>
    </row>
    <row r="124" spans="1:2">
      <c r="A124" s="8"/>
      <c r="B124" s="9"/>
    </row>
    <row r="125" spans="1:2">
      <c r="A125" s="8"/>
      <c r="B125" s="9"/>
    </row>
    <row r="126" spans="1:2">
      <c r="A126" s="8"/>
      <c r="B126" s="9"/>
    </row>
    <row r="127" spans="1:2">
      <c r="A127" s="8"/>
      <c r="B127" s="9"/>
    </row>
    <row r="128" spans="1:2">
      <c r="A128" s="8"/>
      <c r="B128" s="9"/>
    </row>
  </sheetData>
  <sheetProtection password="CEE9" sheet="1" objects="1" scenarios="1" formatCells="0" formatColumns="0" formatRows="0"/>
  <mergeCells count="1">
    <mergeCell ref="A53:A57"/>
  </mergeCells>
  <phoneticPr fontId="1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37</vt:i4>
      </vt:variant>
      <vt:variant>
        <vt:lpstr>命名范围</vt:lpstr>
      </vt:variant>
      <vt:variant>
        <vt:i4>162</vt:i4>
      </vt:variant>
    </vt:vector>
  </HeadingPairs>
  <TitlesOfParts>
    <vt:vector size="199" baseType="lpstr">
      <vt:lpstr>致函链接</vt:lpstr>
      <vt:lpstr>预评函-封皮</vt:lpstr>
      <vt:lpstr>预评函-1</vt:lpstr>
      <vt:lpstr>预评函-2（1）</vt:lpstr>
      <vt:lpstr>预评函-2（2）</vt:lpstr>
      <vt:lpstr>预评函-3</vt:lpstr>
      <vt:lpstr>使用说明</vt:lpstr>
      <vt:lpstr>估价师及机构信息</vt:lpstr>
      <vt:lpstr>定义</vt:lpstr>
      <vt:lpstr>项目基本情况</vt:lpstr>
      <vt:lpstr>抵押物清单（分楼）</vt:lpstr>
      <vt:lpstr>数据-取费表</vt:lpstr>
      <vt:lpstr>估价对象房地状况</vt:lpstr>
      <vt:lpstr>系统读取表</vt:lpstr>
      <vt:lpstr>结果表</vt:lpstr>
      <vt:lpstr>结果表 (1修多)</vt:lpstr>
      <vt:lpstr>成本法</vt:lpstr>
      <vt:lpstr>假设开发法</vt:lpstr>
      <vt:lpstr>基准地价修正</vt:lpstr>
      <vt:lpstr>收益法</vt:lpstr>
      <vt:lpstr>酒店收入计算</vt:lpstr>
      <vt:lpstr>比较法-住宅</vt:lpstr>
      <vt:lpstr>比较法-商业</vt:lpstr>
      <vt:lpstr>典型户型修正</vt:lpstr>
      <vt:lpstr>比较法-办公</vt:lpstr>
      <vt:lpstr>比较法-工业</vt:lpstr>
      <vt:lpstr>比较法-车位</vt:lpstr>
      <vt:lpstr>比较法-仓储</vt:lpstr>
      <vt:lpstr>土地比较法-住宅、综合</vt:lpstr>
      <vt:lpstr>土地比较法-工业</vt:lpstr>
      <vt:lpstr>因素修正幅度</vt:lpstr>
      <vt:lpstr>基准地价修正-因素</vt:lpstr>
      <vt:lpstr>区片价</vt:lpstr>
      <vt:lpstr>修正</vt:lpstr>
      <vt:lpstr>容积率修正</vt:lpstr>
      <vt:lpstr>地价</vt:lpstr>
      <vt:lpstr>存贷款利率</vt:lpstr>
      <vt:lpstr>'比较法-办公'!Print_Area</vt:lpstr>
      <vt:lpstr>'比较法-仓储'!Print_Area</vt:lpstr>
      <vt:lpstr>'比较法-车位'!Print_Area</vt:lpstr>
      <vt:lpstr>'比较法-工业'!Print_Area</vt:lpstr>
      <vt:lpstr>'比较法-商业'!Print_Area</vt:lpstr>
      <vt:lpstr>'比较法-住宅'!Print_Area</vt:lpstr>
      <vt:lpstr>典型户型修正!Print_Area</vt:lpstr>
      <vt:lpstr>估价对象房地状况!Print_Area</vt:lpstr>
      <vt:lpstr>估价师及机构信息!Print_Area</vt:lpstr>
      <vt:lpstr>基准地价修正!Print_Area</vt:lpstr>
      <vt:lpstr>结果表!Print_Area</vt:lpstr>
      <vt:lpstr>'结果表 (1修多)'!Print_Area</vt:lpstr>
      <vt:lpstr>酒店收入计算!Print_Area</vt:lpstr>
      <vt:lpstr>收益法!Print_Area</vt:lpstr>
      <vt:lpstr>'数据-取费表'!Print_Area</vt:lpstr>
      <vt:lpstr>'土地比较法-工业'!Print_Area</vt:lpstr>
      <vt:lpstr>'土地比较法-住宅、综合'!Print_Area</vt:lpstr>
      <vt:lpstr>系统读取表!Print_Area</vt:lpstr>
      <vt:lpstr>项目基本情况!Print_Area</vt:lpstr>
      <vt:lpstr>'预评函-3'!Print_Area</vt:lpstr>
      <vt:lpstr>八级</vt:lpstr>
      <vt:lpstr>办公层高</vt:lpstr>
      <vt:lpstr>办公朝向</vt:lpstr>
      <vt:lpstr>办公道路级别</vt:lpstr>
      <vt:lpstr>办公公共部分装修</vt:lpstr>
      <vt:lpstr>办公基础设施水平</vt:lpstr>
      <vt:lpstr>办公集聚程度</vt:lpstr>
      <vt:lpstr>办公建筑结构</vt:lpstr>
      <vt:lpstr>办公建筑类型</vt:lpstr>
      <vt:lpstr>办公交易情况</vt:lpstr>
      <vt:lpstr>办公楼层</vt:lpstr>
      <vt:lpstr>办公内部装修</vt:lpstr>
      <vt:lpstr>办公物业管理</vt:lpstr>
      <vt:lpstr>办公用途</vt:lpstr>
      <vt:lpstr>仓储公共部分装修</vt:lpstr>
      <vt:lpstr>仓储交易情况</vt:lpstr>
      <vt:lpstr>仓储楼层</vt:lpstr>
      <vt:lpstr>仓储物业等级</vt:lpstr>
      <vt:lpstr>仓储用途</vt:lpstr>
      <vt:lpstr>产业集聚程度</vt:lpstr>
      <vt:lpstr>车位公共部分装修</vt:lpstr>
      <vt:lpstr>车位交易情况</vt:lpstr>
      <vt:lpstr>车位类型</vt:lpstr>
      <vt:lpstr>车位楼层</vt:lpstr>
      <vt:lpstr>车位配套类型</vt:lpstr>
      <vt:lpstr>车位物业等级</vt:lpstr>
      <vt:lpstr>车位用途</vt:lpstr>
      <vt:lpstr>城镇土地纳税等级分级范围</vt:lpstr>
      <vt:lpstr>单价内涵</vt:lpstr>
      <vt:lpstr>抵押</vt:lpstr>
      <vt:lpstr>抵押净值</vt:lpstr>
      <vt:lpstr>抵押净值定义</vt:lpstr>
      <vt:lpstr>地类判定</vt:lpstr>
      <vt:lpstr>二级</vt:lpstr>
      <vt:lpstr>二级分类</vt:lpstr>
      <vt:lpstr>法定最高年限</vt:lpstr>
      <vt:lpstr>房地产估价师及注册号</vt:lpstr>
      <vt:lpstr>工业公共部分装修</vt:lpstr>
      <vt:lpstr>工业基础设施水平</vt:lpstr>
      <vt:lpstr>工业建筑结构</vt:lpstr>
      <vt:lpstr>工业建筑类型</vt:lpstr>
      <vt:lpstr>工业交易情况</vt:lpstr>
      <vt:lpstr>工业内部装修</vt:lpstr>
      <vt:lpstr>工业物业管理</vt:lpstr>
      <vt:lpstr>工业用途</vt:lpstr>
      <vt:lpstr>公共配套设施</vt:lpstr>
      <vt:lpstr>估价方法</vt:lpstr>
      <vt:lpstr>估价目的</vt:lpstr>
      <vt:lpstr>环境</vt:lpstr>
      <vt:lpstr>基础设施水平</vt:lpstr>
      <vt:lpstr>季度</vt:lpstr>
      <vt:lpstr>价值类型</vt:lpstr>
      <vt:lpstr>价值类型2</vt:lpstr>
      <vt:lpstr>建筑使用方向</vt:lpstr>
      <vt:lpstr>交通便捷度</vt:lpstr>
      <vt:lpstr>结构</vt:lpstr>
      <vt:lpstr>仅抵押价值</vt:lpstr>
      <vt:lpstr>九级</vt:lpstr>
      <vt:lpstr>居住社区成熟度</vt:lpstr>
      <vt:lpstr>类别</vt:lpstr>
      <vt:lpstr>临街状况</vt:lpstr>
      <vt:lpstr>六级</vt:lpstr>
      <vt:lpstr>内部装修维护情况</vt:lpstr>
      <vt:lpstr>判定</vt:lpstr>
      <vt:lpstr>七级</vt:lpstr>
      <vt:lpstr>七通一平</vt:lpstr>
      <vt:lpstr>区域土地利用方向</vt:lpstr>
      <vt:lpstr>三级</vt:lpstr>
      <vt:lpstr>商业层高</vt:lpstr>
      <vt:lpstr>商业成新度</vt:lpstr>
      <vt:lpstr>商业繁华度</vt:lpstr>
      <vt:lpstr>商业公共部分装修</vt:lpstr>
      <vt:lpstr>商业基础设施水平</vt:lpstr>
      <vt:lpstr>商业建筑结构</vt:lpstr>
      <vt:lpstr>商业交易情况</vt:lpstr>
      <vt:lpstr>商业街名称</vt:lpstr>
      <vt:lpstr>商业进深比</vt:lpstr>
      <vt:lpstr>商业类型</vt:lpstr>
      <vt:lpstr>商业临街状况</vt:lpstr>
      <vt:lpstr>商业楼层</vt:lpstr>
      <vt:lpstr>商业内部装修</vt:lpstr>
      <vt:lpstr>商业人流量</vt:lpstr>
      <vt:lpstr>商业业态</vt:lpstr>
      <vt:lpstr>商业用途</vt:lpstr>
      <vt:lpstr>十二级</vt:lpstr>
      <vt:lpstr>十级</vt:lpstr>
      <vt:lpstr>十一级</vt:lpstr>
      <vt:lpstr>是否封闭</vt:lpstr>
      <vt:lpstr>是否直接入户</vt:lpstr>
      <vt:lpstr>四级</vt:lpstr>
      <vt:lpstr>套工道路等级</vt:lpstr>
      <vt:lpstr>套工地质条件</vt:lpstr>
      <vt:lpstr>套工交易情况</vt:lpstr>
      <vt:lpstr>套工土地级别</vt:lpstr>
      <vt:lpstr>套工用途</vt:lpstr>
      <vt:lpstr>套工宗地内开发程度</vt:lpstr>
      <vt:lpstr>套工宗地形状</vt:lpstr>
      <vt:lpstr>套综道路等级</vt:lpstr>
      <vt:lpstr>套综工程地质条件</vt:lpstr>
      <vt:lpstr>套综交易情况</vt:lpstr>
      <vt:lpstr>套综临街宽度及深度</vt:lpstr>
      <vt:lpstr>套综土地级别</vt:lpstr>
      <vt:lpstr>套综用途</vt:lpstr>
      <vt:lpstr>套综宗地内开发程度</vt:lpstr>
      <vt:lpstr>套综宗地形状</vt:lpstr>
      <vt:lpstr>土地估价师</vt:lpstr>
      <vt:lpstr>土地估价师及注册号</vt:lpstr>
      <vt:lpstr>土地级别</vt:lpstr>
      <vt:lpstr>土地利用方向</vt:lpstr>
      <vt:lpstr>土地年限区间</vt:lpstr>
      <vt:lpstr>位置</vt:lpstr>
      <vt:lpstr>五等判定</vt:lpstr>
      <vt:lpstr>五级</vt:lpstr>
      <vt:lpstr>项目类型取费</vt:lpstr>
      <vt:lpstr>写字楼等级</vt:lpstr>
      <vt:lpstr>一级</vt:lpstr>
      <vt:lpstr>一修多修正项2</vt:lpstr>
      <vt:lpstr>一修多修正项3</vt:lpstr>
      <vt:lpstr>一修多修正项4</vt:lpstr>
      <vt:lpstr>一修多修正项5</vt:lpstr>
      <vt:lpstr>一修多修正项6</vt:lpstr>
      <vt:lpstr>一修多修正项7</vt:lpstr>
      <vt:lpstr>一修多修正项8</vt:lpstr>
      <vt:lpstr>已注销</vt:lpstr>
      <vt:lpstr>已注销及未注销</vt:lpstr>
      <vt:lpstr>用途明细</vt:lpstr>
      <vt:lpstr>有无电梯</vt:lpstr>
      <vt:lpstr>主用途</vt:lpstr>
      <vt:lpstr>住宅朝向</vt:lpstr>
      <vt:lpstr>住宅房型</vt:lpstr>
      <vt:lpstr>住宅公共部分装修</vt:lpstr>
      <vt:lpstr>住宅基础设施水平</vt:lpstr>
      <vt:lpstr>住宅建筑结构</vt:lpstr>
      <vt:lpstr>住宅建筑类型</vt:lpstr>
      <vt:lpstr>住宅建筑品质</vt:lpstr>
      <vt:lpstr>住宅交易情况</vt:lpstr>
      <vt:lpstr>住宅楼层</vt:lpstr>
      <vt:lpstr>住宅内部装修</vt:lpstr>
      <vt:lpstr>住宅物业管理</vt:lpstr>
      <vt:lpstr>住宅用途</vt:lpstr>
      <vt:lpstr>住宅主力户型面积</vt:lpstr>
      <vt:lpstr>注册房地产估价师</vt:lpstr>
    </vt:vector>
  </TitlesOfParts>
  <Company>Sky123.Org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KG</cp:lastModifiedBy>
  <cp:lastPrinted>2020-08-03T08:20:51Z</cp:lastPrinted>
  <dcterms:created xsi:type="dcterms:W3CDTF">2015-07-13T07:17:23Z</dcterms:created>
  <dcterms:modified xsi:type="dcterms:W3CDTF">2021-05-20T02:22:15Z</dcterms:modified>
</cp:coreProperties>
</file>