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5" yWindow="0" windowWidth="16485" windowHeight="1210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按楼清单" sheetId="95" r:id="rId11"/>
    <sheet name="结果表汇总" sheetId="94" r:id="rId12"/>
    <sheet name="项目基本情况" sheetId="4" r:id="rId13"/>
    <sheet name="定义" sheetId="10" r:id="rId14"/>
    <sheet name="数据-基础表" sheetId="3" r:id="rId15"/>
    <sheet name="抵押物清单（分楼）" sheetId="42" state="hidden" r:id="rId16"/>
    <sheet name="数据-汇总表" sheetId="6" r:id="rId17"/>
    <sheet name="面积表" sheetId="83" state="hidden" r:id="rId18"/>
    <sheet name="数据-取费表" sheetId="1" r:id="rId19"/>
    <sheet name="估价对象房地状况" sheetId="20" r:id="rId20"/>
    <sheet name="系统读取表" sheetId="74" r:id="rId21"/>
    <sheet name="结果一览表" sheetId="84" state="hidden" r:id="rId22"/>
    <sheet name="结果表" sheetId="9" r:id="rId23"/>
    <sheet name="土地比较法-住宅、综合" sheetId="85" r:id="rId24"/>
    <sheet name="成本法" sheetId="68" r:id="rId25"/>
    <sheet name="比较法-商业" sheetId="33" state="hidden" r:id="rId26"/>
    <sheet name="典型户型修正" sheetId="31" state="hidden" r:id="rId27"/>
    <sheet name="收益法商租" sheetId="77" r:id="rId28"/>
    <sheet name="收益法商自" sheetId="90" r:id="rId29"/>
    <sheet name="收益法1号楼" sheetId="96" r:id="rId30"/>
    <sheet name="收益法2号楼" sheetId="97" r:id="rId31"/>
    <sheet name="收益法商（汇总）" sheetId="70" r:id="rId32"/>
    <sheet name="结果表办" sheetId="78" state="hidden" r:id="rId33"/>
    <sheet name="比较法-办公" sheetId="34" state="hidden" r:id="rId34"/>
    <sheet name="成本法 (元)" sheetId="69" state="hidden" r:id="rId35"/>
    <sheet name="假设开发法" sheetId="12" state="hidden" r:id="rId36"/>
    <sheet name="收益法 (元)" sheetId="67" state="hidden" r:id="rId37"/>
    <sheet name="典型户型修正办" sheetId="82" state="hidden" r:id="rId38"/>
    <sheet name="收益法办租" sheetId="91" state="hidden" r:id="rId39"/>
    <sheet name="收益法办自" sheetId="15" state="hidden" r:id="rId40"/>
    <sheet name="比较法-住宅" sheetId="21" state="hidden" r:id="rId41"/>
    <sheet name="比较法-工业" sheetId="37" state="hidden" r:id="rId42"/>
    <sheet name="收益法办（汇总）" sheetId="92" state="hidden" r:id="rId43"/>
    <sheet name="结果表车" sheetId="88" state="hidden" r:id="rId44"/>
    <sheet name="比较法-车位" sheetId="35" state="hidden" r:id="rId45"/>
    <sheet name="比较法-仓储" sheetId="36" state="hidden" r:id="rId46"/>
    <sheet name="土地比较法-工业" sheetId="40" state="hidden" r:id="rId47"/>
    <sheet name="收益法车库" sheetId="87" state="hidden" r:id="rId48"/>
    <sheet name="结果表酒店" sheetId="80" state="hidden" r:id="rId49"/>
    <sheet name="成本法酒店" sheetId="86" state="hidden" r:id="rId50"/>
    <sheet name="基准地价修正" sheetId="43" state="hidden" r:id="rId51"/>
    <sheet name="修正" sheetId="45" state="hidden" r:id="rId52"/>
    <sheet name="容积率修正" sheetId="46" state="hidden" r:id="rId53"/>
    <sheet name="基准地价（汇总）" sheetId="76" state="hidden" r:id="rId54"/>
    <sheet name="收益法酒店" sheetId="79" state="hidden" r:id="rId55"/>
    <sheet name="酒店收入计算" sheetId="66" state="hidden" r:id="rId56"/>
    <sheet name="地价" sheetId="71" r:id="rId57"/>
    <sheet name="土地案例" sheetId="81" r:id="rId58"/>
    <sheet name="成本法（废）" sheetId="11" state="hidden" r:id="rId59"/>
    <sheet name="区片价" sheetId="44" state="hidden" r:id="rId60"/>
    <sheet name="因素修正幅度" sheetId="65" state="hidden" r:id="rId61"/>
    <sheet name="存贷款利率" sheetId="73" state="hidden" r:id="rId62"/>
    <sheet name="区片价（范围）" sheetId="75" state="hidden" r:id="rId63"/>
  </sheets>
  <externalReferences>
    <externalReference r:id="rId64"/>
    <externalReference r:id="rId65"/>
    <externalReference r:id="rId66"/>
    <externalReference r:id="rId67"/>
  </externalReferences>
  <definedNames>
    <definedName name="_xlnm._FilterDatabase" localSheetId="10" hidden="1">按楼清单!$A$1:$S$1</definedName>
    <definedName name="_xlnm._FilterDatabase" localSheetId="33" hidden="1">'比较法-办公'!$A$1:$L$50</definedName>
    <definedName name="_xlnm._FilterDatabase" localSheetId="45" hidden="1">'比较法-仓储'!$A$1:$L$37</definedName>
    <definedName name="_xlnm._FilterDatabase" localSheetId="44" hidden="1">'比较法-车位'!$A$1:$L$39</definedName>
    <definedName name="_xlnm._FilterDatabase" localSheetId="41" hidden="1">'比较法-工业'!$A$1:$L$43</definedName>
    <definedName name="_xlnm._FilterDatabase" localSheetId="25" hidden="1">'比较法-商业'!$A$1:$L$49</definedName>
    <definedName name="_xlnm._FilterDatabase" localSheetId="40" hidden="1">'比较法-住宅'!$A$1:$L$49</definedName>
    <definedName name="_xlnm._FilterDatabase" localSheetId="9" hidden="1">抵押清单!$A$1:$S$1</definedName>
    <definedName name="_xlnm._FilterDatabase" localSheetId="17" hidden="1">面积表!$A$1:$T$1</definedName>
    <definedName name="_xlnm._FilterDatabase" localSheetId="14" hidden="1">'数据-基础表'!$A$12:$AT$587</definedName>
    <definedName name="_xlnm._FilterDatabase" localSheetId="46" hidden="1">'土地比较法-工业'!$A$1:$L$43</definedName>
    <definedName name="_xlnm._FilterDatabase" localSheetId="23" hidden="1">'土地比较法-住宅、综合'!$A$1:$L$48</definedName>
    <definedName name="_xlnm._FilterDatabase" localSheetId="12" hidden="1">项目基本情况!$A$42:$N$42</definedName>
    <definedName name="_xlnm.Print_Area" localSheetId="8">估价师及机构信息!$A$1:$F$29</definedName>
    <definedName name="_xlnm.Print_Area" localSheetId="36">'收益法 (元)'!$A$1:$AK$69</definedName>
    <definedName name="_xlnm.Print_Area" localSheetId="29">收益法1号楼!$A$1:$AK$69</definedName>
    <definedName name="_xlnm.Print_Area" localSheetId="30">收益法2号楼!$A$1:$AK$69</definedName>
    <definedName name="_xlnm.Print_Area" localSheetId="39">收益法办自!$A$1:$AK$69</definedName>
    <definedName name="_xlnm.Print_Area" localSheetId="38">收益法办租!$A$1:$AK$69</definedName>
    <definedName name="_xlnm.Print_Area" localSheetId="47">收益法车库!$A$1:$AK$69</definedName>
    <definedName name="_xlnm.Print_Area" localSheetId="54">收益法酒店!$A$1:$AK$69</definedName>
    <definedName name="_xlnm.Print_Area" localSheetId="28">收益法商自!$A$1:$AK$69</definedName>
    <definedName name="_xlnm.Print_Area" localSheetId="27">收益法商租!$A$1:$AK$69</definedName>
    <definedName name="_xlnm.Print_Area" localSheetId="16">'数据-汇总表'!$A$1:$P$32</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10">#REF!</definedName>
    <definedName name="套工交易情况" localSheetId="9">#REF!</definedName>
    <definedName name="套工交易情况" localSheetId="29">#REF!</definedName>
    <definedName name="套工交易情况" localSheetId="30">#REF!</definedName>
    <definedName name="套工交易情况" localSheetId="42">#REF!</definedName>
    <definedName name="套工交易情况" localSheetId="38">#REF!</definedName>
    <definedName name="套工交易情况" localSheetId="28">#REF!</definedName>
    <definedName name="套工交易情况" localSheetId="23">'土地比较法-住宅、综合'!$A$73:$M$73</definedName>
    <definedName name="套工交易情况">#REF!</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10">#REF!</definedName>
    <definedName name="套综道路等级" localSheetId="9">#REF!</definedName>
    <definedName name="套综道路等级" localSheetId="29">#REF!</definedName>
    <definedName name="套综道路等级" localSheetId="30">#REF!</definedName>
    <definedName name="套综道路等级" localSheetId="42">#REF!</definedName>
    <definedName name="套综道路等级" localSheetId="38">#REF!</definedName>
    <definedName name="套综道路等级" localSheetId="28">#REF!</definedName>
    <definedName name="套综道路等级" localSheetId="23">'土地比较法-住宅、综合'!$B$106:$M$106</definedName>
    <definedName name="套综道路等级">#REF!</definedName>
    <definedName name="套综工程地质条件" localSheetId="10">#REF!</definedName>
    <definedName name="套综工程地质条件" localSheetId="9">#REF!</definedName>
    <definedName name="套综工程地质条件" localSheetId="29">#REF!</definedName>
    <definedName name="套综工程地质条件" localSheetId="30">#REF!</definedName>
    <definedName name="套综工程地质条件" localSheetId="42">#REF!</definedName>
    <definedName name="套综工程地质条件" localSheetId="38">#REF!</definedName>
    <definedName name="套综工程地质条件" localSheetId="28">#REF!</definedName>
    <definedName name="套综工程地质条件" localSheetId="23">'土地比较法-住宅、综合'!$B$125:$M$125</definedName>
    <definedName name="套综工程地质条件">#REF!</definedName>
    <definedName name="套综交易情况" localSheetId="10">#REF!</definedName>
    <definedName name="套综交易情况" localSheetId="9">#REF!</definedName>
    <definedName name="套综交易情况" localSheetId="29">#REF!</definedName>
    <definedName name="套综交易情况" localSheetId="30">#REF!</definedName>
    <definedName name="套综交易情况" localSheetId="42">#REF!</definedName>
    <definedName name="套综交易情况" localSheetId="38">#REF!</definedName>
    <definedName name="套综交易情况" localSheetId="28">#REF!</definedName>
    <definedName name="套综交易情况" localSheetId="23">'土地比较法-住宅、综合'!$A$73:$M$73</definedName>
    <definedName name="套综交易情况">#REF!</definedName>
    <definedName name="套综临街宽度及深度" localSheetId="10">#REF!</definedName>
    <definedName name="套综临街宽度及深度" localSheetId="9">#REF!</definedName>
    <definedName name="套综临街宽度及深度" localSheetId="29">#REF!</definedName>
    <definedName name="套综临街宽度及深度" localSheetId="30">#REF!</definedName>
    <definedName name="套综临街宽度及深度" localSheetId="42">#REF!</definedName>
    <definedName name="套综临街宽度及深度" localSheetId="38">#REF!</definedName>
    <definedName name="套综临街宽度及深度" localSheetId="28">#REF!</definedName>
    <definedName name="套综临街宽度及深度" localSheetId="23">'土地比较法-住宅、综合'!$B$121:$M$121</definedName>
    <definedName name="套综临街宽度及深度">#REF!</definedName>
    <definedName name="套综土地级别" localSheetId="10">#REF!</definedName>
    <definedName name="套综土地级别" localSheetId="9">#REF!</definedName>
    <definedName name="套综土地级别" localSheetId="29">#REF!</definedName>
    <definedName name="套综土地级别" localSheetId="30">#REF!</definedName>
    <definedName name="套综土地级别" localSheetId="42">#REF!</definedName>
    <definedName name="套综土地级别" localSheetId="38">#REF!</definedName>
    <definedName name="套综土地级别" localSheetId="28">#REF!</definedName>
    <definedName name="套综土地级别" localSheetId="23">'土地比较法-住宅、综合'!$B$108:$M$108</definedName>
    <definedName name="套综土地级别">#REF!</definedName>
    <definedName name="套综用途" localSheetId="10">#REF!</definedName>
    <definedName name="套综用途" localSheetId="9">#REF!</definedName>
    <definedName name="套综用途" localSheetId="29">#REF!</definedName>
    <definedName name="套综用途" localSheetId="30">#REF!</definedName>
    <definedName name="套综用途" localSheetId="42">#REF!</definedName>
    <definedName name="套综用途" localSheetId="38">#REF!</definedName>
    <definedName name="套综用途" localSheetId="28">#REF!</definedName>
    <definedName name="套综用途" localSheetId="23">'土地比较法-住宅、综合'!$B$75:$M$75</definedName>
    <definedName name="套综用途">#REF!</definedName>
    <definedName name="套综宗地内开发程度" localSheetId="10">#REF!</definedName>
    <definedName name="套综宗地内开发程度" localSheetId="9">#REF!</definedName>
    <definedName name="套综宗地内开发程度" localSheetId="29">#REF!</definedName>
    <definedName name="套综宗地内开发程度" localSheetId="30">#REF!</definedName>
    <definedName name="套综宗地内开发程度" localSheetId="42">#REF!</definedName>
    <definedName name="套综宗地内开发程度" localSheetId="38">#REF!</definedName>
    <definedName name="套综宗地内开发程度" localSheetId="28">#REF!</definedName>
    <definedName name="套综宗地内开发程度" localSheetId="23">'土地比较法-住宅、综合'!$B$123:$M$123</definedName>
    <definedName name="套综宗地内开发程度">#REF!</definedName>
    <definedName name="套综宗地形状" localSheetId="10">#REF!</definedName>
    <definedName name="套综宗地形状" localSheetId="9">#REF!</definedName>
    <definedName name="套综宗地形状" localSheetId="29">#REF!</definedName>
    <definedName name="套综宗地形状" localSheetId="30">#REF!</definedName>
    <definedName name="套综宗地形状" localSheetId="42">#REF!</definedName>
    <definedName name="套综宗地形状" localSheetId="38">#REF!</definedName>
    <definedName name="套综宗地形状" localSheetId="28">#REF!</definedName>
    <definedName name="套综宗地形状" localSheetId="23">'土地比较法-住宅、综合'!$B$119:$M$119</definedName>
    <definedName name="套综宗地形状">#REF!</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37">典型户型修正办!$5:$5</definedName>
    <definedName name="一修多修正项2" localSheetId="23">[1]典型户型修正!$5:$5</definedName>
    <definedName name="一修多修正项2">典型户型修正!$5:$5</definedName>
    <definedName name="一修多修正项3" localSheetId="37">典型户型修正办!$7:$7</definedName>
    <definedName name="一修多修正项3" localSheetId="23">[1]典型户型修正!$7:$7</definedName>
    <definedName name="一修多修正项3">典型户型修正!$7:$7</definedName>
    <definedName name="一修多修正项4" localSheetId="37">典型户型修正办!$9:$9</definedName>
    <definedName name="一修多修正项4" localSheetId="23">[1]典型户型修正!$9:$9</definedName>
    <definedName name="一修多修正项4">典型户型修正!$9:$9</definedName>
    <definedName name="一修多修正项5" localSheetId="37">典型户型修正办!$11:$11</definedName>
    <definedName name="一修多修正项5" localSheetId="23">[1]典型户型修正!$11:$11</definedName>
    <definedName name="一修多修正项5">典型户型修正!$11:$11</definedName>
    <definedName name="一修多修正项6" localSheetId="37">典型户型修正办!$13:$13</definedName>
    <definedName name="一修多修正项6" localSheetId="23">[1]典型户型修正!$13:$13</definedName>
    <definedName name="一修多修正项6">典型户型修正!$13:$13</definedName>
    <definedName name="一修多修正项7" localSheetId="37">典型户型修正办!$15:$15</definedName>
    <definedName name="一修多修正项7" localSheetId="23">[1]典型户型修正!$15:$15</definedName>
    <definedName name="一修多修正项7">典型户型修正!$15:$15</definedName>
    <definedName name="一修多修正项8" localSheetId="37">典型户型修正办!$17:$17</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2" i="94" l="1"/>
  <c r="B16" i="94"/>
  <c r="N6" i="1" l="1"/>
  <c r="J33" i="94" l="1"/>
  <c r="F4" i="94" l="1"/>
  <c r="G4" i="94" s="1"/>
  <c r="F5" i="94" l="1"/>
  <c r="F6" i="94"/>
  <c r="H5" i="94" l="1"/>
  <c r="H6" i="94"/>
  <c r="H4" i="94" l="1"/>
  <c r="AN17" i="3" l="1"/>
  <c r="C160" i="89"/>
  <c r="C159" i="89"/>
  <c r="C158" i="89"/>
  <c r="E7" i="85" l="1"/>
  <c r="C7" i="85"/>
  <c r="C68" i="85"/>
  <c r="C70" i="85" s="1"/>
  <c r="B71" i="85"/>
  <c r="F10" i="85"/>
  <c r="AA10" i="85" s="1"/>
  <c r="E11" i="85"/>
  <c r="G7" i="85"/>
  <c r="H10" i="85"/>
  <c r="AB10" i="85" s="1"/>
  <c r="G11" i="85"/>
  <c r="I7" i="85"/>
  <c r="J10" i="85"/>
  <c r="AC10" i="85" s="1"/>
  <c r="I11" i="85"/>
  <c r="F34" i="68"/>
  <c r="C36" i="68" s="1"/>
  <c r="J34" i="94"/>
  <c r="K31" i="94"/>
  <c r="K30" i="9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L18" i="3"/>
  <c r="AZ18" i="3"/>
  <c r="D156" i="95"/>
  <c r="I19" i="3"/>
  <c r="BB19" i="3"/>
  <c r="BC19" i="3"/>
  <c r="BD19" i="3"/>
  <c r="BE19" i="3"/>
  <c r="BF19" i="3"/>
  <c r="BG19" i="3"/>
  <c r="BH19" i="3"/>
  <c r="BI19" i="3"/>
  <c r="BJ19" i="3"/>
  <c r="BK19" i="3"/>
  <c r="BA19" i="3"/>
  <c r="BM19" i="3"/>
  <c r="BN19" i="3"/>
  <c r="BO19" i="3"/>
  <c r="BP19" i="3"/>
  <c r="BQ19" i="3"/>
  <c r="BR19" i="3"/>
  <c r="BS19" i="3"/>
  <c r="BT19" i="3"/>
  <c r="BL19" i="3"/>
  <c r="AZ19" i="3"/>
  <c r="D157" i="95"/>
  <c r="I20" i="3"/>
  <c r="BB20" i="3"/>
  <c r="BC20" i="3"/>
  <c r="BD20" i="3"/>
  <c r="BE20" i="3"/>
  <c r="BF20" i="3"/>
  <c r="BG20" i="3"/>
  <c r="BH20" i="3"/>
  <c r="BI20" i="3"/>
  <c r="BJ20" i="3"/>
  <c r="BK20" i="3"/>
  <c r="BA20" i="3"/>
  <c r="BM20" i="3"/>
  <c r="BN20" i="3"/>
  <c r="BO20" i="3"/>
  <c r="BP20" i="3"/>
  <c r="BQ20" i="3"/>
  <c r="BR20" i="3"/>
  <c r="BS20" i="3"/>
  <c r="BT20" i="3"/>
  <c r="BL20" i="3"/>
  <c r="AZ20" i="3"/>
  <c r="D158" i="95"/>
  <c r="I21"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B11" i="3"/>
  <c r="BC11" i="3"/>
  <c r="BD11" i="3"/>
  <c r="BE11" i="3"/>
  <c r="BF11" i="3"/>
  <c r="BG11" i="3"/>
  <c r="BH11" i="3"/>
  <c r="BI11" i="3"/>
  <c r="BJ11" i="3"/>
  <c r="BK11" i="3"/>
  <c r="BM11" i="3"/>
  <c r="BN11" i="3"/>
  <c r="BO11" i="3"/>
  <c r="BP11" i="3"/>
  <c r="BQ11" i="3"/>
  <c r="BR11" i="3"/>
  <c r="BS11" i="3"/>
  <c r="BT11" i="3"/>
  <c r="F5" i="3"/>
  <c r="H13" i="3"/>
  <c r="AC13" i="3"/>
  <c r="G13" i="3"/>
  <c r="B157" i="83"/>
  <c r="K14" i="3"/>
  <c r="H14" i="3"/>
  <c r="AC14" i="3"/>
  <c r="G14" i="3"/>
  <c r="D161" i="95"/>
  <c r="B163" i="95"/>
  <c r="D162" i="95"/>
  <c r="M15" i="3"/>
  <c r="H15" i="3"/>
  <c r="AC15" i="3"/>
  <c r="G15" i="3"/>
  <c r="D160" i="95"/>
  <c r="O16" i="3"/>
  <c r="H16" i="3"/>
  <c r="AC16" i="3"/>
  <c r="G16" i="3"/>
  <c r="H17" i="3"/>
  <c r="B160" i="83"/>
  <c r="AC17" i="3"/>
  <c r="G17" i="3" s="1"/>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M5" i="3"/>
  <c r="BN5" i="3"/>
  <c r="BO5" i="3"/>
  <c r="BP5" i="3"/>
  <c r="BQ5" i="3"/>
  <c r="BR5" i="3"/>
  <c r="BS5" i="3"/>
  <c r="BT5" i="3"/>
  <c r="E5" i="6"/>
  <c r="D9" i="68" s="1"/>
  <c r="E10" i="68"/>
  <c r="R46" i="85"/>
  <c r="D71" i="85"/>
  <c r="F8" i="85"/>
  <c r="AA8" i="85"/>
  <c r="F9" i="85"/>
  <c r="AA9" i="85"/>
  <c r="D81" i="85"/>
  <c r="E81" i="85"/>
  <c r="F81" i="85"/>
  <c r="I4" i="6"/>
  <c r="C11" i="85" s="1"/>
  <c r="B82" i="85"/>
  <c r="F12" i="85"/>
  <c r="AA12" i="85"/>
  <c r="B84" i="85"/>
  <c r="F13" i="85"/>
  <c r="AA13" i="85"/>
  <c r="B86" i="85"/>
  <c r="F14" i="85"/>
  <c r="AA14" i="85"/>
  <c r="F15" i="85"/>
  <c r="AA15" i="85"/>
  <c r="D91" i="85"/>
  <c r="E91" i="85"/>
  <c r="F17" i="85"/>
  <c r="AA17" i="85"/>
  <c r="D93" i="85"/>
  <c r="E93" i="85"/>
  <c r="F19" i="85"/>
  <c r="AA19" i="85"/>
  <c r="D95" i="85"/>
  <c r="E95" i="85"/>
  <c r="F21" i="85"/>
  <c r="AA21" i="85"/>
  <c r="D97" i="85"/>
  <c r="F23" i="85"/>
  <c r="AA23" i="85"/>
  <c r="D99" i="85"/>
  <c r="E99" i="85"/>
  <c r="F25" i="85"/>
  <c r="AA25" i="85"/>
  <c r="D101" i="85"/>
  <c r="E101" i="85"/>
  <c r="F27" i="85"/>
  <c r="AA27" i="85"/>
  <c r="F29" i="85"/>
  <c r="AA29" i="85"/>
  <c r="B104" i="85"/>
  <c r="D105" i="85"/>
  <c r="E105" i="85"/>
  <c r="F105" i="85"/>
  <c r="F31" i="85"/>
  <c r="AA31" i="85"/>
  <c r="D107" i="85"/>
  <c r="E107" i="85"/>
  <c r="F107" i="85"/>
  <c r="G107" i="85"/>
  <c r="F32" i="85"/>
  <c r="AA32" i="85"/>
  <c r="F34" i="85"/>
  <c r="AA34" i="85"/>
  <c r="B110" i="85"/>
  <c r="F35" i="85"/>
  <c r="AA35" i="85"/>
  <c r="B112" i="85"/>
  <c r="F36" i="85"/>
  <c r="AA36" i="85"/>
  <c r="B114" i="85"/>
  <c r="F37" i="85"/>
  <c r="AA37" i="85"/>
  <c r="D118" i="85"/>
  <c r="E118" i="85"/>
  <c r="C38" i="85"/>
  <c r="F38" i="85"/>
  <c r="AA38" i="85"/>
  <c r="D120" i="85"/>
  <c r="F39" i="85"/>
  <c r="AA39" i="85"/>
  <c r="D122" i="85"/>
  <c r="F40" i="85"/>
  <c r="AA40" i="85"/>
  <c r="D124" i="85"/>
  <c r="F41" i="85"/>
  <c r="AA41" i="85"/>
  <c r="D126" i="85"/>
  <c r="F42" i="85"/>
  <c r="AA42" i="85"/>
  <c r="B127" i="85"/>
  <c r="F43" i="85"/>
  <c r="AA43" i="85"/>
  <c r="B129" i="85"/>
  <c r="F44" i="85"/>
  <c r="AA44" i="85"/>
  <c r="B131" i="85"/>
  <c r="F45" i="85"/>
  <c r="AA45" i="85"/>
  <c r="T46" i="85"/>
  <c r="H8" i="85"/>
  <c r="AB8" i="85"/>
  <c r="H9" i="85"/>
  <c r="AB9" i="85"/>
  <c r="H12" i="85"/>
  <c r="AB12" i="85"/>
  <c r="H13" i="85"/>
  <c r="AB13" i="85"/>
  <c r="H14" i="85"/>
  <c r="AB14" i="85"/>
  <c r="H15" i="85"/>
  <c r="AB15" i="85"/>
  <c r="H17" i="85"/>
  <c r="AB17" i="85"/>
  <c r="H19" i="85"/>
  <c r="AB19" i="85"/>
  <c r="H21" i="85"/>
  <c r="AB21" i="85"/>
  <c r="H23" i="85"/>
  <c r="AB23" i="85"/>
  <c r="H25" i="85"/>
  <c r="AB25" i="85"/>
  <c r="H27" i="85"/>
  <c r="AB27" i="85"/>
  <c r="H29" i="85"/>
  <c r="AB29" i="85"/>
  <c r="H31" i="85"/>
  <c r="AB31" i="85"/>
  <c r="H32" i="85"/>
  <c r="AB32" i="85"/>
  <c r="H34" i="85"/>
  <c r="AB34" i="85"/>
  <c r="H35" i="85"/>
  <c r="AB35" i="85"/>
  <c r="H36" i="85"/>
  <c r="AB36" i="85"/>
  <c r="H37" i="85"/>
  <c r="AB37" i="85"/>
  <c r="F118" i="85"/>
  <c r="H38" i="85"/>
  <c r="AB38" i="85"/>
  <c r="H39" i="85"/>
  <c r="AB39" i="85"/>
  <c r="H40" i="85"/>
  <c r="AB40" i="85"/>
  <c r="H41" i="85"/>
  <c r="AB41" i="85"/>
  <c r="H42" i="85"/>
  <c r="AB42" i="85"/>
  <c r="H43" i="85"/>
  <c r="AB43" i="85"/>
  <c r="H44" i="85"/>
  <c r="AB44" i="85"/>
  <c r="H45" i="85"/>
  <c r="AB45" i="85"/>
  <c r="V46" i="85"/>
  <c r="J8" i="85"/>
  <c r="AC8" i="85"/>
  <c r="J9" i="85"/>
  <c r="AC9" i="85"/>
  <c r="J12" i="85"/>
  <c r="AC12" i="85"/>
  <c r="J13" i="85"/>
  <c r="AC13" i="85"/>
  <c r="J14" i="85"/>
  <c r="AC14" i="85"/>
  <c r="J15" i="85"/>
  <c r="AC15" i="85"/>
  <c r="J17" i="85"/>
  <c r="AC17" i="85"/>
  <c r="J19" i="85"/>
  <c r="AC19" i="85"/>
  <c r="J21" i="85"/>
  <c r="AC21" i="85"/>
  <c r="J23" i="85"/>
  <c r="AC23" i="85"/>
  <c r="J25" i="85"/>
  <c r="AC25" i="85"/>
  <c r="J27" i="85"/>
  <c r="AC27" i="85"/>
  <c r="J29" i="85"/>
  <c r="AC29" i="85"/>
  <c r="J31" i="85"/>
  <c r="AC31" i="85"/>
  <c r="J32" i="85"/>
  <c r="AC32"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F20" i="6"/>
  <c r="F21" i="6"/>
  <c r="F22" i="6"/>
  <c r="BB10" i="3"/>
  <c r="BC10" i="3"/>
  <c r="BD10" i="3"/>
  <c r="BE10" i="3"/>
  <c r="BF10" i="3"/>
  <c r="BG10" i="3"/>
  <c r="BH10" i="3"/>
  <c r="BI10" i="3"/>
  <c r="BJ10" i="3"/>
  <c r="BK10" i="3"/>
  <c r="E8" i="6"/>
  <c r="F27" i="6"/>
  <c r="F7" i="68"/>
  <c r="C19" i="68"/>
  <c r="F20" i="68"/>
  <c r="D3" i="4"/>
  <c r="C1" i="73"/>
  <c r="J1" i="73"/>
  <c r="B22" i="1"/>
  <c r="E1" i="73"/>
  <c r="K1" i="73"/>
  <c r="B23" i="1"/>
  <c r="F21" i="68"/>
  <c r="C21" i="68"/>
  <c r="B24" i="1"/>
  <c r="A6" i="1"/>
  <c r="E19" i="6"/>
  <c r="K6" i="1"/>
  <c r="M6" i="1" s="1"/>
  <c r="A7" i="1"/>
  <c r="E20" i="6"/>
  <c r="K7" i="1"/>
  <c r="L7" i="1"/>
  <c r="M7" i="1"/>
  <c r="A8" i="1"/>
  <c r="E21" i="6"/>
  <c r="K8" i="1"/>
  <c r="L8" i="1"/>
  <c r="M8" i="1"/>
  <c r="A9" i="1"/>
  <c r="E22" i="6"/>
  <c r="K9" i="1"/>
  <c r="AH9" i="1" s="1"/>
  <c r="L9" i="1"/>
  <c r="M9" i="1"/>
  <c r="A10" i="1"/>
  <c r="K10" i="1"/>
  <c r="M10" i="1" s="1"/>
  <c r="A11" i="1"/>
  <c r="K11" i="1"/>
  <c r="M11" i="1" s="1"/>
  <c r="A12" i="1"/>
  <c r="K12" i="1"/>
  <c r="M12" i="1" s="1"/>
  <c r="A13" i="1"/>
  <c r="K13" i="1"/>
  <c r="M13" i="1" s="1"/>
  <c r="F28" i="6"/>
  <c r="G28" i="6"/>
  <c r="E28" i="6" s="1"/>
  <c r="F35" i="68"/>
  <c r="B2" i="1"/>
  <c r="C42" i="1"/>
  <c r="F36" i="68"/>
  <c r="E37" i="68"/>
  <c r="F38" i="68"/>
  <c r="C40" i="68"/>
  <c r="G1" i="77"/>
  <c r="AH6" i="1"/>
  <c r="L1" i="73"/>
  <c r="B43" i="1"/>
  <c r="B41" i="1"/>
  <c r="F32" i="77"/>
  <c r="F33" i="77"/>
  <c r="E23" i="6"/>
  <c r="E24" i="6"/>
  <c r="E25" i="6"/>
  <c r="E26" i="6"/>
  <c r="E27" i="6"/>
  <c r="L19" i="6"/>
  <c r="B52" i="1"/>
  <c r="F34" i="77"/>
  <c r="F15" i="77"/>
  <c r="F17" i="77"/>
  <c r="F18" i="77"/>
  <c r="F20" i="77"/>
  <c r="F23" i="77"/>
  <c r="F21" i="77"/>
  <c r="F28" i="77"/>
  <c r="C28" i="77"/>
  <c r="Y6" i="1"/>
  <c r="Z6" i="1"/>
  <c r="M18" i="77"/>
  <c r="M19" i="77"/>
  <c r="M20" i="77"/>
  <c r="AD6" i="1"/>
  <c r="E15" i="4"/>
  <c r="F6" i="1"/>
  <c r="M47" i="77"/>
  <c r="J50" i="77"/>
  <c r="J51" i="77"/>
  <c r="G1" i="90"/>
  <c r="AH7" i="1"/>
  <c r="F32" i="90"/>
  <c r="F33" i="90"/>
  <c r="L20" i="6"/>
  <c r="F34" i="90"/>
  <c r="F15" i="90"/>
  <c r="F17" i="90"/>
  <c r="F18" i="90"/>
  <c r="F20" i="90"/>
  <c r="F23" i="90"/>
  <c r="F21" i="90"/>
  <c r="F28" i="90"/>
  <c r="C28" i="90"/>
  <c r="N7" i="1"/>
  <c r="Y7" i="1"/>
  <c r="AL7" i="1"/>
  <c r="F7" i="1"/>
  <c r="M47" i="90"/>
  <c r="J50" i="90"/>
  <c r="J51" i="90"/>
  <c r="G1" i="96"/>
  <c r="AH8" i="1"/>
  <c r="F32" i="96"/>
  <c r="F33" i="96"/>
  <c r="L21" i="6"/>
  <c r="F34" i="96"/>
  <c r="F15" i="96"/>
  <c r="F17" i="96"/>
  <c r="F18" i="96"/>
  <c r="F20" i="96"/>
  <c r="F23" i="96"/>
  <c r="F21" i="96"/>
  <c r="F28" i="96"/>
  <c r="C28" i="96"/>
  <c r="N8" i="1"/>
  <c r="Y8" i="1"/>
  <c r="AL8" i="1"/>
  <c r="Z8" i="1"/>
  <c r="M18" i="96"/>
  <c r="M19" i="96"/>
  <c r="M20" i="96"/>
  <c r="AD8" i="1"/>
  <c r="F8" i="1"/>
  <c r="M47" i="96"/>
  <c r="J50" i="96"/>
  <c r="J51" i="96"/>
  <c r="G1" i="97"/>
  <c r="F32" i="97"/>
  <c r="F33" i="97"/>
  <c r="L22" i="6"/>
  <c r="F34" i="97"/>
  <c r="F15" i="97"/>
  <c r="F17" i="97"/>
  <c r="F18" i="97"/>
  <c r="F20" i="97"/>
  <c r="F23" i="97"/>
  <c r="F21" i="97"/>
  <c r="F28" i="97"/>
  <c r="C28" i="97"/>
  <c r="Y9" i="1"/>
  <c r="AL9" i="1"/>
  <c r="F9" i="1"/>
  <c r="M47" i="97"/>
  <c r="J50" i="97"/>
  <c r="J51" i="97"/>
  <c r="B10" i="70"/>
  <c r="B11" i="70"/>
  <c r="B12" i="70"/>
  <c r="B13" i="70"/>
  <c r="A6" i="70"/>
  <c r="A7" i="70"/>
  <c r="A8" i="70"/>
  <c r="A9" i="70"/>
  <c r="A10" i="70"/>
  <c r="A11" i="70"/>
  <c r="A12" i="70"/>
  <c r="A13" i="70"/>
  <c r="E10" i="70"/>
  <c r="E11" i="70"/>
  <c r="E12" i="70"/>
  <c r="E13" i="70"/>
  <c r="I6" i="94"/>
  <c r="I22" i="94" s="1"/>
  <c r="B22" i="94"/>
  <c r="D89" i="9"/>
  <c r="D59" i="9"/>
  <c r="M55" i="9" s="1"/>
  <c r="B14" i="94"/>
  <c r="B30" i="94"/>
  <c r="L87" i="9"/>
  <c r="B15" i="94"/>
  <c r="B31" i="94"/>
  <c r="L88" i="9"/>
  <c r="B23" i="94"/>
  <c r="K32" i="94"/>
  <c r="D16" i="74"/>
  <c r="G16" i="74" s="1"/>
  <c r="D17" i="74"/>
  <c r="G17" i="74" s="1"/>
  <c r="D15" i="74"/>
  <c r="G15" i="74" s="1"/>
  <c r="B16" i="74"/>
  <c r="C16" i="74"/>
  <c r="B17" i="74"/>
  <c r="C17" i="74"/>
  <c r="C15" i="74"/>
  <c r="B15" i="74"/>
  <c r="G6" i="94"/>
  <c r="G22" i="94" s="1"/>
  <c r="F22" i="94" s="1"/>
  <c r="C22" i="94"/>
  <c r="C23" i="94"/>
  <c r="I152" i="95"/>
  <c r="J152" i="95"/>
  <c r="N9" i="1"/>
  <c r="B159" i="83"/>
  <c r="D9" i="1"/>
  <c r="K59" i="97"/>
  <c r="P74" i="97"/>
  <c r="Q72" i="97"/>
  <c r="F60" i="97"/>
  <c r="F61" i="97"/>
  <c r="F62" i="97"/>
  <c r="P61" i="97"/>
  <c r="Q59" i="97"/>
  <c r="F59" i="97"/>
  <c r="Q58" i="97"/>
  <c r="Q51" i="97"/>
  <c r="D46" i="97"/>
  <c r="F31" i="97"/>
  <c r="AG9" i="1"/>
  <c r="M18" i="97"/>
  <c r="M19" i="97"/>
  <c r="M20" i="97"/>
  <c r="D24" i="97"/>
  <c r="D23" i="97"/>
  <c r="D22" i="97"/>
  <c r="M17" i="97"/>
  <c r="D8" i="1"/>
  <c r="K59" i="96"/>
  <c r="P74" i="96"/>
  <c r="Q72" i="96"/>
  <c r="F60" i="96"/>
  <c r="F61" i="96"/>
  <c r="F62" i="96"/>
  <c r="P61" i="96"/>
  <c r="Q59" i="96"/>
  <c r="F59" i="96"/>
  <c r="Q58" i="96"/>
  <c r="Q51" i="96"/>
  <c r="D46" i="96"/>
  <c r="F31" i="96"/>
  <c r="D24" i="96"/>
  <c r="D23" i="96"/>
  <c r="D22" i="96"/>
  <c r="M17" i="96"/>
  <c r="C20" i="3"/>
  <c r="C21" i="3"/>
  <c r="C19" i="3"/>
  <c r="D163" i="95"/>
  <c r="B162" i="95"/>
  <c r="D159" i="95"/>
  <c r="D164" i="95"/>
  <c r="I116" i="95"/>
  <c r="I15" i="95"/>
  <c r="I153" i="95"/>
  <c r="B156" i="95"/>
  <c r="B159" i="95"/>
  <c r="B157" i="95"/>
  <c r="B158" i="95"/>
  <c r="B160" i="95"/>
  <c r="B161" i="95"/>
  <c r="B164" i="95"/>
  <c r="B158" i="89"/>
  <c r="B156" i="89"/>
  <c r="B153" i="89"/>
  <c r="D4" i="94"/>
  <c r="D5" i="94"/>
  <c r="D6" i="94"/>
  <c r="G118" i="85"/>
  <c r="C17" i="9"/>
  <c r="D17" i="9"/>
  <c r="C18" i="9"/>
  <c r="D18" i="9"/>
  <c r="G5" i="94"/>
  <c r="I5" i="94"/>
  <c r="I4" i="94"/>
  <c r="E4" i="94" s="1"/>
  <c r="I166" i="83"/>
  <c r="I167" i="83"/>
  <c r="I168" i="83"/>
  <c r="L169" i="83"/>
  <c r="G169" i="83"/>
  <c r="A13" i="92"/>
  <c r="E13" i="92"/>
  <c r="A12" i="92"/>
  <c r="E12" i="92"/>
  <c r="A11" i="92"/>
  <c r="E11" i="92"/>
  <c r="A10" i="92"/>
  <c r="E10" i="92"/>
  <c r="A9" i="92"/>
  <c r="A8" i="92"/>
  <c r="A7" i="92"/>
  <c r="E7" i="92"/>
  <c r="A6" i="92"/>
  <c r="E6" i="92"/>
  <c r="Q72" i="91"/>
  <c r="Q59" i="91"/>
  <c r="K59" i="91"/>
  <c r="P74" i="91"/>
  <c r="F59" i="91"/>
  <c r="Q58" i="91"/>
  <c r="Q51" i="91"/>
  <c r="J50" i="91"/>
  <c r="J51" i="91"/>
  <c r="M47" i="91"/>
  <c r="D46" i="91"/>
  <c r="F34" i="91"/>
  <c r="F62" i="91"/>
  <c r="F33" i="91"/>
  <c r="F61" i="91"/>
  <c r="F32" i="91"/>
  <c r="F60" i="91"/>
  <c r="F31" i="91"/>
  <c r="F28" i="91"/>
  <c r="C28" i="91"/>
  <c r="F23" i="91"/>
  <c r="D23" i="91"/>
  <c r="F21" i="91"/>
  <c r="M20" i="91"/>
  <c r="F20" i="91"/>
  <c r="M19" i="91"/>
  <c r="M18" i="91"/>
  <c r="F18" i="91"/>
  <c r="M17" i="91"/>
  <c r="F17" i="91"/>
  <c r="F15" i="91"/>
  <c r="G1" i="91"/>
  <c r="Y10" i="1"/>
  <c r="Y11" i="1"/>
  <c r="Q72" i="90"/>
  <c r="Q59" i="90"/>
  <c r="K59" i="90"/>
  <c r="P74" i="90"/>
  <c r="F59" i="90"/>
  <c r="Q58" i="90"/>
  <c r="Q51" i="90"/>
  <c r="D46" i="90"/>
  <c r="F62" i="90"/>
  <c r="F61" i="90"/>
  <c r="F60" i="90"/>
  <c r="F31" i="90"/>
  <c r="D23" i="90"/>
  <c r="M20" i="90"/>
  <c r="M19" i="90"/>
  <c r="M18" i="90"/>
  <c r="M17" i="90"/>
  <c r="D24" i="91"/>
  <c r="P61" i="91"/>
  <c r="D22" i="91"/>
  <c r="P61" i="90"/>
  <c r="D24" i="90"/>
  <c r="D22" i="90"/>
  <c r="AG7" i="1"/>
  <c r="D7" i="1"/>
  <c r="D169" i="83"/>
  <c r="I3" i="66"/>
  <c r="I4" i="66"/>
  <c r="I5" i="66"/>
  <c r="I6" i="66"/>
  <c r="I7" i="66"/>
  <c r="I8" i="66"/>
  <c r="I9" i="66"/>
  <c r="I10" i="66"/>
  <c r="C28" i="66"/>
  <c r="D12" i="66"/>
  <c r="I12" i="66"/>
  <c r="I13" i="66"/>
  <c r="I14" i="66"/>
  <c r="I15" i="66"/>
  <c r="F17" i="66"/>
  <c r="I17" i="66"/>
  <c r="I18" i="66"/>
  <c r="I19" i="66"/>
  <c r="I20" i="66"/>
  <c r="C29" i="66"/>
  <c r="C27" i="66"/>
  <c r="C31" i="66"/>
  <c r="I21" i="66"/>
  <c r="N14" i="66"/>
  <c r="N15" i="66"/>
  <c r="B153" i="83"/>
  <c r="B158" i="83"/>
  <c r="G169" i="89"/>
  <c r="I150" i="89"/>
  <c r="D169" i="89"/>
  <c r="I168" i="89"/>
  <c r="I167" i="89"/>
  <c r="I166" i="89"/>
  <c r="B160" i="89"/>
  <c r="B159" i="89"/>
  <c r="B157" i="89"/>
  <c r="C168" i="89"/>
  <c r="E168" i="89"/>
  <c r="B155" i="89"/>
  <c r="C167" i="89"/>
  <c r="B154" i="89"/>
  <c r="C166" i="89"/>
  <c r="B161" i="89"/>
  <c r="C165" i="89"/>
  <c r="I169" i="89"/>
  <c r="C169" i="89"/>
  <c r="E165" i="89"/>
  <c r="E169" i="89"/>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C29" i="35"/>
  <c r="D49" i="35"/>
  <c r="E49" i="35"/>
  <c r="F49" i="35"/>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C24" i="88"/>
  <c r="D17" i="88"/>
  <c r="C17" i="88"/>
  <c r="L4" i="88"/>
  <c r="K4" i="88"/>
  <c r="A2" i="88"/>
  <c r="H1" i="88"/>
  <c r="Q72" i="87"/>
  <c r="Q59" i="87"/>
  <c r="K59" i="87"/>
  <c r="P74" i="87"/>
  <c r="F59" i="87"/>
  <c r="Q58" i="87"/>
  <c r="Q51" i="87"/>
  <c r="J50" i="87"/>
  <c r="J51" i="87"/>
  <c r="M47" i="87"/>
  <c r="D46" i="87"/>
  <c r="F34" i="87"/>
  <c r="F62" i="87"/>
  <c r="F33" i="87"/>
  <c r="F61" i="87"/>
  <c r="F32" i="87"/>
  <c r="F60" i="87"/>
  <c r="F31" i="87"/>
  <c r="F28" i="87"/>
  <c r="C28" i="87"/>
  <c r="F23" i="87"/>
  <c r="D24" i="87"/>
  <c r="F21" i="87"/>
  <c r="M20" i="87"/>
  <c r="F20" i="87"/>
  <c r="M19" i="87"/>
  <c r="M18" i="87"/>
  <c r="F18" i="87"/>
  <c r="M17" i="87"/>
  <c r="F17" i="87"/>
  <c r="F15" i="87"/>
  <c r="C18" i="88"/>
  <c r="D18" i="88"/>
  <c r="D22" i="87"/>
  <c r="D23" i="87"/>
  <c r="C74" i="88"/>
  <c r="C92" i="88"/>
  <c r="C94" i="88"/>
  <c r="K120" i="88"/>
  <c r="D121" i="88"/>
  <c r="P61" i="87"/>
  <c r="H109" i="88"/>
  <c r="H112" i="88"/>
  <c r="C165" i="83"/>
  <c r="B156" i="83"/>
  <c r="B155" i="83"/>
  <c r="B154" i="83"/>
  <c r="G41" i="86"/>
  <c r="F38" i="86"/>
  <c r="E37" i="86"/>
  <c r="F36" i="86"/>
  <c r="F35" i="86"/>
  <c r="F34" i="86"/>
  <c r="F30" i="86"/>
  <c r="C48" i="86"/>
  <c r="G22" i="86"/>
  <c r="F21" i="86"/>
  <c r="C40" i="86"/>
  <c r="C21" i="86"/>
  <c r="F20" i="86"/>
  <c r="B31" i="1"/>
  <c r="E19" i="86"/>
  <c r="C19" i="86"/>
  <c r="E10" i="86"/>
  <c r="E9" i="86"/>
  <c r="F7"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G81" i="85"/>
  <c r="H81" i="85"/>
  <c r="I81" i="85"/>
  <c r="J81" i="85"/>
  <c r="K81" i="85"/>
  <c r="L81" i="85"/>
  <c r="M81" i="85"/>
  <c r="M79" i="85"/>
  <c r="L79" i="85"/>
  <c r="K79" i="85"/>
  <c r="J79" i="85"/>
  <c r="I79" i="85"/>
  <c r="H79" i="85"/>
  <c r="G79" i="85"/>
  <c r="F79" i="85"/>
  <c r="E79" i="85"/>
  <c r="D79" i="85"/>
  <c r="C79" i="85"/>
  <c r="H65" i="85"/>
  <c r="I65" i="85" s="1"/>
  <c r="C65" i="85" s="1"/>
  <c r="E65" i="85"/>
  <c r="H64" i="85"/>
  <c r="I64" i="85" s="1"/>
  <c r="C64" i="85" s="1"/>
  <c r="E64" i="85"/>
  <c r="H63" i="85"/>
  <c r="I63" i="85" s="1"/>
  <c r="C63" i="85" s="1"/>
  <c r="E63" i="85"/>
  <c r="H62" i="85"/>
  <c r="I62" i="85" s="1"/>
  <c r="C62" i="85" s="1"/>
  <c r="E62" i="85"/>
  <c r="H61" i="85"/>
  <c r="I61" i="85" s="1"/>
  <c r="C61" i="85" s="1"/>
  <c r="E61" i="85"/>
  <c r="H60" i="85"/>
  <c r="I60" i="85" s="1"/>
  <c r="C60" i="85" s="1"/>
  <c r="H59" i="85"/>
  <c r="I59" i="85" s="1"/>
  <c r="C59" i="85" s="1"/>
  <c r="H58" i="85"/>
  <c r="I58" i="85" s="1"/>
  <c r="C58" i="85" s="1"/>
  <c r="H57" i="85"/>
  <c r="I57" i="85" s="1"/>
  <c r="C57" i="85" s="1"/>
  <c r="E56" i="85"/>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D124" i="88"/>
  <c r="D125" i="88"/>
  <c r="H110" i="88"/>
  <c r="C30" i="86"/>
  <c r="S15" i="85"/>
  <c r="W15" i="85"/>
  <c r="S17" i="85"/>
  <c r="W17" i="85"/>
  <c r="S19" i="85"/>
  <c r="W19" i="85"/>
  <c r="S21" i="85"/>
  <c r="W23"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B25" i="31"/>
  <c r="B26" i="31"/>
  <c r="B27" i="31"/>
  <c r="B28" i="31"/>
  <c r="B29" i="31"/>
  <c r="B30" i="31"/>
  <c r="B31" i="31"/>
  <c r="B32" i="31"/>
  <c r="B33" i="31"/>
  <c r="B24" i="31"/>
  <c r="A25" i="31"/>
  <c r="A26" i="31"/>
  <c r="A27" i="31"/>
  <c r="A28" i="31"/>
  <c r="A29" i="31"/>
  <c r="A30" i="31"/>
  <c r="A31" i="31"/>
  <c r="A32" i="31"/>
  <c r="A33" i="31"/>
  <c r="A24" i="31"/>
  <c r="C33" i="33"/>
  <c r="E165" i="83"/>
  <c r="C168" i="83"/>
  <c r="E168" i="83"/>
  <c r="M169" i="83"/>
  <c r="B161" i="83"/>
  <c r="C167" i="83"/>
  <c r="C166" i="83"/>
  <c r="B7" i="4"/>
  <c r="I150" i="83"/>
  <c r="E169" i="83"/>
  <c r="C169" i="83"/>
  <c r="I169" i="83"/>
  <c r="D104" i="33"/>
  <c r="E104" i="33"/>
  <c r="F104" i="33"/>
  <c r="G104" i="33"/>
  <c r="H104" i="33"/>
  <c r="I104" i="33"/>
  <c r="J104" i="33"/>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C61" i="84" s="1"/>
  <c r="D56" i="84"/>
  <c r="C56" i="84"/>
  <c r="D53" i="84"/>
  <c r="C53" i="84"/>
  <c r="D15" i="84"/>
  <c r="C15" i="84"/>
  <c r="D57" i="84"/>
  <c r="C57" i="84"/>
  <c r="C18" i="82"/>
  <c r="C4" i="82"/>
  <c r="D4" i="82"/>
  <c r="E4" i="82"/>
  <c r="F4" i="82"/>
  <c r="G4" i="82"/>
  <c r="H4" i="82"/>
  <c r="I4" i="82"/>
  <c r="F5" i="82"/>
  <c r="E5" i="82"/>
  <c r="D5" i="82"/>
  <c r="C5" i="82"/>
  <c r="B5" i="82"/>
  <c r="K17" i="34"/>
  <c r="R524" i="82"/>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D6" i="82"/>
  <c r="E6" i="82"/>
  <c r="F6" i="82"/>
  <c r="G6" i="82"/>
  <c r="H6" i="82"/>
  <c r="I6" i="82"/>
  <c r="J6" i="82"/>
  <c r="K6" i="82"/>
  <c r="L6" i="82"/>
  <c r="M6" i="82"/>
  <c r="N6" i="82"/>
  <c r="O6" i="82"/>
  <c r="P6" i="82"/>
  <c r="Q6" i="82"/>
  <c r="R6" i="82"/>
  <c r="S6" i="82"/>
  <c r="J2" i="82"/>
  <c r="F2" i="82"/>
  <c r="S2" i="82"/>
  <c r="R2" i="82"/>
  <c r="Q2" i="82"/>
  <c r="P2" i="82"/>
  <c r="O2" i="82"/>
  <c r="N2" i="82"/>
  <c r="M2" i="82"/>
  <c r="L2" i="82"/>
  <c r="K2" i="82"/>
  <c r="H2" i="82"/>
  <c r="D2" i="82"/>
  <c r="D89" i="33"/>
  <c r="E89" i="33"/>
  <c r="F89" i="33"/>
  <c r="G89" i="33"/>
  <c r="G9" i="31"/>
  <c r="F9" i="31"/>
  <c r="E9" i="31"/>
  <c r="D9" i="31"/>
  <c r="C9" i="31"/>
  <c r="B9" i="31"/>
  <c r="G7" i="31"/>
  <c r="F7" i="31"/>
  <c r="E7" i="31"/>
  <c r="D7" i="31"/>
  <c r="C7" i="31"/>
  <c r="B7" i="31"/>
  <c r="T5" i="31"/>
  <c r="B5" i="31"/>
  <c r="F5" i="31"/>
  <c r="E5" i="31"/>
  <c r="D5" i="31"/>
  <c r="C5" i="31"/>
  <c r="J3" i="31"/>
  <c r="I3" i="31"/>
  <c r="H3" i="31"/>
  <c r="G3" i="31"/>
  <c r="F3" i="31"/>
  <c r="E3" i="31"/>
  <c r="D3" i="31"/>
  <c r="C3" i="31"/>
  <c r="C35"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D17" i="80"/>
  <c r="C17" i="80"/>
  <c r="L4" i="80"/>
  <c r="K4" i="80"/>
  <c r="H1" i="80"/>
  <c r="Q72" i="79"/>
  <c r="Q59" i="79"/>
  <c r="K59" i="79"/>
  <c r="P74" i="79"/>
  <c r="F59" i="79"/>
  <c r="Q58" i="79"/>
  <c r="Q51" i="79"/>
  <c r="J50" i="79"/>
  <c r="M47" i="79"/>
  <c r="D46" i="79"/>
  <c r="F33" i="79"/>
  <c r="F61" i="79"/>
  <c r="F32" i="79"/>
  <c r="F60" i="79"/>
  <c r="F31" i="79"/>
  <c r="F28" i="79"/>
  <c r="F23" i="79"/>
  <c r="D23" i="79"/>
  <c r="F21" i="79"/>
  <c r="F20" i="79"/>
  <c r="M19" i="79"/>
  <c r="M18" i="79"/>
  <c r="F18" i="79"/>
  <c r="M17" i="79"/>
  <c r="F17" i="79"/>
  <c r="F15"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D17" i="78"/>
  <c r="C17" i="78"/>
  <c r="L4" i="78"/>
  <c r="K4" i="78"/>
  <c r="H1" i="78"/>
  <c r="Q72" i="77"/>
  <c r="Q59" i="77"/>
  <c r="K59" i="77"/>
  <c r="P74" i="77"/>
  <c r="F59" i="77"/>
  <c r="Q58" i="77"/>
  <c r="Q51" i="77"/>
  <c r="D46" i="77"/>
  <c r="F61" i="77"/>
  <c r="F60" i="77"/>
  <c r="F31" i="77"/>
  <c r="M17" i="77"/>
  <c r="C18" i="80"/>
  <c r="D18" i="80"/>
  <c r="C18" i="78"/>
  <c r="D18" i="78"/>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c r="C76" i="9"/>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3" i="6"/>
  <c r="L24" i="6"/>
  <c r="L25" i="6"/>
  <c r="L26" i="6"/>
  <c r="P27" i="6"/>
  <c r="Q25" i="40"/>
  <c r="Z25" i="40"/>
  <c r="D94" i="40"/>
  <c r="E94" i="40"/>
  <c r="F25" i="40"/>
  <c r="AA25" i="40"/>
  <c r="Q18" i="36"/>
  <c r="Z18" i="36"/>
  <c r="D66" i="36"/>
  <c r="E66" i="36"/>
  <c r="F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H18" i="35"/>
  <c r="U18" i="35"/>
  <c r="J18" i="35"/>
  <c r="W18" i="35"/>
  <c r="F77" i="37"/>
  <c r="H21" i="37"/>
  <c r="F21" i="37"/>
  <c r="H21" i="34"/>
  <c r="U21" i="34"/>
  <c r="H21" i="33"/>
  <c r="AB21" i="33"/>
  <c r="F21" i="33"/>
  <c r="S21" i="33"/>
  <c r="E83" i="21"/>
  <c r="S21" i="21"/>
  <c r="H1" i="69"/>
  <c r="AC25" i="40"/>
  <c r="W25" i="40"/>
  <c r="AB25" i="40"/>
  <c r="U25" i="40"/>
  <c r="AC18" i="36"/>
  <c r="W18" i="36"/>
  <c r="AB21" i="37"/>
  <c r="U21" i="37"/>
  <c r="AA21" i="37"/>
  <c r="S21" i="37"/>
  <c r="AB21" i="34"/>
  <c r="U21" i="33"/>
  <c r="AB18" i="35"/>
  <c r="G77" i="37"/>
  <c r="J21" i="37"/>
  <c r="J21" i="34"/>
  <c r="W21" i="34"/>
  <c r="J21" i="33"/>
  <c r="AC21" i="33"/>
  <c r="F83" i="21"/>
  <c r="H21" i="21"/>
  <c r="F38" i="69"/>
  <c r="E37" i="69"/>
  <c r="F36" i="69"/>
  <c r="F35" i="69"/>
  <c r="F21" i="69"/>
  <c r="C21" i="69"/>
  <c r="F20" i="69"/>
  <c r="E10" i="69"/>
  <c r="E9" i="69"/>
  <c r="C7" i="69"/>
  <c r="AC21" i="37"/>
  <c r="W21" i="37"/>
  <c r="AC21" i="34"/>
  <c r="AB21" i="21"/>
  <c r="U21" i="21"/>
  <c r="G83" i="21"/>
  <c r="J21" i="21"/>
  <c r="E9" i="68"/>
  <c r="W21" i="21"/>
  <c r="AC21" i="21"/>
  <c r="Q72" i="67"/>
  <c r="Q59" i="67"/>
  <c r="Q58" i="67"/>
  <c r="Q51" i="67"/>
  <c r="J50" i="67"/>
  <c r="M47" i="67"/>
  <c r="D46" i="67"/>
  <c r="F33" i="67"/>
  <c r="F61" i="67"/>
  <c r="F23" i="67"/>
  <c r="D24" i="67"/>
  <c r="F21" i="67"/>
  <c r="F20" i="67"/>
  <c r="M19" i="67"/>
  <c r="F18" i="67"/>
  <c r="F17" i="67"/>
  <c r="F15" i="67"/>
  <c r="D22" i="67"/>
  <c r="D23" i="67"/>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F15" i="4"/>
  <c r="G15" i="4"/>
  <c r="F10" i="1"/>
  <c r="F11" i="1"/>
  <c r="F12" i="1"/>
  <c r="D12" i="1"/>
  <c r="G12" i="1"/>
  <c r="F13" i="1"/>
  <c r="D6" i="1"/>
  <c r="D10" i="1"/>
  <c r="D11" i="1"/>
  <c r="D13"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S36" i="31" s="1"/>
  <c r="R37" i="31"/>
  <c r="S37" i="3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R501" i="31"/>
  <c r="R502" i="31"/>
  <c r="S502" i="31" s="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G7" i="1"/>
  <c r="F19" i="4"/>
  <c r="F2" i="52"/>
  <c r="B50" i="72"/>
  <c r="D2" i="52"/>
  <c r="B46" i="72"/>
  <c r="B8" i="53"/>
  <c r="B23" i="72"/>
  <c r="L4" i="9"/>
  <c r="B17" i="72"/>
  <c r="B15" i="72"/>
  <c r="A3" i="51"/>
  <c r="C8" i="11"/>
  <c r="B2" i="49"/>
  <c r="E10" i="49" s="1"/>
  <c r="B40" i="48"/>
  <c r="B3" i="72"/>
  <c r="I2" i="43"/>
  <c r="N1" i="43"/>
  <c r="F35" i="4"/>
  <c r="H34" i="43"/>
  <c r="H35" i="43"/>
  <c r="H36" i="43"/>
  <c r="H37" i="43"/>
  <c r="H38" i="43"/>
  <c r="H39" i="43"/>
  <c r="H33" i="43"/>
  <c r="J20" i="43"/>
  <c r="C18" i="43"/>
  <c r="F15" i="43"/>
  <c r="E15" i="43"/>
  <c r="D15" i="43"/>
  <c r="C15" i="43"/>
  <c r="C10" i="43"/>
  <c r="C11" i="43"/>
  <c r="C9" i="43"/>
  <c r="A7" i="43"/>
  <c r="F33" i="15"/>
  <c r="F61" i="15"/>
  <c r="M19" i="15"/>
  <c r="D78" i="9"/>
  <c r="M18" i="78"/>
  <c r="B118" i="78" s="1"/>
  <c r="F23" i="15"/>
  <c r="D24" i="15"/>
  <c r="O13" i="1"/>
  <c r="P13" i="1"/>
  <c r="M18" i="88"/>
  <c r="B118" i="88" s="1"/>
  <c r="F35" i="11"/>
  <c r="F36" i="11"/>
  <c r="F38" i="11"/>
  <c r="E37" i="11"/>
  <c r="F20" i="11"/>
  <c r="F21" i="11"/>
  <c r="C21" i="11"/>
  <c r="F7" i="11"/>
  <c r="C7" i="11"/>
  <c r="F12" i="12"/>
  <c r="F13" i="12"/>
  <c r="F15" i="12"/>
  <c r="E14" i="12"/>
  <c r="E19" i="12"/>
  <c r="E20" i="12"/>
  <c r="E17" i="12"/>
  <c r="F22" i="12"/>
  <c r="F23" i="12"/>
  <c r="I55" i="9"/>
  <c r="F55" i="9"/>
  <c r="O53" i="9"/>
  <c r="J55" i="9"/>
  <c r="T4" i="1"/>
  <c r="F15" i="15"/>
  <c r="F17" i="15"/>
  <c r="F18" i="15"/>
  <c r="F20" i="15"/>
  <c r="F21" i="15"/>
  <c r="D3" i="35"/>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6" i="31"/>
  <c r="S390" i="31"/>
  <c r="S374" i="31"/>
  <c r="S358" i="31"/>
  <c r="S342" i="31"/>
  <c r="S334" i="31"/>
  <c r="S326" i="31"/>
  <c r="S320" i="31"/>
  <c r="S312" i="31"/>
  <c r="S304" i="31"/>
  <c r="S296" i="31"/>
  <c r="S288" i="31"/>
  <c r="S280" i="31"/>
  <c r="S272" i="31"/>
  <c r="S264" i="31"/>
  <c r="S256" i="31"/>
  <c r="S243" i="31"/>
  <c r="S227"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4" i="31"/>
  <c r="S490" i="31"/>
  <c r="S486" i="31"/>
  <c r="S482" i="31"/>
  <c r="S478" i="31"/>
  <c r="S474" i="31"/>
  <c r="S470" i="31"/>
  <c r="S437" i="31"/>
  <c r="S122" i="31"/>
  <c r="S120" i="31"/>
  <c r="S118" i="31"/>
  <c r="S116" i="31"/>
  <c r="S114" i="31"/>
  <c r="S112" i="31"/>
  <c r="S500" i="31"/>
  <c r="S465" i="31"/>
  <c r="S457" i="31"/>
  <c r="S54" i="31"/>
  <c r="S52" i="31"/>
  <c r="S50" i="31"/>
  <c r="S48" i="31"/>
  <c r="S46" i="31"/>
  <c r="S44" i="31"/>
  <c r="S42" i="31"/>
  <c r="S40" i="31"/>
  <c r="S38"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8" i="31"/>
  <c r="S110" i="31"/>
  <c r="S445" i="31"/>
  <c r="S510"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2"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D66" i="35"/>
  <c r="E66" i="35"/>
  <c r="D64" i="35"/>
  <c r="E6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G67" i="34"/>
  <c r="H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c r="H16" i="35"/>
  <c r="U16" i="35"/>
  <c r="H14" i="35"/>
  <c r="AB14" i="35"/>
  <c r="H33" i="35"/>
  <c r="AB33" i="35"/>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H23" i="34"/>
  <c r="U23" i="34"/>
  <c r="J23" i="34"/>
  <c r="W23" i="34"/>
  <c r="F19" i="34"/>
  <c r="H17" i="34"/>
  <c r="U17" i="34"/>
  <c r="F15" i="34"/>
  <c r="AA15" i="34"/>
  <c r="J15" i="34"/>
  <c r="AC15" i="34"/>
  <c r="H15" i="34"/>
  <c r="AB15" i="34"/>
  <c r="S9" i="34"/>
  <c r="W8" i="34"/>
  <c r="J2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F17" i="21"/>
  <c r="AA17" i="21"/>
  <c r="H17" i="21"/>
  <c r="AB17" i="21"/>
  <c r="F15" i="21"/>
  <c r="S15" i="21"/>
  <c r="AB11" i="2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c r="G4" i="4"/>
  <c r="I4" i="4"/>
  <c r="K5" i="4"/>
  <c r="B47" i="48"/>
  <c r="A2" i="9"/>
  <c r="F29" i="6"/>
  <c r="U36" i="40"/>
  <c r="F36" i="43"/>
  <c r="F81" i="43"/>
  <c r="H83" i="43"/>
  <c r="H113" i="43"/>
  <c r="F48" i="43"/>
  <c r="H52" i="43"/>
  <c r="F70" i="43"/>
  <c r="H73" i="43"/>
  <c r="M11" i="43"/>
  <c r="D17" i="43"/>
  <c r="F39" i="43"/>
  <c r="I17" i="43"/>
  <c r="F35" i="43"/>
  <c r="J17" i="43"/>
  <c r="G6" i="1"/>
  <c r="U43" i="21"/>
  <c r="U35" i="21"/>
  <c r="AC35" i="21"/>
  <c r="U10" i="21"/>
  <c r="F48" i="9"/>
  <c r="O52" i="9"/>
  <c r="W37" i="37"/>
  <c r="W44" i="34"/>
  <c r="AC44" i="34"/>
  <c r="S15" i="37"/>
  <c r="U13" i="37"/>
  <c r="U12" i="40"/>
  <c r="AA12" i="40"/>
  <c r="J37" i="33"/>
  <c r="W37"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H75" i="43"/>
  <c r="H27" i="36"/>
  <c r="U27" i="36"/>
  <c r="F27" i="36"/>
  <c r="AA27" i="36"/>
  <c r="H33" i="34"/>
  <c r="U33" i="34"/>
  <c r="F32" i="37"/>
  <c r="AA32" i="37"/>
  <c r="G96" i="37"/>
  <c r="H96" i="37"/>
  <c r="I96" i="37"/>
  <c r="J96" i="37"/>
  <c r="K96" i="37"/>
  <c r="L96" i="37"/>
  <c r="M96" i="37"/>
  <c r="F20" i="36"/>
  <c r="AA20" i="36"/>
  <c r="J33" i="34"/>
  <c r="AC33" i="34"/>
  <c r="H86" i="43"/>
  <c r="H82" i="43"/>
  <c r="H87" i="43"/>
  <c r="D93" i="9"/>
  <c r="AC26" i="33"/>
  <c r="W26" i="33"/>
  <c r="AB34" i="36"/>
  <c r="U34" i="36"/>
  <c r="AB33" i="36"/>
  <c r="U33" i="36"/>
  <c r="AC39" i="40"/>
  <c r="W39" i="40"/>
  <c r="W12" i="33"/>
  <c r="AC12" i="33"/>
  <c r="AA32" i="36"/>
  <c r="S32" i="36"/>
  <c r="U30" i="33"/>
  <c r="AC13" i="34"/>
  <c r="AA47" i="34"/>
  <c r="W28" i="37"/>
  <c r="F12" i="33"/>
  <c r="F39" i="40"/>
  <c r="S12" i="1"/>
  <c r="AR12" i="1" s="1"/>
  <c r="R12" i="1"/>
  <c r="B12" i="1"/>
  <c r="E12" i="1"/>
  <c r="B10" i="1"/>
  <c r="E10" i="1"/>
  <c r="S13" i="1"/>
  <c r="AR13" i="1" s="1"/>
  <c r="R13" i="1"/>
  <c r="J51" i="67"/>
  <c r="C77" i="9"/>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J56" i="9"/>
  <c r="J57" i="9"/>
  <c r="J59" i="9"/>
  <c r="J61" i="9"/>
  <c r="A24" i="51"/>
  <c r="B18" i="72"/>
  <c r="U29" i="34"/>
  <c r="D9" i="11"/>
  <c r="C9" i="11" s="1"/>
  <c r="E32"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5"/>
  <c r="C48" i="35"/>
  <c r="C7" i="33"/>
  <c r="C58" i="33"/>
  <c r="D58" i="33"/>
  <c r="E58" i="33"/>
  <c r="F58" i="33"/>
  <c r="G58" i="33"/>
  <c r="H58" i="33"/>
  <c r="I58" i="33"/>
  <c r="J58" i="33"/>
  <c r="K58" i="33"/>
  <c r="L58" i="33"/>
  <c r="M58" i="33"/>
  <c r="N58" i="33"/>
  <c r="O58" i="33"/>
  <c r="C7" i="21"/>
  <c r="C58" i="21"/>
  <c r="C7" i="40"/>
  <c r="C63" i="40"/>
  <c r="C65" i="40"/>
  <c r="M47" i="9"/>
  <c r="G19" i="43"/>
  <c r="O19" i="43"/>
  <c r="C19" i="43"/>
  <c r="C46" i="36"/>
  <c r="C59" i="34"/>
  <c r="D59" i="34"/>
  <c r="E59" i="34"/>
  <c r="C52" i="37"/>
  <c r="A4" i="51"/>
  <c r="B6" i="72"/>
  <c r="C4" i="12"/>
  <c r="H55" i="43"/>
  <c r="H56" i="43"/>
  <c r="H72" i="43"/>
  <c r="B6" i="1"/>
  <c r="E6"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s="1"/>
  <c r="F11" i="12"/>
  <c r="C23" i="12" s="1"/>
  <c r="H109" i="9"/>
  <c r="H110" i="9"/>
  <c r="D18" i="53" s="1"/>
  <c r="B35" i="72" s="1"/>
  <c r="D124" i="9"/>
  <c r="H14" i="74"/>
  <c r="B7" i="74"/>
  <c r="D16" i="53"/>
  <c r="B34" i="72"/>
  <c r="D10" i="52"/>
  <c r="D17" i="53"/>
  <c r="B36" i="72"/>
  <c r="D125" i="9"/>
  <c r="D11" i="52"/>
  <c r="J7" i="33"/>
  <c r="W7" i="33"/>
  <c r="F7" i="33"/>
  <c r="H7" i="33"/>
  <c r="H112" i="9"/>
  <c r="D21" i="53" s="1"/>
  <c r="B39" i="72" s="1"/>
  <c r="H111" i="9"/>
  <c r="D19" i="53" s="1"/>
  <c r="AD3" i="71"/>
  <c r="D63" i="40"/>
  <c r="D65" i="40"/>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c r="P21" i="43"/>
  <c r="P22" i="43"/>
  <c r="V8" i="71"/>
  <c r="P23" i="43"/>
  <c r="D9" i="71"/>
  <c r="P25" i="43"/>
  <c r="D6" i="71"/>
  <c r="T8" i="71"/>
  <c r="D7" i="71"/>
  <c r="D8" i="71"/>
  <c r="M20" i="43"/>
  <c r="U8" i="71"/>
  <c r="F31" i="15"/>
  <c r="F31" i="67"/>
  <c r="R10" i="1"/>
  <c r="AE10" i="1"/>
  <c r="G29" i="6"/>
  <c r="E29" i="6" s="1"/>
  <c r="F30" i="6"/>
  <c r="F31" i="6" s="1"/>
  <c r="B13" i="92"/>
  <c r="B12" i="92"/>
  <c r="G11" i="1"/>
  <c r="G9" i="1"/>
  <c r="G10" i="1"/>
  <c r="G1" i="79"/>
  <c r="G1" i="87"/>
  <c r="G1" i="86"/>
  <c r="G8" i="1"/>
  <c r="W19" i="34"/>
  <c r="H29" i="35"/>
  <c r="H87" i="35"/>
  <c r="I87" i="35"/>
  <c r="J87" i="35"/>
  <c r="K87" i="35"/>
  <c r="L87" i="35"/>
  <c r="M87" i="35"/>
  <c r="J29" i="35"/>
  <c r="AC29" i="35" s="1"/>
  <c r="V38" i="35" s="1"/>
  <c r="I38" i="35" s="1"/>
  <c r="F29" i="35"/>
  <c r="S29" i="35"/>
  <c r="AA29" i="35"/>
  <c r="U28" i="35"/>
  <c r="W28" i="35"/>
  <c r="F70" i="35"/>
  <c r="G70" i="35"/>
  <c r="J20" i="35"/>
  <c r="W20" i="35"/>
  <c r="F20" i="35"/>
  <c r="AB20" i="35"/>
  <c r="AC20" i="35"/>
  <c r="AC18" i="35"/>
  <c r="S18" i="35"/>
  <c r="J16" i="35"/>
  <c r="AC16" i="35"/>
  <c r="F16" i="35"/>
  <c r="S16" i="35"/>
  <c r="F66" i="35"/>
  <c r="G66" i="35"/>
  <c r="W16" i="35"/>
  <c r="AA16" i="35"/>
  <c r="AB16" i="35"/>
  <c r="F14" i="35"/>
  <c r="F64" i="35"/>
  <c r="G64" i="35"/>
  <c r="J14" i="35"/>
  <c r="AC10" i="35"/>
  <c r="S9" i="35"/>
  <c r="H26" i="35"/>
  <c r="F26" i="35"/>
  <c r="J26" i="35"/>
  <c r="D1" i="66"/>
  <c r="E10" i="66"/>
  <c r="B8" i="1"/>
  <c r="E8" i="1"/>
  <c r="C5" i="11"/>
  <c r="AC37" i="33"/>
  <c r="S26" i="33"/>
  <c r="W21" i="33"/>
  <c r="AA17" i="33"/>
  <c r="M20" i="15"/>
  <c r="M20" i="79"/>
  <c r="F34" i="79"/>
  <c r="F62" i="79"/>
  <c r="F62" i="77"/>
  <c r="I20" i="43"/>
  <c r="L27" i="6"/>
  <c r="E11" i="6"/>
  <c r="E56" i="40" s="1"/>
  <c r="D9" i="69"/>
  <c r="C9" i="69" s="1"/>
  <c r="M18" i="80"/>
  <c r="B118" i="80" s="1"/>
  <c r="G27" i="6"/>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AC7" i="33"/>
  <c r="J67" i="43"/>
  <c r="J61" i="43"/>
  <c r="D62" i="43"/>
  <c r="E59" i="43"/>
  <c r="B57" i="43"/>
  <c r="C24" i="43"/>
  <c r="C40" i="11"/>
  <c r="C40" i="69"/>
  <c r="E90" i="34"/>
  <c r="E18" i="82"/>
  <c r="D18" i="82"/>
  <c r="F10" i="34"/>
  <c r="H10" i="34"/>
  <c r="J10" i="34"/>
  <c r="I67" i="34"/>
  <c r="W9" i="34"/>
  <c r="W41" i="34"/>
  <c r="AC39" i="34"/>
  <c r="G88" i="34"/>
  <c r="H88" i="34"/>
  <c r="I88" i="34"/>
  <c r="J88" i="34"/>
  <c r="K88" i="34"/>
  <c r="L88" i="34"/>
  <c r="M88" i="34"/>
  <c r="J25" i="34"/>
  <c r="F25" i="34"/>
  <c r="H25" i="34"/>
  <c r="AB25" i="34"/>
  <c r="AA21" i="33"/>
  <c r="F90" i="34"/>
  <c r="G90" i="34"/>
  <c r="H90" i="34"/>
  <c r="I90" i="34"/>
  <c r="J90" i="34"/>
  <c r="K90" i="34"/>
  <c r="L90" i="34"/>
  <c r="M90" i="34"/>
  <c r="J27" i="34"/>
  <c r="H27" i="34"/>
  <c r="F27" i="34"/>
  <c r="AA27" i="34"/>
  <c r="AA39" i="34"/>
  <c r="S27" i="34"/>
  <c r="U25" i="34"/>
  <c r="AB41"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E13" i="6"/>
  <c r="O6" i="1"/>
  <c r="AA34" i="33"/>
  <c r="S32" i="33"/>
  <c r="S41" i="33"/>
  <c r="W39" i="33"/>
  <c r="AC35" i="33"/>
  <c r="AC32" i="33"/>
  <c r="U32" i="33"/>
  <c r="S28" i="33"/>
  <c r="AC28" i="33"/>
  <c r="S45" i="33"/>
  <c r="AB26" i="33"/>
  <c r="AA25" i="33"/>
  <c r="AB23" i="33"/>
  <c r="S23" i="33"/>
  <c r="U19" i="33"/>
  <c r="U17" i="33"/>
  <c r="S9" i="33"/>
  <c r="E63" i="40"/>
  <c r="M47" i="78"/>
  <c r="M47" i="80"/>
  <c r="J51" i="79"/>
  <c r="C13" i="12"/>
  <c r="C77" i="80"/>
  <c r="C77" i="78"/>
  <c r="C74" i="80"/>
  <c r="C28" i="79"/>
  <c r="C74" i="78"/>
  <c r="J51" i="15"/>
  <c r="C51" i="10"/>
  <c r="A118" i="78"/>
  <c r="A2" i="78"/>
  <c r="A118" i="80"/>
  <c r="A2" i="80"/>
  <c r="C9" i="68"/>
  <c r="E10" i="43"/>
  <c r="E8" i="43"/>
  <c r="E9" i="43"/>
  <c r="E11" i="43"/>
  <c r="AC36" i="33"/>
  <c r="AC10" i="33"/>
  <c r="W8" i="33"/>
  <c r="G17" i="43"/>
  <c r="C16" i="43"/>
  <c r="C5" i="43"/>
  <c r="C24" i="12"/>
  <c r="C74" i="9"/>
  <c r="M18" i="15"/>
  <c r="M18" i="67"/>
  <c r="F30" i="68"/>
  <c r="C31" i="12"/>
  <c r="F54" i="9"/>
  <c r="F28" i="15"/>
  <c r="F30" i="69"/>
  <c r="C30" i="69"/>
  <c r="F32" i="67"/>
  <c r="F60" i="67"/>
  <c r="F52" i="9"/>
  <c r="F28" i="67"/>
  <c r="C28" i="67"/>
  <c r="F30" i="11"/>
  <c r="P61" i="15"/>
  <c r="C36" i="69"/>
  <c r="E12" i="6"/>
  <c r="E57" i="40"/>
  <c r="O14" i="1"/>
  <c r="P14" i="1"/>
  <c r="P6" i="1"/>
  <c r="O12" i="1"/>
  <c r="P12" i="1"/>
  <c r="O9" i="1"/>
  <c r="P9" i="1"/>
  <c r="O8" i="1"/>
  <c r="P11" i="1"/>
  <c r="D5" i="43"/>
  <c r="H50" i="43"/>
  <c r="F59" i="34"/>
  <c r="D58" i="21"/>
  <c r="E58" i="21"/>
  <c r="F58" i="21"/>
  <c r="G58" i="21"/>
  <c r="H58" i="21"/>
  <c r="I58" i="21"/>
  <c r="J58" i="21"/>
  <c r="K58" i="21"/>
  <c r="L58" i="21"/>
  <c r="M58" i="21"/>
  <c r="N58" i="21"/>
  <c r="O58" i="21"/>
  <c r="J7" i="21"/>
  <c r="AB7" i="33"/>
  <c r="U7" i="33"/>
  <c r="D46" i="36"/>
  <c r="S7" i="33"/>
  <c r="AA7" i="33"/>
  <c r="D48" i="35"/>
  <c r="D52" i="37"/>
  <c r="C28" i="15"/>
  <c r="C48" i="69"/>
  <c r="F59" i="15"/>
  <c r="F59" i="67"/>
  <c r="M17" i="15"/>
  <c r="M17" i="67"/>
  <c r="S10" i="1"/>
  <c r="O7" i="1"/>
  <c r="P7" i="1"/>
  <c r="O10" i="1"/>
  <c r="P10" i="1"/>
  <c r="G3" i="43"/>
  <c r="H101" i="43" s="1"/>
  <c r="H16" i="1"/>
  <c r="C32" i="66"/>
  <c r="C30" i="66"/>
  <c r="G16" i="1"/>
  <c r="AF11" i="43"/>
  <c r="AF13" i="43" s="1"/>
  <c r="W29" i="35"/>
  <c r="AB29" i="35"/>
  <c r="T38" i="35" s="1"/>
  <c r="U29" i="35"/>
  <c r="AA20" i="35"/>
  <c r="S20" i="35"/>
  <c r="W14" i="35"/>
  <c r="AC14" i="35"/>
  <c r="AA14" i="35"/>
  <c r="S14" i="35"/>
  <c r="AA26" i="35"/>
  <c r="S26" i="35"/>
  <c r="W26" i="35"/>
  <c r="AC26" i="35"/>
  <c r="U26" i="35"/>
  <c r="AB26" i="35"/>
  <c r="U25" i="33"/>
  <c r="E10" i="6"/>
  <c r="E51" i="40"/>
  <c r="E15" i="6"/>
  <c r="E60" i="40" s="1"/>
  <c r="E14" i="6"/>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F7" i="21"/>
  <c r="E65" i="40"/>
  <c r="F63" i="40"/>
  <c r="C30" i="68"/>
  <c r="C48" i="68"/>
  <c r="C30" i="11"/>
  <c r="C48" i="11"/>
  <c r="H10" i="40"/>
  <c r="AB10" i="40" s="1"/>
  <c r="P8" i="1"/>
  <c r="E48" i="35"/>
  <c r="E46" i="36"/>
  <c r="W7" i="21"/>
  <c r="AC7" i="21"/>
  <c r="V48" i="21"/>
  <c r="I48" i="21"/>
  <c r="E52" i="37"/>
  <c r="S7" i="21"/>
  <c r="AA7" i="21"/>
  <c r="R48" i="21"/>
  <c r="H7" i="21"/>
  <c r="G59" i="34"/>
  <c r="AH11" i="43"/>
  <c r="AH13" i="43" s="1"/>
  <c r="AJ11" i="43"/>
  <c r="AJ13" i="43" s="1"/>
  <c r="F101" i="43"/>
  <c r="F102" i="43" s="1"/>
  <c r="D101" i="43"/>
  <c r="D103" i="43" s="1"/>
  <c r="J101" i="43"/>
  <c r="J104" i="43" s="1"/>
  <c r="E26" i="66"/>
  <c r="F3" i="35"/>
  <c r="E59" i="40"/>
  <c r="E16" i="6"/>
  <c r="S4" i="43"/>
  <c r="S7" i="43"/>
  <c r="G63" i="40"/>
  <c r="F65" i="40"/>
  <c r="D3" i="34"/>
  <c r="B2" i="34" s="1"/>
  <c r="D3" i="33"/>
  <c r="H59" i="34"/>
  <c r="I59" i="34"/>
  <c r="J59" i="34"/>
  <c r="K59" i="34"/>
  <c r="L59" i="34"/>
  <c r="M59" i="34"/>
  <c r="N59" i="34"/>
  <c r="O59" i="34"/>
  <c r="H7" i="34"/>
  <c r="J7" i="34"/>
  <c r="E48" i="21"/>
  <c r="R49" i="21"/>
  <c r="F46" i="36"/>
  <c r="G46" i="36"/>
  <c r="H46" i="36"/>
  <c r="I46" i="36"/>
  <c r="J46" i="36"/>
  <c r="K46" i="36"/>
  <c r="L46" i="36"/>
  <c r="M46" i="36"/>
  <c r="N46" i="36"/>
  <c r="O46" i="36"/>
  <c r="F7" i="34"/>
  <c r="AB7" i="21"/>
  <c r="T48" i="21"/>
  <c r="G48" i="21"/>
  <c r="U7" i="21"/>
  <c r="F52" i="37"/>
  <c r="I52" i="21"/>
  <c r="J52" i="21"/>
  <c r="I53" i="21"/>
  <c r="J53" i="21"/>
  <c r="F7" i="36"/>
  <c r="F48" i="35"/>
  <c r="AE11" i="1"/>
  <c r="J109" i="43"/>
  <c r="D109" i="43"/>
  <c r="F109" i="43"/>
  <c r="F106" i="43"/>
  <c r="K26" i="6"/>
  <c r="M26" i="6" s="1"/>
  <c r="I26" i="6" s="1"/>
  <c r="S26" i="6" s="1"/>
  <c r="K25" i="6"/>
  <c r="M25" i="6" s="1"/>
  <c r="I25" i="6" s="1"/>
  <c r="S25" i="6" s="1"/>
  <c r="K24" i="6"/>
  <c r="M24" i="6" s="1"/>
  <c r="I24" i="6" s="1"/>
  <c r="S24" i="6" s="1"/>
  <c r="K23" i="6"/>
  <c r="J33" i="33"/>
  <c r="F33" i="33"/>
  <c r="H33" i="33"/>
  <c r="J7" i="36"/>
  <c r="G65" i="40"/>
  <c r="H63" i="40"/>
  <c r="J34" i="34"/>
  <c r="F34" i="34"/>
  <c r="H34" i="34"/>
  <c r="S7" i="36"/>
  <c r="AA7" i="36"/>
  <c r="R36" i="36"/>
  <c r="S7" i="34"/>
  <c r="AA7" i="34"/>
  <c r="H7" i="36"/>
  <c r="E52" i="21"/>
  <c r="F52" i="21"/>
  <c r="E53" i="21"/>
  <c r="F53" i="21"/>
  <c r="U7" i="34"/>
  <c r="AB7" i="34"/>
  <c r="G48" i="35"/>
  <c r="G52" i="37"/>
  <c r="G53" i="21"/>
  <c r="H53" i="21"/>
  <c r="G52" i="21"/>
  <c r="H52" i="21"/>
  <c r="AC7" i="36"/>
  <c r="V36" i="36"/>
  <c r="I36" i="36"/>
  <c r="W7" i="36"/>
  <c r="C48" i="21"/>
  <c r="C49" i="21"/>
  <c r="W7" i="34"/>
  <c r="AC7" i="34"/>
  <c r="M23" i="6"/>
  <c r="I23" i="6" s="1"/>
  <c r="S23" i="6" s="1"/>
  <c r="S11" i="1"/>
  <c r="AR11" i="1" s="1"/>
  <c r="M19" i="88"/>
  <c r="C118" i="88" s="1"/>
  <c r="R11" i="1"/>
  <c r="L18" i="88"/>
  <c r="AA33" i="33"/>
  <c r="R48" i="33"/>
  <c r="S33" i="33"/>
  <c r="AB33" i="33"/>
  <c r="T48" i="33"/>
  <c r="G48" i="33"/>
  <c r="G52" i="33"/>
  <c r="H52" i="33"/>
  <c r="U33" i="33"/>
  <c r="AC33" i="33"/>
  <c r="V48" i="33"/>
  <c r="I48" i="33"/>
  <c r="W33" i="33"/>
  <c r="M19" i="78"/>
  <c r="C118" i="78" s="1"/>
  <c r="M19" i="80"/>
  <c r="C118" i="80" s="1"/>
  <c r="H65" i="40"/>
  <c r="I63" i="40"/>
  <c r="AA34" i="34"/>
  <c r="S34" i="34"/>
  <c r="AB34" i="34"/>
  <c r="U34" i="34"/>
  <c r="AC34" i="34"/>
  <c r="W34" i="34"/>
  <c r="I40" i="36"/>
  <c r="J40" i="36"/>
  <c r="H52" i="37"/>
  <c r="AB7" i="36"/>
  <c r="T36" i="36"/>
  <c r="G36" i="36"/>
  <c r="U7" i="36"/>
  <c r="R37" i="36"/>
  <c r="E36" i="36"/>
  <c r="I41" i="36"/>
  <c r="J41" i="36"/>
  <c r="H48" i="35"/>
  <c r="AQ11" i="1"/>
  <c r="T11" i="1"/>
  <c r="AQ10" i="1"/>
  <c r="T10" i="1"/>
  <c r="AR10" i="1"/>
  <c r="L18" i="78"/>
  <c r="L18" i="80"/>
  <c r="L19" i="88"/>
  <c r="I52" i="33"/>
  <c r="J52" i="33"/>
  <c r="G53" i="33"/>
  <c r="H53" i="33"/>
  <c r="E48" i="33"/>
  <c r="R49" i="33"/>
  <c r="J63" i="40"/>
  <c r="I65" i="40"/>
  <c r="I48" i="35"/>
  <c r="C37" i="36"/>
  <c r="C36" i="36"/>
  <c r="I52" i="37"/>
  <c r="E40" i="36"/>
  <c r="F40" i="36"/>
  <c r="E41" i="36"/>
  <c r="F41" i="36"/>
  <c r="G40" i="36"/>
  <c r="H40" i="36"/>
  <c r="G41" i="36"/>
  <c r="H41" i="36"/>
  <c r="L19" i="80"/>
  <c r="L19" i="78"/>
  <c r="E53" i="33"/>
  <c r="F53" i="33"/>
  <c r="E52" i="33"/>
  <c r="F52" i="33"/>
  <c r="I53" i="33"/>
  <c r="J53" i="33"/>
  <c r="C48" i="33"/>
  <c r="C49" i="33"/>
  <c r="B2" i="33"/>
  <c r="K63" i="40"/>
  <c r="J65" i="40"/>
  <c r="J52" i="37"/>
  <c r="J48" i="35"/>
  <c r="B3" i="33"/>
  <c r="R24" i="31" s="1"/>
  <c r="F11" i="34"/>
  <c r="L63" i="40"/>
  <c r="K65" i="40"/>
  <c r="K48" i="35"/>
  <c r="K52" i="37"/>
  <c r="J11" i="34"/>
  <c r="H11" i="34"/>
  <c r="S11" i="34"/>
  <c r="AA11" i="34"/>
  <c r="R49" i="34"/>
  <c r="M63" i="40"/>
  <c r="L65" i="40"/>
  <c r="L52" i="37"/>
  <c r="L48" i="35"/>
  <c r="U11" i="34"/>
  <c r="AB11" i="34"/>
  <c r="T49" i="34"/>
  <c r="G49" i="34"/>
  <c r="E49" i="34"/>
  <c r="E53" i="34"/>
  <c r="F53" i="34"/>
  <c r="W11" i="34"/>
  <c r="AC11" i="34"/>
  <c r="V49" i="34"/>
  <c r="I49" i="34"/>
  <c r="N63" i="40"/>
  <c r="M65" i="40"/>
  <c r="M48" i="35"/>
  <c r="N48" i="35"/>
  <c r="O48" i="35"/>
  <c r="M52" i="37"/>
  <c r="N52" i="37"/>
  <c r="O52" i="37"/>
  <c r="R50" i="34"/>
  <c r="C50" i="34"/>
  <c r="I53" i="34"/>
  <c r="J53" i="34"/>
  <c r="I54" i="34"/>
  <c r="J54" i="34"/>
  <c r="E54" i="34"/>
  <c r="F54" i="34"/>
  <c r="G53" i="34"/>
  <c r="H53" i="34"/>
  <c r="G54" i="34"/>
  <c r="H54" i="34"/>
  <c r="O63" i="40"/>
  <c r="O65" i="40"/>
  <c r="N65" i="40"/>
  <c r="F7" i="37"/>
  <c r="H7" i="37"/>
  <c r="J7" i="35"/>
  <c r="F7" i="35"/>
  <c r="J7" i="37"/>
  <c r="H7" i="35"/>
  <c r="C49" i="34"/>
  <c r="B3" i="34"/>
  <c r="R24" i="82" s="1"/>
  <c r="F7" i="40"/>
  <c r="J7" i="40"/>
  <c r="H7" i="40"/>
  <c r="AC7" i="37"/>
  <c r="V42" i="37"/>
  <c r="I42" i="37"/>
  <c r="W7" i="37"/>
  <c r="W7" i="35"/>
  <c r="AC7" i="35"/>
  <c r="AA7" i="37"/>
  <c r="R42" i="37"/>
  <c r="S7" i="37"/>
  <c r="U7" i="35"/>
  <c r="AB7" i="35"/>
  <c r="S7" i="35"/>
  <c r="AA7" i="35"/>
  <c r="R38" i="35"/>
  <c r="AB7" i="37"/>
  <c r="T42" i="37"/>
  <c r="G42" i="37"/>
  <c r="U7" i="37"/>
  <c r="B11" i="92"/>
  <c r="W7" i="40"/>
  <c r="AC7" i="40"/>
  <c r="V42" i="40"/>
  <c r="I42" i="40" s="1"/>
  <c r="I46" i="40" s="1"/>
  <c r="J46" i="40" s="1"/>
  <c r="AB7" i="40"/>
  <c r="T42" i="40"/>
  <c r="G42" i="40" s="1"/>
  <c r="U7" i="40"/>
  <c r="S7" i="40"/>
  <c r="AA7" i="40"/>
  <c r="R42" i="40"/>
  <c r="G47" i="37"/>
  <c r="H47" i="37"/>
  <c r="G46" i="37"/>
  <c r="H46" i="37"/>
  <c r="R43" i="37"/>
  <c r="E42" i="37"/>
  <c r="I47" i="37"/>
  <c r="J47" i="37"/>
  <c r="I46" i="37"/>
  <c r="J46" i="37"/>
  <c r="E38" i="35"/>
  <c r="E42" i="35" s="1"/>
  <c r="F42" i="35" s="1"/>
  <c r="B7" i="92"/>
  <c r="B6" i="92"/>
  <c r="B10" i="92"/>
  <c r="R34" i="31"/>
  <c r="R35" i="31"/>
  <c r="S35" i="31" s="1"/>
  <c r="I14" i="84" s="1"/>
  <c r="E42" i="40"/>
  <c r="R43" i="40"/>
  <c r="C43" i="40" s="1"/>
  <c r="C43" i="37"/>
  <c r="C42" i="37"/>
  <c r="E46" i="37"/>
  <c r="F46" i="37"/>
  <c r="E47" i="37"/>
  <c r="F47" i="37"/>
  <c r="S34" i="31"/>
  <c r="I13" i="84" s="1"/>
  <c r="J13" i="84"/>
  <c r="E46" i="40"/>
  <c r="F46" i="40" s="1"/>
  <c r="F17" i="74"/>
  <c r="E17" i="74"/>
  <c r="E16" i="74"/>
  <c r="F16" i="74"/>
  <c r="E15" i="74"/>
  <c r="F15" i="74"/>
  <c r="B172" i="83"/>
  <c r="B170" i="89"/>
  <c r="Q16" i="1"/>
  <c r="F27" i="68" s="1"/>
  <c r="C47" i="68" s="1"/>
  <c r="D45" i="68" s="1"/>
  <c r="L89" i="9" l="1"/>
  <c r="L90" i="9" s="1"/>
  <c r="B33" i="94"/>
  <c r="I43" i="35"/>
  <c r="J43" i="35" s="1"/>
  <c r="I42" i="35"/>
  <c r="J42" i="35" s="1"/>
  <c r="R39" i="35"/>
  <c r="G38" i="35"/>
  <c r="E43" i="35"/>
  <c r="F43" i="35" s="1"/>
  <c r="H22" i="94"/>
  <c r="E5" i="94"/>
  <c r="E6" i="94"/>
  <c r="E22" i="94"/>
  <c r="E66" i="85"/>
  <c r="D68" i="85"/>
  <c r="F104" i="43"/>
  <c r="D105" i="43"/>
  <c r="D107" i="43"/>
  <c r="J102" i="43"/>
  <c r="S5" i="43"/>
  <c r="AB11" i="43"/>
  <c r="AB13" i="43" s="1"/>
  <c r="F22" i="43"/>
  <c r="L101" i="43"/>
  <c r="AG11" i="43"/>
  <c r="AG13" i="43" s="1"/>
  <c r="AE11" i="43"/>
  <c r="AE13" i="43" s="1"/>
  <c r="P16" i="1"/>
  <c r="C11" i="12" s="1"/>
  <c r="AD11" i="43"/>
  <c r="AD13" i="43" s="1"/>
  <c r="C101" i="43"/>
  <c r="C103" i="43" s="1"/>
  <c r="H102" i="43"/>
  <c r="H104" i="43"/>
  <c r="H107" i="43"/>
  <c r="H105" i="43"/>
  <c r="H109" i="43"/>
  <c r="H103" i="43"/>
  <c r="H106" i="43"/>
  <c r="F27" i="11"/>
  <c r="C47" i="11" s="1"/>
  <c r="D45" i="11" s="1"/>
  <c r="F27" i="69"/>
  <c r="C47" i="69" s="1"/>
  <c r="D45" i="69" s="1"/>
  <c r="J14" i="84"/>
  <c r="F107" i="43"/>
  <c r="F105" i="43"/>
  <c r="F103" i="43"/>
  <c r="L102" i="43"/>
  <c r="L106" i="43"/>
  <c r="D102" i="43"/>
  <c r="D104" i="43"/>
  <c r="D106" i="43"/>
  <c r="J106" i="43"/>
  <c r="J22" i="43"/>
  <c r="S3" i="43"/>
  <c r="S6" i="43"/>
  <c r="S2" i="43"/>
  <c r="U10" i="40"/>
  <c r="G22" i="43"/>
  <c r="M101" i="43"/>
  <c r="E22" i="43"/>
  <c r="Y11" i="43"/>
  <c r="Y13" i="43" s="1"/>
  <c r="Z11" i="43"/>
  <c r="Z13" i="43" s="1"/>
  <c r="G101" i="43"/>
  <c r="H22" i="43"/>
  <c r="C102" i="43"/>
  <c r="AA11" i="43"/>
  <c r="AA13" i="43" s="1"/>
  <c r="N101" i="43"/>
  <c r="F28" i="12"/>
  <c r="C29" i="12" s="1"/>
  <c r="D28" i="12" s="1"/>
  <c r="C104" i="43"/>
  <c r="C105" i="43"/>
  <c r="F10" i="40"/>
  <c r="J10" i="40"/>
  <c r="N104" i="46"/>
  <c r="B113" i="43"/>
  <c r="K101" i="43"/>
  <c r="AC11" i="43"/>
  <c r="AC13" i="43" s="1"/>
  <c r="Z7" i="43"/>
  <c r="I101" i="43"/>
  <c r="AI11" i="43"/>
  <c r="AI13" i="43" s="1"/>
  <c r="E101" i="43"/>
  <c r="C23" i="43"/>
  <c r="O16" i="1"/>
  <c r="R120" i="82"/>
  <c r="S120" i="82" s="1"/>
  <c r="R119" i="82"/>
  <c r="S119" i="82" s="1"/>
  <c r="R110" i="82"/>
  <c r="S110" i="82" s="1"/>
  <c r="R107" i="82"/>
  <c r="S107" i="82" s="1"/>
  <c r="R90" i="82"/>
  <c r="S90" i="82" s="1"/>
  <c r="R87" i="82"/>
  <c r="S87" i="82" s="1"/>
  <c r="R75" i="82"/>
  <c r="S75" i="82" s="1"/>
  <c r="R85" i="82"/>
  <c r="S85" i="82" s="1"/>
  <c r="R62" i="82"/>
  <c r="S62" i="82" s="1"/>
  <c r="R114" i="82"/>
  <c r="S114" i="82" s="1"/>
  <c r="R106" i="82"/>
  <c r="S106" i="82" s="1"/>
  <c r="R101" i="82"/>
  <c r="S101" i="82" s="1"/>
  <c r="R99" i="82"/>
  <c r="S99" i="82" s="1"/>
  <c r="R80" i="82"/>
  <c r="S80" i="82" s="1"/>
  <c r="R64" i="82"/>
  <c r="S64" i="82" s="1"/>
  <c r="R73" i="82"/>
  <c r="S73" i="82" s="1"/>
  <c r="J16" i="84"/>
  <c r="R30" i="82"/>
  <c r="R58" i="82"/>
  <c r="J50" i="84" s="1"/>
  <c r="R49" i="82"/>
  <c r="J41" i="84" s="1"/>
  <c r="R47" i="82"/>
  <c r="R35" i="82"/>
  <c r="R43" i="82"/>
  <c r="R46" i="82"/>
  <c r="R53" i="82"/>
  <c r="S53" i="82" s="1"/>
  <c r="I45" i="84" s="1"/>
  <c r="R44" i="82"/>
  <c r="S44" i="82" s="1"/>
  <c r="I36" i="84" s="1"/>
  <c r="R52" i="82"/>
  <c r="J44" i="84" s="1"/>
  <c r="R59" i="82"/>
  <c r="R26" i="82"/>
  <c r="R34" i="82"/>
  <c r="R29" i="82"/>
  <c r="J21" i="84" s="1"/>
  <c r="R37" i="82"/>
  <c r="R54" i="82"/>
  <c r="R39" i="82"/>
  <c r="J31" i="84" s="1"/>
  <c r="R25" i="82"/>
  <c r="S24" i="82"/>
  <c r="I16" i="84" s="1"/>
  <c r="R122" i="82"/>
  <c r="S122" i="82" s="1"/>
  <c r="R117" i="82"/>
  <c r="S117" i="82" s="1"/>
  <c r="R104" i="82"/>
  <c r="S104" i="82" s="1"/>
  <c r="R98" i="82"/>
  <c r="S98" i="82" s="1"/>
  <c r="R97" i="82"/>
  <c r="S97" i="82" s="1"/>
  <c r="R76" i="82"/>
  <c r="S76" i="82" s="1"/>
  <c r="R67" i="82"/>
  <c r="S67" i="82" s="1"/>
  <c r="R71" i="82"/>
  <c r="S71" i="82" s="1"/>
  <c r="R121" i="82"/>
  <c r="S121" i="82" s="1"/>
  <c r="R112" i="82"/>
  <c r="S112" i="82" s="1"/>
  <c r="R109" i="82"/>
  <c r="S109" i="82" s="1"/>
  <c r="R92" i="82"/>
  <c r="S92" i="82" s="1"/>
  <c r="R79" i="82"/>
  <c r="S79" i="82" s="1"/>
  <c r="R74" i="82"/>
  <c r="S74" i="82" s="1"/>
  <c r="R65" i="82"/>
  <c r="S65" i="82" s="1"/>
  <c r="R55" i="82"/>
  <c r="R36" i="82"/>
  <c r="R41" i="82"/>
  <c r="J33" i="84" s="1"/>
  <c r="R38" i="82"/>
  <c r="S38" i="82" s="1"/>
  <c r="I30" i="84" s="1"/>
  <c r="R40" i="82"/>
  <c r="J32" i="84" s="1"/>
  <c r="R56" i="82"/>
  <c r="R57" i="82"/>
  <c r="R60" i="82"/>
  <c r="R45" i="82"/>
  <c r="R31" i="82"/>
  <c r="R91" i="82"/>
  <c r="S91" i="82" s="1"/>
  <c r="R50" i="82"/>
  <c r="J42" i="84" s="1"/>
  <c r="R28" i="82"/>
  <c r="S28" i="82" s="1"/>
  <c r="R33" i="82"/>
  <c r="R32" i="82"/>
  <c r="R48" i="82"/>
  <c r="S48" i="82" s="1"/>
  <c r="I40" i="84" s="1"/>
  <c r="R42" i="82"/>
  <c r="J34" i="84" s="1"/>
  <c r="R27" i="82"/>
  <c r="J19" i="84" s="1"/>
  <c r="R51" i="82"/>
  <c r="C42" i="40"/>
  <c r="J103" i="43"/>
  <c r="J107" i="43"/>
  <c r="J105" i="43"/>
  <c r="G109" i="43"/>
  <c r="G104" i="43"/>
  <c r="G102" i="43"/>
  <c r="F11" i="85"/>
  <c r="J11" i="85"/>
  <c r="G5" i="3"/>
  <c r="B3" i="3" s="1"/>
  <c r="BL17" i="3"/>
  <c r="BL5" i="3" s="1"/>
  <c r="H11" i="85"/>
  <c r="G47" i="40"/>
  <c r="H47" i="40" s="1"/>
  <c r="G46" i="40"/>
  <c r="H46" i="40" s="1"/>
  <c r="E47" i="40"/>
  <c r="F47" i="40" s="1"/>
  <c r="J3" i="84"/>
  <c r="R33" i="31"/>
  <c r="R25" i="31"/>
  <c r="R27" i="31"/>
  <c r="R32" i="31"/>
  <c r="R26" i="31"/>
  <c r="S24" i="31"/>
  <c r="I3" i="84" s="1"/>
  <c r="R28" i="31"/>
  <c r="S28" i="31" s="1"/>
  <c r="I7" i="84" s="1"/>
  <c r="R31" i="31"/>
  <c r="R30" i="31"/>
  <c r="S30" i="31" s="1"/>
  <c r="I9" i="84" s="1"/>
  <c r="R29" i="31"/>
  <c r="S29" i="31" s="1"/>
  <c r="I8" i="84" s="1"/>
  <c r="B55" i="40"/>
  <c r="F55" i="40" s="1"/>
  <c r="B56" i="40"/>
  <c r="F56" i="40" s="1"/>
  <c r="B58" i="40"/>
  <c r="F58" i="40" s="1"/>
  <c r="B60" i="40"/>
  <c r="F60" i="40" s="1"/>
  <c r="B54" i="40"/>
  <c r="F54" i="40" s="1"/>
  <c r="B52" i="40"/>
  <c r="F52" i="40" s="1"/>
  <c r="B57" i="40"/>
  <c r="F57" i="40" s="1"/>
  <c r="B53" i="40"/>
  <c r="F53" i="40" s="1"/>
  <c r="B51" i="40"/>
  <c r="F51" i="40" s="1"/>
  <c r="B59" i="40"/>
  <c r="F59" i="40" s="1"/>
  <c r="C29" i="11"/>
  <c r="D27" i="11" s="1"/>
  <c r="J20" i="84"/>
  <c r="J36" i="84"/>
  <c r="S42" i="82"/>
  <c r="I34" i="84" s="1"/>
  <c r="S39" i="82"/>
  <c r="I31" i="84" s="1"/>
  <c r="S29" i="82"/>
  <c r="I21" i="84" s="1"/>
  <c r="R63" i="82"/>
  <c r="S63" i="82" s="1"/>
  <c r="R66" i="82"/>
  <c r="S66" i="82" s="1"/>
  <c r="R81" i="82"/>
  <c r="S81" i="82" s="1"/>
  <c r="R82" i="82"/>
  <c r="S82" i="82" s="1"/>
  <c r="R70" i="82"/>
  <c r="S70" i="82" s="1"/>
  <c r="R72" i="82"/>
  <c r="S72" i="82" s="1"/>
  <c r="R86" i="82"/>
  <c r="S86" i="82" s="1"/>
  <c r="R95" i="82"/>
  <c r="S95" i="82" s="1"/>
  <c r="R88" i="82"/>
  <c r="S88" i="82" s="1"/>
  <c r="R96" i="82"/>
  <c r="S96" i="82" s="1"/>
  <c r="R105" i="82"/>
  <c r="S105" i="82" s="1"/>
  <c r="R102" i="82"/>
  <c r="S102" i="82" s="1"/>
  <c r="R111" i="82"/>
  <c r="S111" i="82" s="1"/>
  <c r="R115" i="82"/>
  <c r="S115" i="82" s="1"/>
  <c r="R118" i="82"/>
  <c r="S118" i="82" s="1"/>
  <c r="R61" i="82"/>
  <c r="S61" i="82" s="1"/>
  <c r="R69" i="82"/>
  <c r="S69" i="82" s="1"/>
  <c r="R77" i="82"/>
  <c r="S77" i="82" s="1"/>
  <c r="R78" i="82"/>
  <c r="S78" i="82" s="1"/>
  <c r="R68" i="82"/>
  <c r="S68" i="82" s="1"/>
  <c r="R83" i="82"/>
  <c r="S83" i="82" s="1"/>
  <c r="R84" i="82"/>
  <c r="S84" i="82" s="1"/>
  <c r="R93" i="82"/>
  <c r="S93" i="82" s="1"/>
  <c r="R89" i="82"/>
  <c r="S89" i="82" s="1"/>
  <c r="R94" i="82"/>
  <c r="S94" i="82" s="1"/>
  <c r="R103" i="82"/>
  <c r="S103" i="82" s="1"/>
  <c r="R100" i="82"/>
  <c r="S100" i="82" s="1"/>
  <c r="R108" i="82"/>
  <c r="S108" i="82" s="1"/>
  <c r="R113" i="82"/>
  <c r="S113" i="82" s="1"/>
  <c r="R116" i="82"/>
  <c r="S116" i="82" s="1"/>
  <c r="I47" i="40"/>
  <c r="J47" i="40" s="1"/>
  <c r="K15" i="1"/>
  <c r="E30" i="6"/>
  <c r="E31" i="6" s="1"/>
  <c r="G30" i="6"/>
  <c r="G31" i="6" s="1"/>
  <c r="K20" i="6"/>
  <c r="K14" i="1"/>
  <c r="K19" i="6"/>
  <c r="K21" i="6"/>
  <c r="K22" i="6"/>
  <c r="AZ17" i="3"/>
  <c r="AZ5" i="3" s="1"/>
  <c r="I20" i="84"/>
  <c r="S58" i="82"/>
  <c r="I50" i="84" s="1"/>
  <c r="S41" i="82"/>
  <c r="I33" i="84" s="1"/>
  <c r="S49" i="82"/>
  <c r="I41" i="84" s="1"/>
  <c r="S40" i="82"/>
  <c r="I32" i="84" s="1"/>
  <c r="J7" i="84"/>
  <c r="J8" i="84"/>
  <c r="D126" i="9"/>
  <c r="B8" i="74" s="1"/>
  <c r="B38" i="72"/>
  <c r="D20" i="53"/>
  <c r="B40" i="72" s="1"/>
  <c r="D12" i="52"/>
  <c r="B13" i="49"/>
  <c r="E4" i="4" s="1"/>
  <c r="B5" i="62" s="1"/>
  <c r="B73" i="72" s="1"/>
  <c r="E9" i="49"/>
  <c r="E22" i="49"/>
  <c r="E5" i="49"/>
  <c r="E11" i="49"/>
  <c r="E8" i="49"/>
  <c r="E21" i="49"/>
  <c r="E7" i="49"/>
  <c r="E4" i="49"/>
  <c r="B8" i="49"/>
  <c r="B9" i="49"/>
  <c r="B11" i="49"/>
  <c r="C4" i="4" s="1"/>
  <c r="B4" i="62" s="1"/>
  <c r="B71" i="72" s="1"/>
  <c r="E16" i="49"/>
  <c r="B4" i="49"/>
  <c r="E6" i="49"/>
  <c r="B16" i="49"/>
  <c r="B6" i="49"/>
  <c r="B14" i="49"/>
  <c r="B7" i="49"/>
  <c r="E15" i="49"/>
  <c r="B15" i="49"/>
  <c r="E13" i="49"/>
  <c r="E14" i="49"/>
  <c r="B10" i="49"/>
  <c r="C29" i="68"/>
  <c r="D27" i="68" s="1"/>
  <c r="C29" i="69"/>
  <c r="D27" i="69" s="1"/>
  <c r="E17" i="49"/>
  <c r="B22" i="49"/>
  <c r="B5" i="49"/>
  <c r="N88" i="9" l="1"/>
  <c r="M88" i="9"/>
  <c r="N87" i="9"/>
  <c r="M87" i="9"/>
  <c r="G43" i="35"/>
  <c r="H43" i="35" s="1"/>
  <c r="G42" i="35"/>
  <c r="H42" i="35" s="1"/>
  <c r="C38" i="35"/>
  <c r="C39" i="35"/>
  <c r="H23" i="94"/>
  <c r="I23" i="94" s="1"/>
  <c r="F23" i="94"/>
  <c r="D22" i="94"/>
  <c r="D70" i="85"/>
  <c r="E68" i="85"/>
  <c r="L109" i="43"/>
  <c r="L107" i="43"/>
  <c r="L103" i="43"/>
  <c r="L105" i="43"/>
  <c r="L104" i="43"/>
  <c r="C107" i="43"/>
  <c r="C106" i="43"/>
  <c r="C109" i="43"/>
  <c r="C12" i="12"/>
  <c r="C15" i="12"/>
  <c r="J9" i="84"/>
  <c r="J40" i="84"/>
  <c r="J45" i="84"/>
  <c r="S50" i="82"/>
  <c r="I42" i="84" s="1"/>
  <c r="J30" i="84"/>
  <c r="S27" i="82"/>
  <c r="I19" i="84" s="1"/>
  <c r="S52" i="82"/>
  <c r="I44" i="84" s="1"/>
  <c r="E104" i="43"/>
  <c r="E105" i="43"/>
  <c r="E106" i="43"/>
  <c r="E109" i="43"/>
  <c r="E102" i="43"/>
  <c r="E107" i="43"/>
  <c r="E103" i="43"/>
  <c r="I102" i="43"/>
  <c r="I103" i="43"/>
  <c r="I107" i="43"/>
  <c r="I106" i="43"/>
  <c r="I105" i="43"/>
  <c r="I109" i="43"/>
  <c r="I104" i="43"/>
  <c r="B115" i="43"/>
  <c r="G118" i="43"/>
  <c r="H118" i="43" s="1"/>
  <c r="B117" i="43"/>
  <c r="C117" i="43" s="1"/>
  <c r="D117" i="43"/>
  <c r="E117" i="43" s="1"/>
  <c r="F117" i="43" s="1"/>
  <c r="G117" i="43" s="1"/>
  <c r="H117" i="43" s="1"/>
  <c r="I115" i="43"/>
  <c r="J115" i="43" s="1"/>
  <c r="K115" i="43" s="1"/>
  <c r="L115" i="43" s="1"/>
  <c r="M115" i="43" s="1"/>
  <c r="I118" i="43"/>
  <c r="J118" i="43" s="1"/>
  <c r="K118" i="43" s="1"/>
  <c r="L118" i="43" s="1"/>
  <c r="M118" i="43" s="1"/>
  <c r="B118" i="43"/>
  <c r="C118" i="43" s="1"/>
  <c r="D115" i="43"/>
  <c r="E115" i="43" s="1"/>
  <c r="F115" i="43" s="1"/>
  <c r="G115" i="43" s="1"/>
  <c r="H115" i="43" s="1"/>
  <c r="I116" i="43"/>
  <c r="J116" i="43" s="1"/>
  <c r="K116" i="43" s="1"/>
  <c r="L116" i="43" s="1"/>
  <c r="M116" i="43" s="1"/>
  <c r="B116" i="43"/>
  <c r="C116" i="43" s="1"/>
  <c r="D116" i="43"/>
  <c r="E116" i="43" s="1"/>
  <c r="F116" i="43" s="1"/>
  <c r="G116" i="43" s="1"/>
  <c r="H116" i="43" s="1"/>
  <c r="D118" i="43"/>
  <c r="E118" i="43" s="1"/>
  <c r="F118" i="43" s="1"/>
  <c r="I117" i="43"/>
  <c r="J117" i="43" s="1"/>
  <c r="K117" i="43" s="1"/>
  <c r="L117" i="43" s="1"/>
  <c r="M117" i="43" s="1"/>
  <c r="AC10" i="40"/>
  <c r="W10" i="40"/>
  <c r="N102" i="43"/>
  <c r="N104" i="43"/>
  <c r="N103" i="43"/>
  <c r="N106" i="43"/>
  <c r="N105" i="43"/>
  <c r="N107" i="43"/>
  <c r="N109" i="43"/>
  <c r="G107" i="43"/>
  <c r="G106" i="43"/>
  <c r="G103" i="43"/>
  <c r="G105" i="43"/>
  <c r="M109" i="43"/>
  <c r="M104" i="43"/>
  <c r="M106" i="43"/>
  <c r="M107" i="43"/>
  <c r="M103" i="43"/>
  <c r="M105" i="43"/>
  <c r="M102" i="43"/>
  <c r="K103" i="43"/>
  <c r="K109" i="43"/>
  <c r="K102" i="43"/>
  <c r="K106" i="43"/>
  <c r="K107" i="43"/>
  <c r="K104" i="43"/>
  <c r="K105" i="43"/>
  <c r="S10" i="40"/>
  <c r="AA10" i="40"/>
  <c r="D22" i="43"/>
  <c r="C21" i="43" s="1"/>
  <c r="E237" i="3"/>
  <c r="E387" i="3"/>
  <c r="X6" i="3"/>
  <c r="E514" i="3"/>
  <c r="E165" i="3"/>
  <c r="E227" i="3"/>
  <c r="E570" i="3"/>
  <c r="E335" i="3"/>
  <c r="E336" i="3"/>
  <c r="E128" i="3"/>
  <c r="E559" i="3"/>
  <c r="V6" i="3"/>
  <c r="E320" i="3"/>
  <c r="E347" i="3"/>
  <c r="E399" i="3"/>
  <c r="E246" i="3"/>
  <c r="E293" i="3"/>
  <c r="E390" i="3"/>
  <c r="S6" i="3"/>
  <c r="E523" i="3"/>
  <c r="E506" i="3"/>
  <c r="E418" i="3"/>
  <c r="E338" i="3"/>
  <c r="E294" i="3"/>
  <c r="E321" i="3"/>
  <c r="E516" i="3"/>
  <c r="E396" i="3"/>
  <c r="E125" i="3"/>
  <c r="E569" i="3"/>
  <c r="E282" i="3"/>
  <c r="E503" i="3"/>
  <c r="E261" i="3"/>
  <c r="E579" i="3"/>
  <c r="AJ6" i="3"/>
  <c r="E268" i="3"/>
  <c r="E217" i="3"/>
  <c r="E565" i="3"/>
  <c r="E69" i="3"/>
  <c r="E298" i="3"/>
  <c r="E337" i="3"/>
  <c r="E410" i="3"/>
  <c r="E555" i="3"/>
  <c r="E388" i="3"/>
  <c r="E508" i="3"/>
  <c r="E305" i="3"/>
  <c r="E343" i="3"/>
  <c r="E530" i="3"/>
  <c r="E175" i="3"/>
  <c r="E535" i="3"/>
  <c r="E445" i="3"/>
  <c r="E172" i="3"/>
  <c r="E563" i="3"/>
  <c r="E278" i="3"/>
  <c r="E539" i="3"/>
  <c r="E461" i="3"/>
  <c r="E229" i="3"/>
  <c r="E151" i="3"/>
  <c r="E385" i="3"/>
  <c r="E518" i="3"/>
  <c r="AI6" i="3"/>
  <c r="E578" i="3"/>
  <c r="E423" i="3"/>
  <c r="E382" i="3"/>
  <c r="E263" i="3"/>
  <c r="E245" i="3"/>
  <c r="E169" i="3"/>
  <c r="E185" i="3"/>
  <c r="E61" i="3"/>
  <c r="E135" i="3"/>
  <c r="E290" i="3"/>
  <c r="E161" i="3"/>
  <c r="E117" i="3"/>
  <c r="E207" i="3"/>
  <c r="E311" i="3"/>
  <c r="E583" i="3"/>
  <c r="E358" i="3"/>
  <c r="E407" i="3"/>
  <c r="AA6" i="3"/>
  <c r="E124" i="3"/>
  <c r="E533" i="3"/>
  <c r="E561" i="3"/>
  <c r="E439" i="3"/>
  <c r="E553" i="3"/>
  <c r="E361" i="3"/>
  <c r="E528" i="3"/>
  <c r="E366" i="3"/>
  <c r="E431" i="3"/>
  <c r="E322" i="3"/>
  <c r="E302" i="3"/>
  <c r="E304" i="3"/>
  <c r="E216" i="3"/>
  <c r="E574" i="3"/>
  <c r="E328" i="3"/>
  <c r="E153" i="3"/>
  <c r="E319" i="3"/>
  <c r="E550" i="3"/>
  <c r="E395" i="3"/>
  <c r="E114" i="3"/>
  <c r="E247" i="3"/>
  <c r="E353" i="3"/>
  <c r="AN6" i="3"/>
  <c r="E402" i="3"/>
  <c r="E303" i="3"/>
  <c r="E189" i="3"/>
  <c r="E134" i="3"/>
  <c r="E91" i="3"/>
  <c r="E180" i="3"/>
  <c r="E77" i="3"/>
  <c r="E212" i="3"/>
  <c r="E510" i="3"/>
  <c r="E97" i="3"/>
  <c r="E511" i="3"/>
  <c r="AK6" i="3"/>
  <c r="E306" i="3"/>
  <c r="E262" i="3"/>
  <c r="E191" i="3"/>
  <c r="E188" i="3"/>
  <c r="E181" i="3"/>
  <c r="E120"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M6" i="3"/>
  <c r="AB6" i="3"/>
  <c r="E205" i="3"/>
  <c r="E551" i="3"/>
  <c r="E230" i="3"/>
  <c r="E280" i="3"/>
  <c r="E270" i="3"/>
  <c r="AR6" i="3"/>
  <c r="E538" i="3"/>
  <c r="E380" i="3"/>
  <c r="E215" i="3"/>
  <c r="N6" i="3"/>
  <c r="E239" i="3"/>
  <c r="E183" i="3"/>
  <c r="E509" i="3"/>
  <c r="E526" i="3"/>
  <c r="E213" i="3"/>
  <c r="E231" i="3"/>
  <c r="E359" i="3"/>
  <c r="O6" i="3"/>
  <c r="E426" i="3"/>
  <c r="E501" i="3"/>
  <c r="E53" i="3"/>
  <c r="E260" i="3"/>
  <c r="E415" i="3"/>
  <c r="E567" i="3"/>
  <c r="E201" i="3"/>
  <c r="E495" i="3"/>
  <c r="E586" i="3"/>
  <c r="E350" i="3"/>
  <c r="E301" i="3"/>
  <c r="E130" i="3"/>
  <c r="E254" i="3"/>
  <c r="E221" i="3"/>
  <c r="E149" i="3"/>
  <c r="E252" i="3"/>
  <c r="E329" i="3"/>
  <c r="E285" i="3"/>
  <c r="E314" i="3"/>
  <c r="E16" i="3"/>
  <c r="E434" i="3"/>
  <c r="E296" i="3"/>
  <c r="E159" i="3"/>
  <c r="E99" i="3"/>
  <c r="E228" i="3"/>
  <c r="E157" i="3"/>
  <c r="E45"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54" i="3"/>
  <c r="E55" i="3"/>
  <c r="E106" i="3"/>
  <c r="E41" i="3"/>
  <c r="E545" i="3"/>
  <c r="E143" i="3"/>
  <c r="E568" i="3"/>
  <c r="E536" i="3"/>
  <c r="E453" i="3"/>
  <c r="E244" i="3"/>
  <c r="E136" i="3"/>
  <c r="E236" i="3"/>
  <c r="E269" i="3"/>
  <c r="E89" i="3"/>
  <c r="E85"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E531" i="3"/>
  <c r="E444" i="3"/>
  <c r="E489" i="3"/>
  <c r="E404" i="3"/>
  <c r="E28" i="3"/>
  <c r="E88" i="3"/>
  <c r="E70"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82" i="3"/>
  <c r="E413" i="3"/>
  <c r="E460" i="3"/>
  <c r="E520" i="3"/>
  <c r="E436" i="3"/>
  <c r="E39" i="3"/>
  <c r="E90" i="3"/>
  <c r="E57"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433" i="3"/>
  <c r="E475" i="3"/>
  <c r="E72" i="3"/>
  <c r="E54" i="3"/>
  <c r="E73" i="3"/>
  <c r="E352" i="3"/>
  <c r="E397" i="3"/>
  <c r="I6" i="3"/>
  <c r="H6" i="3" s="1"/>
  <c r="E549" i="3"/>
  <c r="E368" i="3"/>
  <c r="E196" i="3"/>
  <c r="E156" i="3"/>
  <c r="E148" i="3"/>
  <c r="E122" i="3"/>
  <c r="E140" i="3"/>
  <c r="E223"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AS6" i="3"/>
  <c r="E403" i="3"/>
  <c r="E476" i="3"/>
  <c r="E546" i="3"/>
  <c r="E447" i="3"/>
  <c r="E71" i="3"/>
  <c r="E27"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17" i="3"/>
  <c r="E435" i="3"/>
  <c r="E491" i="3"/>
  <c r="E417" i="3"/>
  <c r="E479" i="3"/>
  <c r="E56" i="3"/>
  <c r="E37"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64" i="3"/>
  <c r="E102" i="3"/>
  <c r="E80" i="3"/>
  <c r="E113" i="3"/>
  <c r="E158" i="3"/>
  <c r="E287" i="3"/>
  <c r="E308" i="3"/>
  <c r="E326" i="3"/>
  <c r="E22" i="3"/>
  <c r="E83" i="3"/>
  <c r="E370" i="3"/>
  <c r="AF6" i="3"/>
  <c r="E50" i="3"/>
  <c r="E20" i="3"/>
  <c r="E62" i="3"/>
  <c r="E176" i="3"/>
  <c r="E218" i="3"/>
  <c r="E265" i="3"/>
  <c r="E365" i="3"/>
  <c r="E524" i="3"/>
  <c r="E101" i="3"/>
  <c r="AA11" i="85"/>
  <c r="S11" i="85"/>
  <c r="J43" i="84"/>
  <c r="S51" i="82"/>
  <c r="I43" i="84" s="1"/>
  <c r="S32" i="82"/>
  <c r="I24" i="84" s="1"/>
  <c r="J24" i="84"/>
  <c r="J37" i="84"/>
  <c r="S45" i="82"/>
  <c r="I37" i="84" s="1"/>
  <c r="J49" i="84"/>
  <c r="S57" i="82"/>
  <c r="I49" i="84" s="1"/>
  <c r="S55" i="82"/>
  <c r="I47" i="84" s="1"/>
  <c r="J47" i="84"/>
  <c r="J29" i="84"/>
  <c r="S37" i="82"/>
  <c r="I29" i="84" s="1"/>
  <c r="J26" i="84"/>
  <c r="S34" i="82"/>
  <c r="I26" i="84" s="1"/>
  <c r="J51" i="84"/>
  <c r="S59" i="82"/>
  <c r="I51" i="84" s="1"/>
  <c r="S46" i="82"/>
  <c r="I38" i="84" s="1"/>
  <c r="J38" i="84"/>
  <c r="S35" i="82"/>
  <c r="I27" i="84" s="1"/>
  <c r="J27" i="84"/>
  <c r="S30" i="82"/>
  <c r="I22" i="84" s="1"/>
  <c r="J22" i="84"/>
  <c r="AB11" i="85"/>
  <c r="U11" i="85"/>
  <c r="E17" i="3"/>
  <c r="AC11" i="85"/>
  <c r="W11" i="85"/>
  <c r="S33" i="82"/>
  <c r="I25" i="84" s="1"/>
  <c r="J25" i="84"/>
  <c r="J23" i="84"/>
  <c r="S31" i="82"/>
  <c r="I23" i="84" s="1"/>
  <c r="J52" i="84"/>
  <c r="S60" i="82"/>
  <c r="I52" i="84" s="1"/>
  <c r="J48" i="84"/>
  <c r="S56" i="82"/>
  <c r="I48" i="84" s="1"/>
  <c r="S36" i="82"/>
  <c r="I28" i="84" s="1"/>
  <c r="J28" i="84"/>
  <c r="S25" i="82"/>
  <c r="I17" i="84" s="1"/>
  <c r="J17" i="84"/>
  <c r="J46" i="84"/>
  <c r="S54" i="82"/>
  <c r="I46" i="84" s="1"/>
  <c r="J18" i="84"/>
  <c r="S26" i="82"/>
  <c r="I18" i="84" s="1"/>
  <c r="J35" i="84"/>
  <c r="S43" i="82"/>
  <c r="I35" i="84" s="1"/>
  <c r="S47" i="82"/>
  <c r="I39" i="84" s="1"/>
  <c r="J39" i="84"/>
  <c r="S9" i="1"/>
  <c r="M22" i="6"/>
  <c r="I22" i="6" s="1"/>
  <c r="S22" i="6" s="1"/>
  <c r="M19" i="6"/>
  <c r="S6" i="1"/>
  <c r="K27" i="6"/>
  <c r="M20" i="6"/>
  <c r="I20" i="6" s="1"/>
  <c r="S20" i="6" s="1"/>
  <c r="S7" i="1"/>
  <c r="J10" i="84"/>
  <c r="S31" i="31"/>
  <c r="I10" i="84" s="1"/>
  <c r="S32" i="31"/>
  <c r="I11" i="84" s="1"/>
  <c r="J11" i="84"/>
  <c r="S25" i="31"/>
  <c r="J4" i="84"/>
  <c r="E3" i="6"/>
  <c r="AY6" i="3"/>
  <c r="S8" i="1"/>
  <c r="M21" i="6"/>
  <c r="I21" i="6" s="1"/>
  <c r="S21" i="6" s="1"/>
  <c r="M14" i="1"/>
  <c r="K16" i="1"/>
  <c r="C34" i="69"/>
  <c r="J5" i="84"/>
  <c r="S26" i="31"/>
  <c r="I5" i="84" s="1"/>
  <c r="S27" i="31"/>
  <c r="I6" i="84" s="1"/>
  <c r="J6" i="84"/>
  <c r="J12" i="84"/>
  <c r="S33" i="31"/>
  <c r="I12" i="84" s="1"/>
  <c r="S22" i="82"/>
  <c r="D127" i="9"/>
  <c r="D13" i="52" s="1"/>
  <c r="K4" i="4"/>
  <c r="B46" i="48" s="1"/>
  <c r="B4" i="72" s="1"/>
  <c r="M89" i="9" l="1"/>
  <c r="C88" i="9" s="1"/>
  <c r="N89" i="9"/>
  <c r="I91" i="9" s="1"/>
  <c r="C91" i="9" s="1"/>
  <c r="B2" i="35"/>
  <c r="B3" i="35"/>
  <c r="G23" i="94"/>
  <c r="E23" i="94" s="1"/>
  <c r="D23" i="94"/>
  <c r="E70" i="85"/>
  <c r="F68" i="85"/>
  <c r="I53" i="84"/>
  <c r="J53" i="84" s="1"/>
  <c r="C115" i="43"/>
  <c r="D113" i="43"/>
  <c r="AC6" i="3"/>
  <c r="E6" i="3" s="1"/>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8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78" i="3"/>
  <c r="AY247" i="3"/>
  <c r="AY262" i="3"/>
  <c r="AY230" i="3"/>
  <c r="AY219" i="3"/>
  <c r="AY397" i="3"/>
  <c r="AY374" i="3"/>
  <c r="AY360" i="3"/>
  <c r="BH6" i="3"/>
  <c r="AY109" i="3"/>
  <c r="AY73" i="3"/>
  <c r="AY56" i="3"/>
  <c r="AY202"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302" i="3"/>
  <c r="AY271" i="3"/>
  <c r="AY239" i="3"/>
  <c r="AY254" i="3"/>
  <c r="AY222" i="3"/>
  <c r="AY211" i="3"/>
  <c r="AY389" i="3"/>
  <c r="AY365"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34" i="3"/>
  <c r="AY95" i="3"/>
  <c r="AY111" i="3"/>
  <c r="AY382" i="3"/>
  <c r="AY460" i="3"/>
  <c r="AY300" i="3"/>
  <c r="AY327" i="3"/>
  <c r="AY401" i="3"/>
  <c r="BE6" i="3"/>
  <c r="AY76" i="3"/>
  <c r="AY185" i="3"/>
  <c r="AY125" i="3"/>
  <c r="AY263" i="3"/>
  <c r="AY246" i="3"/>
  <c r="AY392" i="3"/>
  <c r="AY357" i="3"/>
  <c r="BJ6" i="3"/>
  <c r="AY41" i="3"/>
  <c r="AY197" i="3"/>
  <c r="AY155" i="3"/>
  <c r="AY131" i="3"/>
  <c r="AY268" i="3"/>
  <c r="AY318" i="3"/>
  <c r="AY106" i="3"/>
  <c r="AY395" i="3"/>
  <c r="AY452" i="3"/>
  <c r="AY569" i="3"/>
  <c r="AY77" i="3"/>
  <c r="AY206" i="3"/>
  <c r="AY149" i="3"/>
  <c r="AY286" i="3"/>
  <c r="AY270" i="3"/>
  <c r="AY227" i="3"/>
  <c r="AY373" i="3"/>
  <c r="BS6" i="3"/>
  <c r="BI6" i="3"/>
  <c r="AY93" i="3"/>
  <c r="AY57" i="3"/>
  <c r="AY40" i="3"/>
  <c r="AY186" i="3"/>
  <c r="AY150" i="3"/>
  <c r="AY130" i="3"/>
  <c r="AY279" i="3"/>
  <c r="AY243" i="3"/>
  <c r="AY226" i="3"/>
  <c r="AY393" i="3"/>
  <c r="AY145" i="3"/>
  <c r="AY259" i="3"/>
  <c r="AY388" i="3"/>
  <c r="AY356" i="3"/>
  <c r="AY325" i="3"/>
  <c r="AY340" i="3"/>
  <c r="AY308" i="3"/>
  <c r="AY467" i="3"/>
  <c r="AY464" i="3"/>
  <c r="AY454" i="3"/>
  <c r="AY422" i="3"/>
  <c r="AY435" i="3"/>
  <c r="AY50" i="3"/>
  <c r="AY289" i="3"/>
  <c r="AY261" i="3"/>
  <c r="AY209" i="3"/>
  <c r="AY455" i="3"/>
  <c r="AY116" i="3"/>
  <c r="AY343" i="3"/>
  <c r="AY417" i="3"/>
  <c r="AY539" i="3"/>
  <c r="AY84" i="3"/>
  <c r="AY193" i="3"/>
  <c r="AY134" i="3"/>
  <c r="AY144" i="3"/>
  <c r="AY253" i="3"/>
  <c r="AY529" i="3"/>
  <c r="AY463" i="3"/>
  <c r="AY92" i="3"/>
  <c r="AY165" i="3"/>
  <c r="AY231" i="3"/>
  <c r="AY381" i="3"/>
  <c r="AY104" i="3"/>
  <c r="AY23" i="3"/>
  <c r="AY58" i="3"/>
  <c r="AY428" i="3"/>
  <c r="AY342" i="3"/>
  <c r="AY553" i="3"/>
  <c r="AY170" i="3"/>
  <c r="AY255" i="3"/>
  <c r="AY384" i="3"/>
  <c r="AY507" i="3"/>
  <c r="AY88" i="3"/>
  <c r="AY29" i="3"/>
  <c r="AY161" i="3"/>
  <c r="AY275" i="3"/>
  <c r="AY215" i="3"/>
  <c r="AY295" i="3"/>
  <c r="AY370" i="3"/>
  <c r="AY309" i="3"/>
  <c r="AY483" i="3"/>
  <c r="AY449" i="3"/>
  <c r="AY406"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4" i="3"/>
  <c r="AY274"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160" i="3"/>
  <c r="AY183" i="3"/>
  <c r="AY284" i="3"/>
  <c r="AY319" i="3"/>
  <c r="AY497" i="3"/>
  <c r="AY212" i="3"/>
  <c r="AY478" i="3"/>
  <c r="AY573" i="3"/>
  <c r="AY100" i="3"/>
  <c r="AY20" i="3"/>
  <c r="AY173" i="3"/>
  <c r="AY83" i="3"/>
  <c r="AY152" i="3"/>
  <c r="AY303" i="3"/>
  <c r="AY217" i="3"/>
  <c r="AY544" i="3"/>
  <c r="AY33" i="3"/>
  <c r="AY294" i="3"/>
  <c r="AY214" i="3"/>
  <c r="AY554" i="3"/>
  <c r="AY24" i="3"/>
  <c r="AY59" i="3"/>
  <c r="AY371" i="3"/>
  <c r="AY245" i="3"/>
  <c r="AY513" i="3"/>
  <c r="AY60" i="3"/>
  <c r="AY299" i="3"/>
  <c r="AY238" i="3"/>
  <c r="AY368" i="3"/>
  <c r="BB6" i="3"/>
  <c r="AY72" i="3"/>
  <c r="AY181" i="3"/>
  <c r="AY121" i="3"/>
  <c r="AY258" i="3"/>
  <c r="AY166" i="3"/>
  <c r="AY242" i="3"/>
  <c r="AY341" i="3"/>
  <c r="AY324" i="3"/>
  <c r="AY480" i="3"/>
  <c r="AY438"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21" i="3"/>
  <c r="AY331" i="3"/>
  <c r="AY466" i="3"/>
  <c r="AY405" i="3"/>
  <c r="AY512" i="3"/>
  <c r="AY86" i="3"/>
  <c r="AY27" i="3"/>
  <c r="AY159" i="3"/>
  <c r="AY273" i="3"/>
  <c r="AY213" i="3"/>
  <c r="AY323" i="3"/>
  <c r="AY459" i="3"/>
  <c r="AY550" i="3"/>
  <c r="AY504" i="3"/>
  <c r="AY264" i="3"/>
  <c r="AY376" i="3"/>
  <c r="AY314" i="3"/>
  <c r="AY424" i="3"/>
  <c r="AY517" i="3"/>
  <c r="AY587" i="3"/>
  <c r="AY70" i="3"/>
  <c r="AY179" i="3"/>
  <c r="AY119" i="3"/>
  <c r="AY256" i="3"/>
  <c r="AY367" i="3"/>
  <c r="AY306" i="3"/>
  <c r="AY416" i="3"/>
  <c r="BC6" i="3"/>
  <c r="AY498" i="3"/>
  <c r="I4" i="84"/>
  <c r="I15" i="84" s="1"/>
  <c r="J15" i="84" s="1"/>
  <c r="S22" i="31"/>
  <c r="T6" i="1"/>
  <c r="E6" i="70"/>
  <c r="AR6" i="1"/>
  <c r="AQ6" i="1"/>
  <c r="S16" i="1"/>
  <c r="C35" i="69"/>
  <c r="C38" i="69"/>
  <c r="M16" i="1"/>
  <c r="E8" i="70"/>
  <c r="T8" i="1"/>
  <c r="E8" i="92"/>
  <c r="AQ8" i="1"/>
  <c r="AR8" i="1"/>
  <c r="E6" i="6"/>
  <c r="B3" i="94"/>
  <c r="B7" i="94" s="1"/>
  <c r="M18" i="9"/>
  <c r="B118" i="9" s="1"/>
  <c r="B14" i="74" s="1"/>
  <c r="B1" i="74" s="1"/>
  <c r="D3" i="21"/>
  <c r="D37" i="11"/>
  <c r="C37" i="11" s="1"/>
  <c r="D19" i="11"/>
  <c r="C19" i="11" s="1"/>
  <c r="C17" i="4"/>
  <c r="B4" i="52" s="1"/>
  <c r="B43" i="72" s="1"/>
  <c r="D14" i="12"/>
  <c r="D3" i="37"/>
  <c r="L18" i="9"/>
  <c r="T7" i="1"/>
  <c r="E7" i="70"/>
  <c r="AR7" i="1"/>
  <c r="AQ7" i="1"/>
  <c r="I19" i="6"/>
  <c r="M27" i="6"/>
  <c r="T9" i="1"/>
  <c r="E9" i="70"/>
  <c r="AQ9" i="1"/>
  <c r="E9" i="92"/>
  <c r="AR9" i="1"/>
  <c r="R22" i="82"/>
  <c r="B21" i="82" s="1"/>
  <c r="B20" i="82"/>
  <c r="M90" i="9" l="1"/>
  <c r="N90" i="9"/>
  <c r="C89" i="9"/>
  <c r="C87" i="9" s="1"/>
  <c r="F70" i="85"/>
  <c r="G68" i="85"/>
  <c r="E2" i="92"/>
  <c r="S19" i="6"/>
  <c r="S27" i="6" s="1"/>
  <c r="I27" i="6"/>
  <c r="D17" i="12"/>
  <c r="C17" i="12" s="1"/>
  <c r="C14" i="12"/>
  <c r="C16" i="12" s="1"/>
  <c r="C20" i="11"/>
  <c r="C28" i="11" s="1"/>
  <c r="C27" i="11" s="1"/>
  <c r="T16" i="1"/>
  <c r="E2" i="70"/>
  <c r="R22" i="31"/>
  <c r="B21" i="31" s="1"/>
  <c r="B20" i="31"/>
  <c r="C7" i="74"/>
  <c r="C8" i="74"/>
  <c r="D10" i="68"/>
  <c r="D10" i="69"/>
  <c r="D10" i="11"/>
  <c r="C10" i="11" s="1"/>
  <c r="D20" i="12"/>
  <c r="C20" i="12" s="1"/>
  <c r="N16" i="1"/>
  <c r="L16" i="1"/>
  <c r="C34" i="11"/>
  <c r="C34" i="68"/>
  <c r="H20" i="6"/>
  <c r="D21" i="6"/>
  <c r="D22" i="6"/>
  <c r="R22" i="6" s="1"/>
  <c r="C3" i="94"/>
  <c r="C7" i="94" s="1"/>
  <c r="M19" i="9"/>
  <c r="C118" i="9" s="1"/>
  <c r="C14" i="74" s="1"/>
  <c r="B2" i="74" s="1"/>
  <c r="D19" i="6"/>
  <c r="H19" i="6"/>
  <c r="D20" i="6"/>
  <c r="H21" i="6"/>
  <c r="H22" i="6"/>
  <c r="D15" i="6"/>
  <c r="D5" i="6"/>
  <c r="D11" i="6"/>
  <c r="D28" i="6"/>
  <c r="D26" i="6"/>
  <c r="D8" i="6"/>
  <c r="D14" i="6"/>
  <c r="D9" i="6"/>
  <c r="D29" i="6"/>
  <c r="H25" i="6"/>
  <c r="H24" i="6"/>
  <c r="D25" i="6"/>
  <c r="R25" i="6" s="1"/>
  <c r="D24" i="6"/>
  <c r="R24" i="6" s="1"/>
  <c r="D12" i="6"/>
  <c r="D13" i="6"/>
  <c r="E61" i="40"/>
  <c r="F61" i="40" s="1"/>
  <c r="B2" i="40" s="1"/>
  <c r="B3" i="40" s="1"/>
  <c r="C18" i="4"/>
  <c r="D23" i="6"/>
  <c r="D6" i="6"/>
  <c r="D10" i="6"/>
  <c r="H26" i="6"/>
  <c r="H23" i="6"/>
  <c r="L19" i="9"/>
  <c r="C94" i="9" l="1"/>
  <c r="C92" i="9"/>
  <c r="G70" i="85"/>
  <c r="H68" i="85"/>
  <c r="D30" i="6"/>
  <c r="R23" i="6"/>
  <c r="D16" i="6"/>
  <c r="H27" i="6"/>
  <c r="D7" i="74"/>
  <c r="D8" i="74"/>
  <c r="R9" i="1"/>
  <c r="C14" i="94"/>
  <c r="C35" i="11"/>
  <c r="C33" i="11" s="1"/>
  <c r="C38" i="11"/>
  <c r="F50" i="68"/>
  <c r="F50" i="86"/>
  <c r="F50" i="11"/>
  <c r="F50" i="69"/>
  <c r="D19" i="68"/>
  <c r="D37" i="68" s="1"/>
  <c r="C37" i="68" s="1"/>
  <c r="C10" i="68"/>
  <c r="B29" i="1" s="1"/>
  <c r="C8" i="68" s="1"/>
  <c r="A7" i="51"/>
  <c r="B7" i="72" s="1"/>
  <c r="C4" i="52"/>
  <c r="B45" i="72" s="1"/>
  <c r="A10" i="51"/>
  <c r="B9" i="72" s="1"/>
  <c r="R26" i="6"/>
  <c r="R20" i="6"/>
  <c r="R7" i="1" s="1"/>
  <c r="R19" i="6"/>
  <c r="D27" i="6"/>
  <c r="D31" i="6" s="1"/>
  <c r="R21" i="6"/>
  <c r="C38" i="68"/>
  <c r="C35" i="68"/>
  <c r="D19" i="69"/>
  <c r="C10" i="69"/>
  <c r="C8" i="69" s="1"/>
  <c r="C5" i="69" s="1"/>
  <c r="C33" i="68" l="1"/>
  <c r="C39" i="68" s="1"/>
  <c r="H70" i="85"/>
  <c r="I68" i="85"/>
  <c r="C39" i="11"/>
  <c r="C19" i="69"/>
  <c r="C20" i="69" s="1"/>
  <c r="D37" i="69"/>
  <c r="C37" i="69" s="1"/>
  <c r="C33" i="69" s="1"/>
  <c r="I6" i="6"/>
  <c r="I7" i="6" s="1"/>
  <c r="I5" i="6"/>
  <c r="C18" i="12"/>
  <c r="C21" i="12" s="1"/>
  <c r="R8" i="1"/>
  <c r="C15" i="94"/>
  <c r="C31" i="94" s="1"/>
  <c r="R6" i="1"/>
  <c r="R27" i="6"/>
  <c r="C30" i="94"/>
  <c r="C33" i="94" s="1"/>
  <c r="C16" i="94"/>
  <c r="C32" i="94" s="1"/>
  <c r="F36" i="77"/>
  <c r="E8" i="76"/>
  <c r="F42" i="79"/>
  <c r="F42" i="67"/>
  <c r="F7" i="77"/>
  <c r="M6" i="91"/>
  <c r="M9" i="90"/>
  <c r="M28" i="87"/>
  <c r="F26" i="90"/>
  <c r="M24" i="15"/>
  <c r="F9" i="91"/>
  <c r="F16" i="15"/>
  <c r="C76" i="77"/>
  <c r="F41" i="15"/>
  <c r="C76" i="15"/>
  <c r="J15" i="79"/>
  <c r="F26" i="97"/>
  <c r="D10" i="86"/>
  <c r="C76" i="91"/>
  <c r="E2" i="69"/>
  <c r="L47" i="96"/>
  <c r="C36" i="86"/>
  <c r="M8" i="96"/>
  <c r="F6" i="96"/>
  <c r="C14" i="91"/>
  <c r="L48" i="91"/>
  <c r="F36" i="15"/>
  <c r="F16" i="77"/>
  <c r="F16" i="90"/>
  <c r="J15" i="87"/>
  <c r="F41" i="77"/>
  <c r="F37" i="79"/>
  <c r="C76" i="97"/>
  <c r="M22" i="90"/>
  <c r="L48" i="90"/>
  <c r="B7" i="76"/>
  <c r="F40" i="67"/>
  <c r="F13" i="96"/>
  <c r="M27" i="90"/>
  <c r="B10" i="76"/>
  <c r="M8" i="79"/>
  <c r="M23" i="97"/>
  <c r="M29" i="96"/>
  <c r="F20" i="31"/>
  <c r="M9" i="79"/>
  <c r="F9" i="96"/>
  <c r="B13" i="76"/>
  <c r="M8" i="15"/>
  <c r="E11" i="76"/>
  <c r="M22" i="87"/>
  <c r="F13" i="79"/>
  <c r="F36" i="91"/>
  <c r="J15" i="91"/>
  <c r="M9" i="96"/>
  <c r="B9" i="76"/>
  <c r="M6" i="77"/>
  <c r="F7" i="73"/>
  <c r="M22" i="67"/>
  <c r="D2" i="33"/>
  <c r="F43" i="87"/>
  <c r="F26" i="15"/>
  <c r="F6" i="67"/>
  <c r="M29" i="77"/>
  <c r="M23" i="87"/>
  <c r="M9" i="77"/>
  <c r="F43" i="90"/>
  <c r="D3" i="73"/>
  <c r="F41" i="79"/>
  <c r="F8" i="91"/>
  <c r="M29" i="15"/>
  <c r="F37" i="97"/>
  <c r="F16" i="97"/>
  <c r="M22" i="97"/>
  <c r="M24" i="87"/>
  <c r="M8" i="77"/>
  <c r="M8" i="90"/>
  <c r="F40" i="91"/>
  <c r="F38" i="15"/>
  <c r="M24" i="90"/>
  <c r="F13" i="67"/>
  <c r="M22" i="91"/>
  <c r="L47" i="77"/>
  <c r="F13" i="91"/>
  <c r="F40" i="77"/>
  <c r="F42" i="15"/>
  <c r="M26" i="90"/>
  <c r="F5" i="73"/>
  <c r="F8" i="87"/>
  <c r="M27" i="15"/>
  <c r="L47" i="90"/>
  <c r="F20" i="82"/>
  <c r="M9" i="67"/>
  <c r="F9" i="97"/>
  <c r="E12" i="76"/>
  <c r="M29" i="79"/>
  <c r="D2" i="34"/>
  <c r="B12" i="76"/>
  <c r="F4" i="73"/>
  <c r="F6" i="77"/>
  <c r="M28" i="67"/>
  <c r="J15" i="15"/>
  <c r="M28" i="91"/>
  <c r="F8" i="90"/>
  <c r="F8" i="96"/>
  <c r="F6" i="15"/>
  <c r="M29" i="67"/>
  <c r="E2" i="86"/>
  <c r="F41" i="67"/>
  <c r="M22" i="15"/>
  <c r="F38" i="97"/>
  <c r="F42" i="90"/>
  <c r="F26" i="77"/>
  <c r="M26" i="67"/>
  <c r="M24" i="79"/>
  <c r="F40" i="90"/>
  <c r="M26" i="15"/>
  <c r="AO13" i="1"/>
  <c r="F16" i="87"/>
  <c r="F36" i="67"/>
  <c r="F7" i="90"/>
  <c r="F43" i="96"/>
  <c r="F7" i="79"/>
  <c r="F37" i="77"/>
  <c r="F37" i="90"/>
  <c r="M9" i="97"/>
  <c r="M23" i="15"/>
  <c r="F43" i="67"/>
  <c r="L47" i="91"/>
  <c r="F40" i="96"/>
  <c r="F6" i="91"/>
  <c r="M6" i="79"/>
  <c r="J15" i="96"/>
  <c r="M28" i="79"/>
  <c r="M23" i="96"/>
  <c r="F6" i="73"/>
  <c r="F26" i="67"/>
  <c r="C14" i="15"/>
  <c r="M24" i="67"/>
  <c r="M28" i="90"/>
  <c r="AO12" i="1"/>
  <c r="M24" i="96"/>
  <c r="F38" i="96"/>
  <c r="F7" i="87"/>
  <c r="F8" i="77"/>
  <c r="F8" i="15"/>
  <c r="F36" i="87"/>
  <c r="F9" i="87"/>
  <c r="F43" i="97"/>
  <c r="M22" i="96"/>
  <c r="L48" i="79"/>
  <c r="M26" i="91"/>
  <c r="F41" i="96"/>
  <c r="M21" i="15"/>
  <c r="F9" i="90"/>
  <c r="F13" i="87"/>
  <c r="F13" i="77"/>
  <c r="F9" i="79"/>
  <c r="M26" i="96"/>
  <c r="M21" i="67"/>
  <c r="M28" i="96"/>
  <c r="M29" i="91"/>
  <c r="F9" i="67"/>
  <c r="F42" i="87"/>
  <c r="F38" i="67"/>
  <c r="M28" i="15"/>
  <c r="F43" i="15"/>
  <c r="F37" i="91"/>
  <c r="AO11" i="1"/>
  <c r="M23" i="79"/>
  <c r="J15" i="90"/>
  <c r="F7" i="96"/>
  <c r="M6" i="97"/>
  <c r="D2" i="35"/>
  <c r="C76" i="67"/>
  <c r="F43" i="79"/>
  <c r="F16" i="67"/>
  <c r="M23" i="90"/>
  <c r="F40" i="15"/>
  <c r="C76" i="96"/>
  <c r="F40" i="97"/>
  <c r="F35" i="15"/>
  <c r="J15" i="67"/>
  <c r="L47" i="87"/>
  <c r="F37" i="96"/>
  <c r="F7" i="67"/>
  <c r="D6" i="73"/>
  <c r="E10" i="76"/>
  <c r="F35" i="67"/>
  <c r="M24" i="91"/>
  <c r="F8" i="97"/>
  <c r="M22" i="77"/>
  <c r="M23" i="77"/>
  <c r="B11" i="76"/>
  <c r="F7" i="15"/>
  <c r="M24" i="77"/>
  <c r="M29" i="97"/>
  <c r="M9" i="91"/>
  <c r="F36" i="97"/>
  <c r="L47" i="15"/>
  <c r="F26" i="79"/>
  <c r="D4" i="73"/>
  <c r="M6" i="96"/>
  <c r="F38" i="79"/>
  <c r="F42" i="96"/>
  <c r="F16" i="91"/>
  <c r="L48" i="97"/>
  <c r="F8" i="67"/>
  <c r="M8" i="97"/>
  <c r="F9" i="77"/>
  <c r="F26" i="87"/>
  <c r="F38" i="77"/>
  <c r="F37" i="15"/>
  <c r="F40" i="79"/>
  <c r="L47" i="79"/>
  <c r="L48" i="87"/>
  <c r="F42" i="77"/>
  <c r="M21" i="79"/>
  <c r="F7" i="97"/>
  <c r="F36" i="96"/>
  <c r="M26" i="79"/>
  <c r="F13" i="90"/>
  <c r="D7" i="73"/>
  <c r="J15" i="77"/>
  <c r="J15" i="97"/>
  <c r="F9" i="15"/>
  <c r="D2" i="21"/>
  <c r="F36" i="90"/>
  <c r="F16" i="96"/>
  <c r="L47" i="97"/>
  <c r="E9" i="76"/>
  <c r="M6" i="87"/>
  <c r="F35" i="91"/>
  <c r="D34" i="9"/>
  <c r="M9" i="87"/>
  <c r="M27" i="79"/>
  <c r="F7" i="91"/>
  <c r="F13" i="97"/>
  <c r="M26" i="87"/>
  <c r="C76" i="79"/>
  <c r="M6" i="67"/>
  <c r="E13" i="76"/>
  <c r="M6" i="90"/>
  <c r="C14" i="79"/>
  <c r="F43" i="77"/>
  <c r="M23" i="91"/>
  <c r="L48" i="67"/>
  <c r="C19" i="88"/>
  <c r="D34" i="78"/>
  <c r="E2" i="68"/>
  <c r="D5" i="73"/>
  <c r="M26" i="97"/>
  <c r="F6" i="97"/>
  <c r="AO10" i="1"/>
  <c r="F27" i="86"/>
  <c r="C14" i="96"/>
  <c r="M28" i="97"/>
  <c r="F36" i="79"/>
  <c r="F16" i="79"/>
  <c r="D9" i="86"/>
  <c r="F13" i="15"/>
  <c r="M22" i="79"/>
  <c r="M8" i="87"/>
  <c r="D35" i="78"/>
  <c r="M27" i="97"/>
  <c r="M24" i="97"/>
  <c r="F43" i="91"/>
  <c r="M27" i="67"/>
  <c r="F6" i="87"/>
  <c r="L47" i="67"/>
  <c r="C76" i="90"/>
  <c r="C20" i="78"/>
  <c r="F6" i="79"/>
  <c r="M21" i="91"/>
  <c r="M26" i="77"/>
  <c r="M27" i="91"/>
  <c r="C14" i="90"/>
  <c r="G1" i="73"/>
  <c r="F35" i="97"/>
  <c r="M28" i="77"/>
  <c r="C34" i="86"/>
  <c r="M6" i="15"/>
  <c r="F26" i="91"/>
  <c r="L48" i="77"/>
  <c r="M8" i="67"/>
  <c r="M9" i="15"/>
  <c r="F38" i="90"/>
  <c r="D2" i="37"/>
  <c r="B8" i="76"/>
  <c r="F41" i="91"/>
  <c r="L48" i="96"/>
  <c r="D2" i="36"/>
  <c r="L48" i="15"/>
  <c r="M29" i="87"/>
  <c r="F37" i="67"/>
  <c r="M29" i="90"/>
  <c r="C14" i="77"/>
  <c r="M21" i="87"/>
  <c r="C14" i="87"/>
  <c r="C20" i="88"/>
  <c r="C19" i="78"/>
  <c r="F38" i="91"/>
  <c r="F35" i="79"/>
  <c r="F42" i="91"/>
  <c r="M27" i="87"/>
  <c r="F40" i="87"/>
  <c r="F8" i="79"/>
  <c r="C76" i="87"/>
  <c r="F6" i="90"/>
  <c r="M23" i="67"/>
  <c r="E7" i="76"/>
  <c r="M8" i="91"/>
  <c r="F26" i="96"/>
  <c r="F37" i="87"/>
  <c r="F41" i="87"/>
  <c r="F42" i="97"/>
  <c r="C14" i="97"/>
  <c r="D35" i="9"/>
  <c r="F38" i="87"/>
  <c r="F3" i="73"/>
  <c r="F35" i="87"/>
  <c r="F35" i="90"/>
  <c r="M21" i="97"/>
  <c r="M21" i="90"/>
  <c r="F35" i="96"/>
  <c r="M21" i="77"/>
  <c r="M21" i="96"/>
  <c r="F35" i="77"/>
  <c r="J20" i="90" l="1"/>
  <c r="J20" i="97"/>
  <c r="F63" i="90"/>
  <c r="C62" i="90" s="1"/>
  <c r="C34" i="90"/>
  <c r="C34" i="87"/>
  <c r="F63" i="87"/>
  <c r="C62" i="87" s="1"/>
  <c r="F66" i="87"/>
  <c r="C15" i="97"/>
  <c r="C18" i="97"/>
  <c r="F69" i="87"/>
  <c r="F65" i="87"/>
  <c r="C27" i="96"/>
  <c r="C6" i="90"/>
  <c r="Q71" i="87"/>
  <c r="F51" i="79"/>
  <c r="F68" i="87"/>
  <c r="F63" i="79"/>
  <c r="C62" i="79" s="1"/>
  <c r="C34" i="79"/>
  <c r="F66" i="91"/>
  <c r="C21" i="78"/>
  <c r="C102" i="78"/>
  <c r="C103" i="88"/>
  <c r="C18" i="87"/>
  <c r="C15" i="87"/>
  <c r="C19" i="87"/>
  <c r="C20" i="87" s="1"/>
  <c r="C26" i="87" s="1"/>
  <c r="J20" i="87"/>
  <c r="C15" i="77"/>
  <c r="C18" i="77"/>
  <c r="F65" i="67"/>
  <c r="L57" i="15"/>
  <c r="L60" i="15"/>
  <c r="J53" i="15"/>
  <c r="L46" i="15"/>
  <c r="I54" i="15"/>
  <c r="L56" i="15"/>
  <c r="J59" i="15"/>
  <c r="J57" i="15"/>
  <c r="J55" i="15" s="1"/>
  <c r="J58" i="15" s="1"/>
  <c r="Q50" i="15" s="1"/>
  <c r="J60" i="15"/>
  <c r="Q48" i="15" s="1"/>
  <c r="B2" i="36"/>
  <c r="B3" i="36" s="1"/>
  <c r="L60" i="96"/>
  <c r="J59" i="96"/>
  <c r="I54" i="96"/>
  <c r="J57" i="96"/>
  <c r="J55" i="96" s="1"/>
  <c r="J58" i="96" s="1"/>
  <c r="Q50" i="96" s="1"/>
  <c r="J53" i="96"/>
  <c r="L56" i="96"/>
  <c r="L57" i="96"/>
  <c r="J60" i="96"/>
  <c r="Q48" i="96" s="1"/>
  <c r="F69" i="91"/>
  <c r="B2" i="37"/>
  <c r="B3" i="37" s="1"/>
  <c r="F66" i="90"/>
  <c r="L60" i="77"/>
  <c r="I54" i="77"/>
  <c r="L56" i="77"/>
  <c r="J57" i="77"/>
  <c r="J55" i="77" s="1"/>
  <c r="J58" i="77" s="1"/>
  <c r="Q50" i="77" s="1"/>
  <c r="L57" i="77"/>
  <c r="J59" i="77"/>
  <c r="J53" i="77"/>
  <c r="J60" i="77"/>
  <c r="Q48" i="77" s="1"/>
  <c r="C27" i="91"/>
  <c r="C33" i="86"/>
  <c r="C39" i="86" s="1"/>
  <c r="C46" i="86" s="1"/>
  <c r="C45" i="86" s="1"/>
  <c r="C35" i="86"/>
  <c r="C38" i="86"/>
  <c r="F63" i="97"/>
  <c r="C62" i="97" s="1"/>
  <c r="C34" i="97"/>
  <c r="B40" i="1"/>
  <c r="C18" i="90"/>
  <c r="C15" i="90"/>
  <c r="J20" i="91"/>
  <c r="C6" i="79"/>
  <c r="C32" i="79" s="1"/>
  <c r="C103" i="78"/>
  <c r="Q71" i="90"/>
  <c r="M59" i="67"/>
  <c r="L59" i="67"/>
  <c r="N59" i="67"/>
  <c r="L58" i="67"/>
  <c r="C6" i="87"/>
  <c r="F71" i="91"/>
  <c r="D19" i="86"/>
  <c r="D37" i="86" s="1"/>
  <c r="C37" i="86" s="1"/>
  <c r="C9" i="86"/>
  <c r="F64" i="79"/>
  <c r="C15" i="96"/>
  <c r="C18" i="96"/>
  <c r="C29" i="86"/>
  <c r="D27" i="86" s="1"/>
  <c r="C47" i="86"/>
  <c r="D45" i="86" s="1"/>
  <c r="C6" i="97"/>
  <c r="C21" i="88"/>
  <c r="C102" i="88"/>
  <c r="J53" i="67"/>
  <c r="J59" i="67"/>
  <c r="J57" i="67"/>
  <c r="J55" i="67" s="1"/>
  <c r="J58" i="67" s="1"/>
  <c r="Q50" i="67" s="1"/>
  <c r="L56" i="67"/>
  <c r="I54" i="67"/>
  <c r="J60" i="67"/>
  <c r="Q48" i="67" s="1"/>
  <c r="F71" i="77"/>
  <c r="C15" i="79"/>
  <c r="C18" i="79"/>
  <c r="C19" i="79"/>
  <c r="C20" i="79" s="1"/>
  <c r="C26" i="79" s="1"/>
  <c r="Q71" i="79"/>
  <c r="F50" i="91"/>
  <c r="M7" i="91"/>
  <c r="J6" i="91" s="1"/>
  <c r="F63" i="91"/>
  <c r="C62" i="91" s="1"/>
  <c r="C34" i="91"/>
  <c r="L58" i="97"/>
  <c r="M59" i="97"/>
  <c r="L59" i="97"/>
  <c r="N59" i="97"/>
  <c r="F64" i="90"/>
  <c r="B2" i="21"/>
  <c r="B3" i="21" s="1"/>
  <c r="F64" i="96"/>
  <c r="M7" i="97"/>
  <c r="J6" i="97" s="1"/>
  <c r="F50" i="97"/>
  <c r="J20" i="79"/>
  <c r="J53" i="87"/>
  <c r="L57" i="87"/>
  <c r="J57" i="87"/>
  <c r="J55" i="87" s="1"/>
  <c r="J58" i="87" s="1"/>
  <c r="Q50" i="87" s="1"/>
  <c r="L56" i="87"/>
  <c r="L60" i="87"/>
  <c r="J60" i="87"/>
  <c r="Q48" i="87" s="1"/>
  <c r="I54" i="87"/>
  <c r="L46" i="87"/>
  <c r="J59" i="87"/>
  <c r="L58" i="79"/>
  <c r="L59" i="79"/>
  <c r="M59" i="79"/>
  <c r="N59" i="79"/>
  <c r="F68" i="79"/>
  <c r="F65" i="15"/>
  <c r="F66" i="77"/>
  <c r="C27" i="87"/>
  <c r="F51" i="67"/>
  <c r="L57" i="97"/>
  <c r="J60" i="97"/>
  <c r="Q48" i="97" s="1"/>
  <c r="I54" i="97"/>
  <c r="L56" i="97"/>
  <c r="J53" i="97"/>
  <c r="J59" i="97"/>
  <c r="J57" i="97"/>
  <c r="J55" i="97" s="1"/>
  <c r="J58" i="97" s="1"/>
  <c r="Q50" i="97" s="1"/>
  <c r="L60" i="97"/>
  <c r="F66" i="79"/>
  <c r="E20" i="43"/>
  <c r="C27" i="79"/>
  <c r="L58" i="15"/>
  <c r="L59" i="15"/>
  <c r="M59" i="15"/>
  <c r="N59" i="15"/>
  <c r="F64" i="97"/>
  <c r="M7" i="15"/>
  <c r="J6" i="15" s="1"/>
  <c r="F50" i="15"/>
  <c r="F51" i="97"/>
  <c r="C49" i="97" s="1"/>
  <c r="F63" i="67"/>
  <c r="C62" i="67" s="1"/>
  <c r="C34" i="67"/>
  <c r="M7" i="67"/>
  <c r="J6" i="67" s="1"/>
  <c r="J18" i="67" s="1"/>
  <c r="F50" i="67"/>
  <c r="F65" i="96"/>
  <c r="N59" i="87"/>
  <c r="L58" i="87"/>
  <c r="M59" i="87"/>
  <c r="L59" i="87"/>
  <c r="C34" i="15"/>
  <c r="F63" i="15"/>
  <c r="C62" i="15" s="1"/>
  <c r="F68" i="97"/>
  <c r="Q71" i="96"/>
  <c r="F68" i="15"/>
  <c r="F71" i="79"/>
  <c r="Q71" i="67"/>
  <c r="F50" i="96"/>
  <c r="M7" i="96"/>
  <c r="J6" i="96" s="1"/>
  <c r="F65" i="91"/>
  <c r="F71" i="15"/>
  <c r="F66" i="67"/>
  <c r="J20" i="67"/>
  <c r="J20" i="15"/>
  <c r="F69" i="96"/>
  <c r="L46" i="79"/>
  <c r="J57" i="79"/>
  <c r="J55" i="79" s="1"/>
  <c r="J58" i="79" s="1"/>
  <c r="Q50" i="79" s="1"/>
  <c r="J60" i="79"/>
  <c r="Q48" i="79" s="1"/>
  <c r="I54" i="79"/>
  <c r="L56" i="79"/>
  <c r="J59" i="79"/>
  <c r="J53" i="79"/>
  <c r="L60" i="79"/>
  <c r="L57" i="79"/>
  <c r="F71" i="97"/>
  <c r="F64" i="87"/>
  <c r="F51" i="15"/>
  <c r="C49" i="15" s="1"/>
  <c r="F51" i="77"/>
  <c r="F50" i="87"/>
  <c r="M7" i="87"/>
  <c r="J6" i="87" s="1"/>
  <c r="F66" i="96"/>
  <c r="C15" i="15"/>
  <c r="C18" i="15"/>
  <c r="C19" i="15"/>
  <c r="C20" i="15" s="1"/>
  <c r="C26" i="15" s="1"/>
  <c r="C27" i="67"/>
  <c r="C6" i="91"/>
  <c r="C32" i="91" s="1"/>
  <c r="F68" i="96"/>
  <c r="M59" i="91"/>
  <c r="L59" i="91"/>
  <c r="L58" i="91"/>
  <c r="Q73" i="91" s="1"/>
  <c r="N59" i="91"/>
  <c r="F71" i="67"/>
  <c r="F65" i="90"/>
  <c r="F65" i="77"/>
  <c r="F50" i="79"/>
  <c r="M7" i="79"/>
  <c r="J6" i="79" s="1"/>
  <c r="J18" i="79" s="1"/>
  <c r="F71" i="96"/>
  <c r="F50" i="90"/>
  <c r="M7" i="90"/>
  <c r="J6" i="90" s="1"/>
  <c r="J18" i="90" s="1"/>
  <c r="F64" i="67"/>
  <c r="F68" i="90"/>
  <c r="C27" i="77"/>
  <c r="F66" i="97"/>
  <c r="F69" i="67"/>
  <c r="C6" i="15"/>
  <c r="F51" i="96"/>
  <c r="C49" i="96" s="1"/>
  <c r="F51" i="90"/>
  <c r="C6" i="77"/>
  <c r="I1" i="73"/>
  <c r="B39" i="1" s="1"/>
  <c r="N59" i="90"/>
  <c r="L58" i="90"/>
  <c r="L59" i="90"/>
  <c r="M59" i="90"/>
  <c r="F51" i="87"/>
  <c r="F68" i="77"/>
  <c r="N59" i="77"/>
  <c r="L59" i="77"/>
  <c r="M59" i="77"/>
  <c r="L58" i="77"/>
  <c r="F66" i="15"/>
  <c r="F68" i="91"/>
  <c r="F65" i="97"/>
  <c r="F51" i="91"/>
  <c r="C49" i="91" s="1"/>
  <c r="F69" i="79"/>
  <c r="F71" i="90"/>
  <c r="C6" i="67"/>
  <c r="C32" i="67" s="1"/>
  <c r="C27" i="15"/>
  <c r="F71" i="87"/>
  <c r="F64" i="91"/>
  <c r="F68" i="67"/>
  <c r="L60" i="90"/>
  <c r="L56" i="90"/>
  <c r="J59" i="90"/>
  <c r="J53" i="90"/>
  <c r="I54" i="90"/>
  <c r="L57" i="90"/>
  <c r="J60" i="90"/>
  <c r="Q48" i="90" s="1"/>
  <c r="J57" i="90"/>
  <c r="J55" i="90" s="1"/>
  <c r="J58" i="90" s="1"/>
  <c r="Q50" i="90" s="1"/>
  <c r="Q71" i="97"/>
  <c r="F65" i="79"/>
  <c r="F69" i="77"/>
  <c r="F64" i="15"/>
  <c r="J59" i="91"/>
  <c r="J53" i="91"/>
  <c r="L60" i="91"/>
  <c r="L57" i="91"/>
  <c r="J57" i="91"/>
  <c r="J55" i="91" s="1"/>
  <c r="J58" i="91" s="1"/>
  <c r="Q50" i="91" s="1"/>
  <c r="J60" i="91"/>
  <c r="Q48" i="91" s="1"/>
  <c r="L46" i="91"/>
  <c r="L56" i="91"/>
  <c r="I54" i="91"/>
  <c r="C18" i="91"/>
  <c r="C15" i="91"/>
  <c r="C19" i="91"/>
  <c r="C20" i="91" s="1"/>
  <c r="C26" i="91" s="1"/>
  <c r="C6" i="96"/>
  <c r="L59" i="96"/>
  <c r="Q74" i="96" s="1"/>
  <c r="L58" i="96"/>
  <c r="N59" i="96"/>
  <c r="M59" i="96"/>
  <c r="Q71" i="91"/>
  <c r="C10" i="86"/>
  <c r="C8" i="86" s="1"/>
  <c r="C27" i="97"/>
  <c r="Q71" i="15"/>
  <c r="F69" i="15"/>
  <c r="Q71" i="77"/>
  <c r="C27" i="90"/>
  <c r="M7" i="77"/>
  <c r="J6" i="77" s="1"/>
  <c r="F50" i="77"/>
  <c r="C49" i="77" s="1"/>
  <c r="F70" i="67"/>
  <c r="F64" i="77"/>
  <c r="C46" i="68"/>
  <c r="C45" i="68" s="1"/>
  <c r="Q60" i="91"/>
  <c r="C33" i="91"/>
  <c r="J19" i="90"/>
  <c r="J17" i="90" s="1"/>
  <c r="C49" i="87"/>
  <c r="C31" i="91"/>
  <c r="F22" i="68"/>
  <c r="F22" i="86"/>
  <c r="F24" i="15"/>
  <c r="F24" i="91"/>
  <c r="F24" i="77"/>
  <c r="C24" i="77" s="1"/>
  <c r="F24" i="67"/>
  <c r="F24" i="97"/>
  <c r="C24" i="97" s="1"/>
  <c r="F22" i="11"/>
  <c r="C43" i="11" s="1"/>
  <c r="F24" i="90"/>
  <c r="F24" i="87"/>
  <c r="F24" i="96"/>
  <c r="C24" i="96" s="1"/>
  <c r="F25" i="12"/>
  <c r="C26" i="12" s="1"/>
  <c r="D25" i="12" s="1"/>
  <c r="F24" i="79"/>
  <c r="F22" i="69"/>
  <c r="I70" i="85"/>
  <c r="J68" i="85"/>
  <c r="J20" i="77"/>
  <c r="C34" i="77"/>
  <c r="F63" i="77"/>
  <c r="C62" i="77" s="1"/>
  <c r="J20" i="96"/>
  <c r="C34" i="96"/>
  <c r="F63" i="96"/>
  <c r="C62" i="96" s="1"/>
  <c r="C22" i="12"/>
  <c r="C30" i="12" s="1"/>
  <c r="C28" i="12" s="1"/>
  <c r="C46" i="11"/>
  <c r="C45" i="11" s="1"/>
  <c r="R16" i="1"/>
  <c r="C28" i="69"/>
  <c r="C27" i="69" s="1"/>
  <c r="C25" i="69"/>
  <c r="C39" i="69"/>
  <c r="C42" i="69"/>
  <c r="C16" i="79"/>
  <c r="C17" i="77"/>
  <c r="C17" i="79"/>
  <c r="C17" i="15"/>
  <c r="C16" i="67"/>
  <c r="C17" i="87"/>
  <c r="C16" i="77"/>
  <c r="C17" i="91"/>
  <c r="C16" i="96"/>
  <c r="C16" i="91"/>
  <c r="C17" i="97"/>
  <c r="C14" i="67"/>
  <c r="C17" i="67"/>
  <c r="C17" i="96"/>
  <c r="C16" i="87"/>
  <c r="C16" i="97"/>
  <c r="C17" i="90"/>
  <c r="C16" i="90"/>
  <c r="C16" i="15"/>
  <c r="Q61" i="96" l="1"/>
  <c r="C49" i="90"/>
  <c r="L46" i="97"/>
  <c r="C19" i="90"/>
  <c r="C20" i="90" s="1"/>
  <c r="C26" i="90" s="1"/>
  <c r="C19" i="97"/>
  <c r="C20" i="97" s="1"/>
  <c r="C26" i="97" s="1"/>
  <c r="C18" i="67"/>
  <c r="C15" i="67"/>
  <c r="C19" i="96"/>
  <c r="C20" i="96" s="1"/>
  <c r="C26" i="96" s="1"/>
  <c r="C19" i="77"/>
  <c r="C20" i="77" s="1"/>
  <c r="C26" i="77" s="1"/>
  <c r="J19" i="77"/>
  <c r="J18" i="77"/>
  <c r="F1" i="91"/>
  <c r="Q52" i="91"/>
  <c r="L46" i="90"/>
  <c r="Q66" i="90"/>
  <c r="Q57" i="90"/>
  <c r="Q74" i="90"/>
  <c r="Q61" i="90"/>
  <c r="C32" i="77"/>
  <c r="C33" i="77"/>
  <c r="Q74" i="91"/>
  <c r="Q61" i="91"/>
  <c r="Q52" i="79"/>
  <c r="F1" i="79"/>
  <c r="J18" i="96"/>
  <c r="J19" i="96"/>
  <c r="Q61" i="87"/>
  <c r="Q74" i="87"/>
  <c r="Q73" i="87"/>
  <c r="Q60" i="87"/>
  <c r="Q73" i="15"/>
  <c r="Q60" i="15"/>
  <c r="O28" i="43"/>
  <c r="N28" i="43"/>
  <c r="G20" i="43" s="1"/>
  <c r="P28" i="43"/>
  <c r="M28" i="43"/>
  <c r="F1" i="97"/>
  <c r="Q52" i="97"/>
  <c r="C49" i="67"/>
  <c r="Q73" i="79"/>
  <c r="Q60" i="79"/>
  <c r="J19" i="97"/>
  <c r="J18" i="97"/>
  <c r="Q61" i="97"/>
  <c r="Q74" i="97"/>
  <c r="Q73" i="97"/>
  <c r="Q60" i="97"/>
  <c r="Q52" i="67"/>
  <c r="F1" i="67"/>
  <c r="C32" i="87"/>
  <c r="C31" i="87" s="1"/>
  <c r="C33" i="87"/>
  <c r="L46" i="77"/>
  <c r="Q66" i="77"/>
  <c r="Q57" i="77"/>
  <c r="L46" i="96"/>
  <c r="F1" i="96"/>
  <c r="Q52" i="96"/>
  <c r="Q66" i="96"/>
  <c r="Q57" i="96"/>
  <c r="F1" i="15"/>
  <c r="Q52" i="15"/>
  <c r="J17" i="77"/>
  <c r="Q73" i="96"/>
  <c r="Q60" i="96"/>
  <c r="C32" i="96"/>
  <c r="C33" i="96"/>
  <c r="Q57" i="91"/>
  <c r="Q66" i="91"/>
  <c r="F1" i="90"/>
  <c r="Q52" i="90"/>
  <c r="Q60" i="77"/>
  <c r="Q73" i="77"/>
  <c r="Q61" i="77"/>
  <c r="Q74" i="77"/>
  <c r="Q73" i="90"/>
  <c r="Q60" i="90"/>
  <c r="F11" i="79"/>
  <c r="F11" i="67"/>
  <c r="F11" i="87"/>
  <c r="F11" i="15"/>
  <c r="M11" i="90"/>
  <c r="J10" i="90" s="1"/>
  <c r="J5" i="90" s="1"/>
  <c r="M11" i="97"/>
  <c r="J10" i="97" s="1"/>
  <c r="J5" i="97" s="1"/>
  <c r="F11" i="96"/>
  <c r="M11" i="91"/>
  <c r="J10" i="91" s="1"/>
  <c r="J5" i="91" s="1"/>
  <c r="F11" i="77"/>
  <c r="M11" i="77"/>
  <c r="J10" i="77" s="1"/>
  <c r="J5" i="77" s="1"/>
  <c r="J24" i="77" s="1"/>
  <c r="F11" i="91"/>
  <c r="M11" i="87"/>
  <c r="J10" i="87" s="1"/>
  <c r="J5" i="87" s="1"/>
  <c r="F11" i="97"/>
  <c r="M11" i="67"/>
  <c r="J10" i="67" s="1"/>
  <c r="J5" i="67" s="1"/>
  <c r="F11" i="90"/>
  <c r="M11" i="96"/>
  <c r="J10" i="96" s="1"/>
  <c r="J5" i="96" s="1"/>
  <c r="J24" i="96" s="1"/>
  <c r="M11" i="15"/>
  <c r="J10" i="15" s="1"/>
  <c r="J5" i="15" s="1"/>
  <c r="M11" i="79"/>
  <c r="J10" i="79" s="1"/>
  <c r="J5" i="79" s="1"/>
  <c r="C32" i="15"/>
  <c r="C33" i="15"/>
  <c r="J19" i="87"/>
  <c r="J18" i="87"/>
  <c r="Q57" i="79"/>
  <c r="Q66" i="79"/>
  <c r="J18" i="15"/>
  <c r="J19" i="15"/>
  <c r="Q74" i="15"/>
  <c r="Q61" i="15"/>
  <c r="Q66" i="97"/>
  <c r="Q57" i="97"/>
  <c r="Q61" i="79"/>
  <c r="Q74" i="79"/>
  <c r="Q66" i="87"/>
  <c r="Q57" i="87"/>
  <c r="F1" i="87"/>
  <c r="Q52" i="87"/>
  <c r="J19" i="91"/>
  <c r="J18" i="91"/>
  <c r="C33" i="97"/>
  <c r="C32" i="97"/>
  <c r="Q73" i="67"/>
  <c r="Q60" i="67"/>
  <c r="Q61" i="67"/>
  <c r="Q74" i="67"/>
  <c r="F1" i="77"/>
  <c r="Q52" i="77"/>
  <c r="Q66" i="15"/>
  <c r="Q57" i="15"/>
  <c r="C49" i="79"/>
  <c r="C32" i="90"/>
  <c r="C33" i="90"/>
  <c r="C19" i="67"/>
  <c r="C20" i="67" s="1"/>
  <c r="C26" i="67" s="1"/>
  <c r="C23" i="79"/>
  <c r="C24" i="79"/>
  <c r="C24" i="90"/>
  <c r="C23" i="90"/>
  <c r="C24" i="15"/>
  <c r="C23" i="15"/>
  <c r="C44" i="68"/>
  <c r="D41" i="68" s="1"/>
  <c r="C26" i="68"/>
  <c r="D22" i="68" s="1"/>
  <c r="C24" i="68"/>
  <c r="C43" i="68"/>
  <c r="C42" i="68"/>
  <c r="C23" i="97"/>
  <c r="C29" i="97" s="1"/>
  <c r="C23" i="77"/>
  <c r="C29" i="77" s="1"/>
  <c r="C26" i="69"/>
  <c r="D22" i="69" s="1"/>
  <c r="C44" i="69"/>
  <c r="D41" i="69" s="1"/>
  <c r="C23" i="69"/>
  <c r="C23" i="87"/>
  <c r="C24" i="87"/>
  <c r="C25" i="11"/>
  <c r="C44" i="11"/>
  <c r="D41" i="11" s="1"/>
  <c r="C24" i="11"/>
  <c r="C26" i="11"/>
  <c r="D22" i="11" s="1"/>
  <c r="C23" i="11"/>
  <c r="C22" i="11" s="1"/>
  <c r="C42" i="11"/>
  <c r="C41" i="11" s="1"/>
  <c r="C49" i="11" s="1"/>
  <c r="C51" i="11" s="1"/>
  <c r="C24" i="67"/>
  <c r="C23" i="67"/>
  <c r="C23" i="91"/>
  <c r="C24" i="91"/>
  <c r="C24" i="86"/>
  <c r="C26" i="86"/>
  <c r="D22" i="86" s="1"/>
  <c r="C44" i="86"/>
  <c r="D41" i="86" s="1"/>
  <c r="C42" i="86"/>
  <c r="C41" i="86" s="1"/>
  <c r="C43" i="86"/>
  <c r="C23" i="96"/>
  <c r="C29" i="96" s="1"/>
  <c r="C24" i="69"/>
  <c r="C27" i="12"/>
  <c r="C25" i="12" s="1"/>
  <c r="C32" i="12" s="1"/>
  <c r="B2" i="12" s="1"/>
  <c r="B3" i="12" s="1"/>
  <c r="J70" i="85"/>
  <c r="K68" i="85"/>
  <c r="C46" i="69"/>
  <c r="C45" i="69" s="1"/>
  <c r="C43" i="69"/>
  <c r="C41" i="69" s="1"/>
  <c r="AE8" i="1"/>
  <c r="AE7" i="1"/>
  <c r="F41" i="90" s="1"/>
  <c r="AE6" i="1"/>
  <c r="AE9" i="1"/>
  <c r="F41" i="97" s="1"/>
  <c r="J17" i="96" l="1"/>
  <c r="C31" i="77"/>
  <c r="J17" i="15"/>
  <c r="C31" i="15"/>
  <c r="C31" i="96"/>
  <c r="F69" i="97"/>
  <c r="AG6" i="1"/>
  <c r="F69" i="90"/>
  <c r="AG8" i="1"/>
  <c r="C31" i="90"/>
  <c r="C31" i="97"/>
  <c r="J17" i="91"/>
  <c r="J17" i="87"/>
  <c r="J24" i="79"/>
  <c r="J26" i="79"/>
  <c r="J29" i="79" s="1"/>
  <c r="J26" i="67"/>
  <c r="J29" i="67" s="1"/>
  <c r="J24" i="67"/>
  <c r="J24" i="87"/>
  <c r="J26" i="87"/>
  <c r="J29" i="87" s="1"/>
  <c r="J26" i="91"/>
  <c r="J29" i="91" s="1"/>
  <c r="J24" i="91"/>
  <c r="J24" i="97"/>
  <c r="J26" i="97"/>
  <c r="J29" i="97" s="1"/>
  <c r="C10" i="15"/>
  <c r="C5" i="15" s="1"/>
  <c r="C38" i="15" s="1"/>
  <c r="C53" i="15"/>
  <c r="C48" i="15" s="1"/>
  <c r="C10" i="67"/>
  <c r="C5" i="67" s="1"/>
  <c r="C38" i="67" s="1"/>
  <c r="C53" i="67"/>
  <c r="C48" i="67" s="1"/>
  <c r="J17" i="97"/>
  <c r="J24" i="15"/>
  <c r="J26" i="15"/>
  <c r="J29" i="15" s="1"/>
  <c r="C10" i="90"/>
  <c r="C5" i="90" s="1"/>
  <c r="C38" i="90" s="1"/>
  <c r="C53" i="90"/>
  <c r="C48" i="90" s="1"/>
  <c r="C53" i="97"/>
  <c r="C48" i="97" s="1"/>
  <c r="C10" i="97"/>
  <c r="C5" i="97" s="1"/>
  <c r="C38" i="97" s="1"/>
  <c r="C10" i="91"/>
  <c r="C5" i="91" s="1"/>
  <c r="C38" i="91" s="1"/>
  <c r="C53" i="91"/>
  <c r="C48" i="91" s="1"/>
  <c r="C53" i="77"/>
  <c r="C48" i="77" s="1"/>
  <c r="C10" i="77"/>
  <c r="C5" i="77" s="1"/>
  <c r="C38" i="77" s="1"/>
  <c r="C10" i="96"/>
  <c r="C5" i="96" s="1"/>
  <c r="C38" i="96" s="1"/>
  <c r="C53" i="96"/>
  <c r="C48" i="96" s="1"/>
  <c r="J24" i="90"/>
  <c r="J26" i="90"/>
  <c r="J29" i="90" s="1"/>
  <c r="C53" i="87"/>
  <c r="C48" i="87" s="1"/>
  <c r="C10" i="87"/>
  <c r="C5" i="87" s="1"/>
  <c r="C38" i="87" s="1"/>
  <c r="C53" i="79"/>
  <c r="C48" i="79" s="1"/>
  <c r="C10" i="79"/>
  <c r="C5" i="79" s="1"/>
  <c r="C38" i="79" s="1"/>
  <c r="C20" i="43"/>
  <c r="E41" i="43"/>
  <c r="C41" i="43" s="1"/>
  <c r="C41" i="68"/>
  <c r="C49" i="68" s="1"/>
  <c r="C51" i="68" s="1"/>
  <c r="C29" i="79"/>
  <c r="J14" i="79" s="1"/>
  <c r="C49" i="69"/>
  <c r="C51" i="69" s="1"/>
  <c r="C29" i="15"/>
  <c r="C57" i="15" s="1"/>
  <c r="C49" i="86"/>
  <c r="C51" i="86" s="1"/>
  <c r="C29" i="67"/>
  <c r="C33" i="67" s="1"/>
  <c r="C31" i="67" s="1"/>
  <c r="C22" i="69"/>
  <c r="C31" i="69" s="1"/>
  <c r="C36" i="96"/>
  <c r="Q49" i="96"/>
  <c r="C57" i="96"/>
  <c r="J14" i="96"/>
  <c r="C13" i="96"/>
  <c r="C57" i="97"/>
  <c r="C13" i="97"/>
  <c r="Q49" i="97"/>
  <c r="C36" i="97"/>
  <c r="J14" i="97"/>
  <c r="C29" i="91"/>
  <c r="C31" i="11"/>
  <c r="C52" i="11" s="1"/>
  <c r="C29" i="87"/>
  <c r="C57" i="77"/>
  <c r="C36" i="77"/>
  <c r="Q49" i="77"/>
  <c r="C13" i="77"/>
  <c r="J14" i="77"/>
  <c r="Q49" i="15"/>
  <c r="C29" i="90"/>
  <c r="K70" i="85"/>
  <c r="L68" i="85"/>
  <c r="C52" i="69"/>
  <c r="M27" i="77"/>
  <c r="M27" i="96"/>
  <c r="C29" i="43" l="1"/>
  <c r="T6" i="43"/>
  <c r="V6" i="43" s="1"/>
  <c r="T15" i="43"/>
  <c r="V15" i="43" s="1"/>
  <c r="C34" i="43"/>
  <c r="C36" i="43"/>
  <c r="T2" i="43"/>
  <c r="V2" i="43" s="1"/>
  <c r="T12" i="43"/>
  <c r="V12" i="43" s="1"/>
  <c r="T4" i="43"/>
  <c r="V4" i="43" s="1"/>
  <c r="T16" i="43"/>
  <c r="V16" i="43" s="1"/>
  <c r="T14" i="43"/>
  <c r="V14" i="43" s="1"/>
  <c r="T8" i="43"/>
  <c r="V8" i="43" s="1"/>
  <c r="T11" i="43"/>
  <c r="V11" i="43" s="1"/>
  <c r="T5" i="43"/>
  <c r="V5" i="43" s="1"/>
  <c r="T13" i="43"/>
  <c r="V13" i="43" s="1"/>
  <c r="T9" i="43"/>
  <c r="V9" i="43" s="1"/>
  <c r="T3" i="43"/>
  <c r="V3" i="43" s="1"/>
  <c r="C35" i="43"/>
  <c r="T7" i="43"/>
  <c r="V7" i="43" s="1"/>
  <c r="T10" i="43"/>
  <c r="V10" i="43" s="1"/>
  <c r="C33" i="43"/>
  <c r="C37" i="43"/>
  <c r="C60" i="79"/>
  <c r="C66" i="79"/>
  <c r="C66" i="87"/>
  <c r="C60" i="87"/>
  <c r="C60" i="77"/>
  <c r="C66" i="77"/>
  <c r="C60" i="97"/>
  <c r="C66" i="97"/>
  <c r="C66" i="67"/>
  <c r="C60" i="67"/>
  <c r="C60" i="15"/>
  <c r="C66" i="15"/>
  <c r="C38" i="43"/>
  <c r="C39" i="43"/>
  <c r="C60" i="96"/>
  <c r="C66" i="96"/>
  <c r="C66" i="91"/>
  <c r="C60" i="91"/>
  <c r="C66" i="90"/>
  <c r="C60" i="90"/>
  <c r="C36" i="15"/>
  <c r="C36" i="79"/>
  <c r="Q49" i="67"/>
  <c r="J14" i="15"/>
  <c r="J22" i="15" s="1"/>
  <c r="C57" i="79"/>
  <c r="C64" i="79" s="1"/>
  <c r="J19" i="79"/>
  <c r="J17" i="79" s="1"/>
  <c r="C57" i="67"/>
  <c r="C64" i="67" s="1"/>
  <c r="J14" i="67"/>
  <c r="J13" i="67" s="1"/>
  <c r="J23" i="67" s="1"/>
  <c r="C13" i="15"/>
  <c r="C56" i="15" s="1"/>
  <c r="C65" i="15" s="1"/>
  <c r="Q49" i="79"/>
  <c r="C13" i="79"/>
  <c r="C75" i="79" s="1"/>
  <c r="C33" i="79"/>
  <c r="C31" i="79" s="1"/>
  <c r="C36" i="67"/>
  <c r="C13" i="67"/>
  <c r="C56" i="67" s="1"/>
  <c r="C65" i="67" s="1"/>
  <c r="J19" i="67"/>
  <c r="J17" i="67" s="1"/>
  <c r="J13" i="15"/>
  <c r="J23" i="15" s="1"/>
  <c r="C56" i="77"/>
  <c r="C65" i="77" s="1"/>
  <c r="C37" i="77"/>
  <c r="C30" i="77" s="1"/>
  <c r="C39" i="77" s="1"/>
  <c r="C75" i="77"/>
  <c r="Q70" i="77"/>
  <c r="Q49" i="87"/>
  <c r="C57" i="87"/>
  <c r="J14" i="87"/>
  <c r="C13" i="87"/>
  <c r="C36" i="87"/>
  <c r="C36" i="91"/>
  <c r="C13" i="91"/>
  <c r="Q49" i="91"/>
  <c r="J14" i="91"/>
  <c r="C57" i="91"/>
  <c r="C61" i="79"/>
  <c r="C59" i="79" s="1"/>
  <c r="F15" i="94"/>
  <c r="C75" i="97"/>
  <c r="Q70" i="97"/>
  <c r="C56" i="97"/>
  <c r="C65" i="97" s="1"/>
  <c r="C37" i="97"/>
  <c r="C30" i="97" s="1"/>
  <c r="C39" i="97" s="1"/>
  <c r="C61" i="67"/>
  <c r="C59" i="67" s="1"/>
  <c r="J22" i="67"/>
  <c r="C75" i="96"/>
  <c r="C56" i="96"/>
  <c r="C65" i="96" s="1"/>
  <c r="F14" i="94"/>
  <c r="Q70" i="96"/>
  <c r="C37" i="96"/>
  <c r="C30" i="96" s="1"/>
  <c r="C39" i="96" s="1"/>
  <c r="C64" i="96"/>
  <c r="C61" i="96"/>
  <c r="C59" i="96" s="1"/>
  <c r="C57" i="90"/>
  <c r="C36" i="90"/>
  <c r="C13" i="90"/>
  <c r="J14" i="90"/>
  <c r="Q49" i="90"/>
  <c r="C37" i="15"/>
  <c r="C30" i="15" s="1"/>
  <c r="C39" i="15" s="1"/>
  <c r="C75" i="15"/>
  <c r="C64" i="15"/>
  <c r="C61" i="15"/>
  <c r="C59" i="15" s="1"/>
  <c r="J13" i="77"/>
  <c r="J23" i="77" s="1"/>
  <c r="J22" i="77"/>
  <c r="C61" i="77"/>
  <c r="C59" i="77" s="1"/>
  <c r="C64" i="77"/>
  <c r="B2" i="11"/>
  <c r="B3" i="11" s="1"/>
  <c r="C56" i="11"/>
  <c r="C57" i="11" s="1"/>
  <c r="Q70" i="79"/>
  <c r="C56" i="79"/>
  <c r="C65" i="79" s="1"/>
  <c r="J13" i="79"/>
  <c r="J23" i="79" s="1"/>
  <c r="J22" i="79"/>
  <c r="J22" i="97"/>
  <c r="J13" i="97"/>
  <c r="J23" i="97" s="1"/>
  <c r="C64" i="97"/>
  <c r="C61" i="97"/>
  <c r="C59" i="97" s="1"/>
  <c r="C75" i="67"/>
  <c r="Q70" i="67"/>
  <c r="J22" i="96"/>
  <c r="J13" i="96"/>
  <c r="J23" i="96" s="1"/>
  <c r="L70" i="85"/>
  <c r="M68" i="85"/>
  <c r="C57" i="69"/>
  <c r="C56" i="69" s="1"/>
  <c r="B2" i="69"/>
  <c r="B3" i="69" s="1"/>
  <c r="G38" i="43" l="1"/>
  <c r="I38" i="43" s="1"/>
  <c r="E38" i="43"/>
  <c r="E33" i="43"/>
  <c r="G33" i="43"/>
  <c r="I33" i="43" s="1"/>
  <c r="G34" i="43"/>
  <c r="I34" i="43" s="1"/>
  <c r="E34" i="43"/>
  <c r="E39" i="43"/>
  <c r="G39" i="43"/>
  <c r="I39" i="43" s="1"/>
  <c r="E37" i="43"/>
  <c r="G37" i="43"/>
  <c r="I37" i="43" s="1"/>
  <c r="G35" i="43"/>
  <c r="I35" i="43" s="1"/>
  <c r="E35" i="43"/>
  <c r="E36" i="43"/>
  <c r="G36" i="43"/>
  <c r="I36" i="43" s="1"/>
  <c r="C30" i="43"/>
  <c r="E30" i="43" s="1"/>
  <c r="C27" i="43" s="1"/>
  <c r="E29" i="43"/>
  <c r="C26" i="43" s="1"/>
  <c r="C37" i="67"/>
  <c r="J16" i="67"/>
  <c r="J25" i="67" s="1"/>
  <c r="C30" i="67"/>
  <c r="C39" i="67" s="1"/>
  <c r="C40" i="67" s="1"/>
  <c r="C37" i="79"/>
  <c r="C30" i="79" s="1"/>
  <c r="C39" i="79" s="1"/>
  <c r="C40" i="79" s="1"/>
  <c r="Q70" i="15"/>
  <c r="J16" i="79"/>
  <c r="J25" i="79" s="1"/>
  <c r="J16" i="77"/>
  <c r="J25" i="77" s="1"/>
  <c r="J26" i="77" s="1"/>
  <c r="J29" i="77" s="1"/>
  <c r="C58" i="15"/>
  <c r="C67" i="15" s="1"/>
  <c r="C68" i="15" s="1"/>
  <c r="C58" i="96"/>
  <c r="C67" i="96" s="1"/>
  <c r="C68" i="96" s="1"/>
  <c r="C80" i="97"/>
  <c r="C79" i="97" s="1"/>
  <c r="C40" i="15"/>
  <c r="Q69" i="15"/>
  <c r="Q68" i="15" s="1"/>
  <c r="Q69" i="67"/>
  <c r="Q68" i="67" s="1"/>
  <c r="Q69" i="79"/>
  <c r="Q68" i="79" s="1"/>
  <c r="C80" i="79"/>
  <c r="C79" i="79" s="1"/>
  <c r="C71" i="15"/>
  <c r="C56" i="90"/>
  <c r="C65" i="90" s="1"/>
  <c r="F16" i="94"/>
  <c r="C75" i="90"/>
  <c r="F3" i="94"/>
  <c r="C37" i="90"/>
  <c r="C30" i="90" s="1"/>
  <c r="C39" i="90" s="1"/>
  <c r="Q70" i="90"/>
  <c r="C64" i="90"/>
  <c r="C61" i="90"/>
  <c r="C59" i="90" s="1"/>
  <c r="C71" i="96"/>
  <c r="C58" i="67"/>
  <c r="C67" i="67" s="1"/>
  <c r="C68" i="67" s="1"/>
  <c r="B2" i="43"/>
  <c r="C58" i="79"/>
  <c r="C67" i="79" s="1"/>
  <c r="C68" i="79" s="1"/>
  <c r="C61" i="91"/>
  <c r="C59" i="91" s="1"/>
  <c r="C64" i="91"/>
  <c r="C37" i="87"/>
  <c r="C30" i="87" s="1"/>
  <c r="C39" i="87" s="1"/>
  <c r="Q70" i="87"/>
  <c r="C75" i="87"/>
  <c r="C80" i="87" s="1"/>
  <c r="C79" i="87" s="1"/>
  <c r="C56" i="87"/>
  <c r="C65" i="87" s="1"/>
  <c r="C64" i="87"/>
  <c r="C61" i="87"/>
  <c r="C59" i="87" s="1"/>
  <c r="Q69" i="77"/>
  <c r="Q68" i="77" s="1"/>
  <c r="C40" i="77"/>
  <c r="C80" i="77"/>
  <c r="C79" i="77" s="1"/>
  <c r="J16" i="96"/>
  <c r="J25" i="96" s="1"/>
  <c r="J26" i="96" s="1"/>
  <c r="J29" i="96" s="1"/>
  <c r="C80" i="67"/>
  <c r="C79" i="67" s="1"/>
  <c r="C58" i="97"/>
  <c r="C67" i="97" s="1"/>
  <c r="C68" i="97" s="1"/>
  <c r="J16" i="97"/>
  <c r="J25" i="97" s="1"/>
  <c r="C58" i="77"/>
  <c r="C67" i="77" s="1"/>
  <c r="C68" i="77" s="1"/>
  <c r="C80" i="15"/>
  <c r="C79" i="15" s="1"/>
  <c r="J13" i="90"/>
  <c r="J23" i="90" s="1"/>
  <c r="J22" i="90"/>
  <c r="C40" i="96"/>
  <c r="Q69" i="96"/>
  <c r="Q68" i="96" s="1"/>
  <c r="G14" i="94"/>
  <c r="F30" i="94"/>
  <c r="G30" i="94" s="1"/>
  <c r="C80" i="96"/>
  <c r="C79" i="96" s="1"/>
  <c r="C40" i="97"/>
  <c r="Q69" i="97"/>
  <c r="Q68" i="97" s="1"/>
  <c r="G15" i="94"/>
  <c r="F31" i="94"/>
  <c r="G31" i="94" s="1"/>
  <c r="J13" i="91"/>
  <c r="J23" i="91" s="1"/>
  <c r="J22" i="91"/>
  <c r="C75" i="91"/>
  <c r="C37" i="91"/>
  <c r="C30" i="91" s="1"/>
  <c r="C39" i="91" s="1"/>
  <c r="Q70" i="91"/>
  <c r="C56" i="91"/>
  <c r="C65" i="91" s="1"/>
  <c r="J13" i="87"/>
  <c r="J23" i="87" s="1"/>
  <c r="J22" i="87"/>
  <c r="J16" i="15"/>
  <c r="J25" i="15" s="1"/>
  <c r="M70" i="85"/>
  <c r="N68" i="85"/>
  <c r="B6" i="76"/>
  <c r="L51" i="97"/>
  <c r="E6" i="76"/>
  <c r="L51" i="79"/>
  <c r="L51" i="96"/>
  <c r="L51" i="15"/>
  <c r="L51" i="77"/>
  <c r="L51" i="67"/>
  <c r="E2" i="76" l="1"/>
  <c r="C46" i="15"/>
  <c r="C80" i="91"/>
  <c r="C79" i="91" s="1"/>
  <c r="J16" i="90"/>
  <c r="J25" i="90" s="1"/>
  <c r="J16" i="87"/>
  <c r="J25" i="87" s="1"/>
  <c r="C58" i="87"/>
  <c r="C67" i="87" s="1"/>
  <c r="C68" i="87" s="1"/>
  <c r="C58" i="90"/>
  <c r="C67" i="90" s="1"/>
  <c r="C68" i="90" s="1"/>
  <c r="C71" i="90" s="1"/>
  <c r="Q67" i="97"/>
  <c r="Q67" i="96"/>
  <c r="Q67" i="15"/>
  <c r="Q67" i="77"/>
  <c r="B2" i="76"/>
  <c r="Q67" i="79"/>
  <c r="Q67" i="67"/>
  <c r="L57" i="67"/>
  <c r="L60" i="67" s="1"/>
  <c r="Q69" i="91"/>
  <c r="Q68" i="91" s="1"/>
  <c r="C40" i="91"/>
  <c r="J16" i="91"/>
  <c r="J25" i="91" s="1"/>
  <c r="C71" i="77"/>
  <c r="C46" i="77"/>
  <c r="C46" i="97"/>
  <c r="C71" i="97"/>
  <c r="B2" i="77"/>
  <c r="C83" i="77"/>
  <c r="C82" i="77" s="1"/>
  <c r="C43" i="77"/>
  <c r="K3" i="84"/>
  <c r="Q56" i="77"/>
  <c r="Q62" i="77" s="1"/>
  <c r="Q65" i="77"/>
  <c r="Q75" i="77" s="1"/>
  <c r="Q47" i="77"/>
  <c r="Q53" i="77" s="1"/>
  <c r="C46" i="79"/>
  <c r="C71" i="79"/>
  <c r="C71" i="67"/>
  <c r="C45" i="67"/>
  <c r="C46" i="67" s="1"/>
  <c r="Q69" i="90"/>
  <c r="Q68" i="90" s="1"/>
  <c r="C40" i="90"/>
  <c r="C80" i="90"/>
  <c r="C79" i="90" s="1"/>
  <c r="Q65" i="79"/>
  <c r="Q75" i="79" s="1"/>
  <c r="K54" i="84"/>
  <c r="Q47" i="79"/>
  <c r="Q53" i="79" s="1"/>
  <c r="B2" i="79"/>
  <c r="Q56" i="79"/>
  <c r="Q62" i="79" s="1"/>
  <c r="C43" i="79"/>
  <c r="C83" i="79"/>
  <c r="C82" i="79" s="1"/>
  <c r="Q65" i="67"/>
  <c r="C83" i="67"/>
  <c r="C82" i="67" s="1"/>
  <c r="C43" i="67"/>
  <c r="Q47" i="67"/>
  <c r="Q53" i="67" s="1"/>
  <c r="Q56" i="67"/>
  <c r="Q47" i="15"/>
  <c r="Q53" i="15" s="1"/>
  <c r="K16" i="84"/>
  <c r="Q65" i="15"/>
  <c r="Q75" i="15" s="1"/>
  <c r="C83" i="15"/>
  <c r="C82" i="15" s="1"/>
  <c r="B2" i="15"/>
  <c r="B3" i="15" s="1"/>
  <c r="C43" i="15"/>
  <c r="Q56" i="15"/>
  <c r="Q62" i="15" s="1"/>
  <c r="Q56" i="97"/>
  <c r="Q62" i="97" s="1"/>
  <c r="C43" i="97"/>
  <c r="Q47" i="97"/>
  <c r="Q53" i="97" s="1"/>
  <c r="B2" i="97"/>
  <c r="Q65" i="97"/>
  <c r="Q75" i="97" s="1"/>
  <c r="C83" i="97"/>
  <c r="C82" i="97" s="1"/>
  <c r="Q56" i="96"/>
  <c r="Q62" i="96" s="1"/>
  <c r="B2" i="96"/>
  <c r="C43" i="96"/>
  <c r="Q47" i="96"/>
  <c r="Q53" i="96" s="1"/>
  <c r="Q65" i="96"/>
  <c r="Q75" i="96" s="1"/>
  <c r="C83" i="96"/>
  <c r="C82" i="96" s="1"/>
  <c r="C71" i="87"/>
  <c r="Q69" i="87"/>
  <c r="Q68" i="87" s="1"/>
  <c r="C40" i="87"/>
  <c r="C58" i="91"/>
  <c r="C67" i="91" s="1"/>
  <c r="C68" i="91" s="1"/>
  <c r="B3" i="43"/>
  <c r="C46" i="96"/>
  <c r="F7" i="94"/>
  <c r="F8" i="94" s="1"/>
  <c r="G3" i="94"/>
  <c r="G16" i="94"/>
  <c r="F32" i="94"/>
  <c r="B3" i="76"/>
  <c r="N70" i="85"/>
  <c r="O68" i="85"/>
  <c r="O70" i="85" s="1"/>
  <c r="AO6" i="1"/>
  <c r="L51" i="91"/>
  <c r="L51" i="90"/>
  <c r="AO9" i="1"/>
  <c r="D19" i="80"/>
  <c r="AO8" i="1"/>
  <c r="L51" i="87"/>
  <c r="B8" i="70" l="1"/>
  <c r="J14" i="94" s="1"/>
  <c r="B8" i="92"/>
  <c r="B9" i="92"/>
  <c r="B9" i="70"/>
  <c r="J15" i="94" s="1"/>
  <c r="Q67" i="91"/>
  <c r="Q67" i="87"/>
  <c r="D102" i="80"/>
  <c r="D21" i="80"/>
  <c r="Q67" i="90"/>
  <c r="B6" i="70"/>
  <c r="F33" i="94"/>
  <c r="F34" i="94" s="1"/>
  <c r="G32" i="94"/>
  <c r="C46" i="91"/>
  <c r="C71" i="91"/>
  <c r="Q65" i="87"/>
  <c r="Q75" i="87" s="1"/>
  <c r="B2" i="87"/>
  <c r="Q56" i="87"/>
  <c r="Q62" i="87" s="1"/>
  <c r="Q47" i="87"/>
  <c r="Q53" i="87" s="1"/>
  <c r="C43" i="87"/>
  <c r="C83" i="87"/>
  <c r="C82" i="87" s="1"/>
  <c r="C46" i="87"/>
  <c r="B3" i="96"/>
  <c r="B3" i="97"/>
  <c r="Q56" i="90"/>
  <c r="Q62" i="90" s="1"/>
  <c r="Q47" i="90"/>
  <c r="Q53" i="90" s="1"/>
  <c r="C83" i="90"/>
  <c r="C82" i="90" s="1"/>
  <c r="C43" i="90"/>
  <c r="B2" i="90"/>
  <c r="Q65" i="90"/>
  <c r="Q75" i="90" s="1"/>
  <c r="C46" i="90"/>
  <c r="G14" i="84"/>
  <c r="G13" i="84"/>
  <c r="G9" i="84"/>
  <c r="G4" i="84"/>
  <c r="G11" i="84"/>
  <c r="G6" i="84"/>
  <c r="G7" i="84"/>
  <c r="G5" i="84"/>
  <c r="G10" i="84"/>
  <c r="G12" i="84"/>
  <c r="G3" i="84"/>
  <c r="G8" i="84"/>
  <c r="Q66" i="67"/>
  <c r="Q75" i="67" s="1"/>
  <c r="Q57" i="67"/>
  <c r="Q62" i="67" s="1"/>
  <c r="L46" i="67"/>
  <c r="D2" i="67" s="1"/>
  <c r="G40" i="84"/>
  <c r="G39" i="84"/>
  <c r="G29" i="84"/>
  <c r="G46" i="84"/>
  <c r="G18" i="84"/>
  <c r="G30" i="84"/>
  <c r="G50" i="84"/>
  <c r="G51" i="84"/>
  <c r="G23" i="84"/>
  <c r="G37" i="84"/>
  <c r="G36" i="84"/>
  <c r="G52" i="84"/>
  <c r="G27" i="84"/>
  <c r="G26" i="84"/>
  <c r="G28" i="84"/>
  <c r="G34" i="84"/>
  <c r="G16" i="84"/>
  <c r="G32" i="84"/>
  <c r="G17" i="84"/>
  <c r="G25" i="84"/>
  <c r="G41" i="84"/>
  <c r="G38" i="84"/>
  <c r="G49" i="84"/>
  <c r="G42" i="84"/>
  <c r="G43" i="84"/>
  <c r="G19" i="84"/>
  <c r="G45" i="84"/>
  <c r="G31" i="84"/>
  <c r="G44" i="84"/>
  <c r="G48" i="84"/>
  <c r="G24" i="84"/>
  <c r="G35" i="84"/>
  <c r="G47" i="84"/>
  <c r="G33" i="84"/>
  <c r="G21" i="84"/>
  <c r="G22" i="84"/>
  <c r="G20" i="84"/>
  <c r="B3" i="79"/>
  <c r="B3" i="77"/>
  <c r="Q47" i="91"/>
  <c r="Q53" i="91" s="1"/>
  <c r="C43" i="91"/>
  <c r="Q65" i="91"/>
  <c r="Q75" i="91" s="1"/>
  <c r="B2" i="91"/>
  <c r="B3" i="91" s="1"/>
  <c r="Q56" i="91"/>
  <c r="Q62" i="91" s="1"/>
  <c r="C83" i="91"/>
  <c r="C82" i="91" s="1"/>
  <c r="H7" i="85"/>
  <c r="F7" i="85"/>
  <c r="J7" i="85"/>
  <c r="D34" i="80"/>
  <c r="AO7" i="1"/>
  <c r="D20" i="80"/>
  <c r="D35" i="80"/>
  <c r="D19" i="88"/>
  <c r="B2" i="92" l="1"/>
  <c r="B7" i="70"/>
  <c r="D102" i="88"/>
  <c r="D21" i="88"/>
  <c r="D22" i="88"/>
  <c r="G19" i="88"/>
  <c r="D103" i="80"/>
  <c r="H20" i="84"/>
  <c r="F20" i="84" s="1"/>
  <c r="E20" i="84"/>
  <c r="E21" i="84"/>
  <c r="H21" i="84"/>
  <c r="F21" i="84" s="1"/>
  <c r="E47" i="84"/>
  <c r="H47" i="84"/>
  <c r="F47" i="84" s="1"/>
  <c r="H24" i="84"/>
  <c r="F24" i="84" s="1"/>
  <c r="E24" i="84"/>
  <c r="H44" i="84"/>
  <c r="F44" i="84" s="1"/>
  <c r="E44" i="84"/>
  <c r="E45" i="84"/>
  <c r="H45" i="84"/>
  <c r="F45" i="84" s="1"/>
  <c r="H43" i="84"/>
  <c r="F43" i="84" s="1"/>
  <c r="E43" i="84"/>
  <c r="H49" i="84"/>
  <c r="F49" i="84" s="1"/>
  <c r="E49" i="84"/>
  <c r="E41" i="84"/>
  <c r="H41" i="84"/>
  <c r="F41" i="84" s="1"/>
  <c r="H17" i="84"/>
  <c r="F17" i="84" s="1"/>
  <c r="E17" i="84"/>
  <c r="G53" i="84"/>
  <c r="E16" i="84"/>
  <c r="E53" i="84" s="1"/>
  <c r="H16" i="84"/>
  <c r="F16" i="84" s="1"/>
  <c r="E28" i="84"/>
  <c r="H28" i="84"/>
  <c r="F28" i="84" s="1"/>
  <c r="H27" i="84"/>
  <c r="F27" i="84" s="1"/>
  <c r="E27" i="84"/>
  <c r="H36" i="84"/>
  <c r="F36" i="84" s="1"/>
  <c r="E36" i="84"/>
  <c r="E23" i="84"/>
  <c r="H23" i="84"/>
  <c r="F23" i="84" s="1"/>
  <c r="E50" i="84"/>
  <c r="H50" i="84"/>
  <c r="F50" i="84" s="1"/>
  <c r="H18" i="84"/>
  <c r="F18" i="84" s="1"/>
  <c r="E18" i="84"/>
  <c r="H29" i="84"/>
  <c r="F29" i="84" s="1"/>
  <c r="E29" i="84"/>
  <c r="E40" i="84"/>
  <c r="H40" i="84"/>
  <c r="F40" i="84" s="1"/>
  <c r="E8" i="84"/>
  <c r="H8" i="84"/>
  <c r="F8" i="84" s="1"/>
  <c r="E12" i="84"/>
  <c r="H12" i="84"/>
  <c r="F12" i="84" s="1"/>
  <c r="H5" i="84"/>
  <c r="F5" i="84" s="1"/>
  <c r="E5" i="84"/>
  <c r="E6" i="84"/>
  <c r="H6" i="84"/>
  <c r="F6" i="84" s="1"/>
  <c r="H4" i="84"/>
  <c r="F4" i="84" s="1"/>
  <c r="E4" i="84"/>
  <c r="H13" i="84"/>
  <c r="F13" i="84" s="1"/>
  <c r="E13" i="84"/>
  <c r="B3" i="90"/>
  <c r="B3" i="87"/>
  <c r="B3" i="92"/>
  <c r="E22" i="84"/>
  <c r="H22" i="84"/>
  <c r="F22" i="84" s="1"/>
  <c r="E33" i="84"/>
  <c r="H33" i="84"/>
  <c r="F33" i="84" s="1"/>
  <c r="H35" i="84"/>
  <c r="F35" i="84" s="1"/>
  <c r="E35" i="84"/>
  <c r="H48" i="84"/>
  <c r="F48" i="84" s="1"/>
  <c r="E48" i="84"/>
  <c r="E31" i="84"/>
  <c r="H31" i="84"/>
  <c r="F31" i="84" s="1"/>
  <c r="E19" i="84"/>
  <c r="H19" i="84"/>
  <c r="F19" i="84" s="1"/>
  <c r="H42" i="84"/>
  <c r="F42" i="84" s="1"/>
  <c r="E42" i="84"/>
  <c r="H38" i="84"/>
  <c r="F38" i="84" s="1"/>
  <c r="E38" i="84"/>
  <c r="E25" i="84"/>
  <c r="H25" i="84"/>
  <c r="F25" i="84" s="1"/>
  <c r="H32" i="84"/>
  <c r="F32" i="84" s="1"/>
  <c r="E32" i="84"/>
  <c r="H34" i="84"/>
  <c r="F34" i="84" s="1"/>
  <c r="E34" i="84"/>
  <c r="H26" i="84"/>
  <c r="F26" i="84" s="1"/>
  <c r="E26" i="84"/>
  <c r="E52" i="84"/>
  <c r="H52" i="84"/>
  <c r="F52" i="84" s="1"/>
  <c r="H37" i="84"/>
  <c r="F37" i="84" s="1"/>
  <c r="E37" i="84"/>
  <c r="E51" i="84"/>
  <c r="H51" i="84"/>
  <c r="F51" i="84" s="1"/>
  <c r="E30" i="84"/>
  <c r="H30" i="84"/>
  <c r="F30" i="84" s="1"/>
  <c r="H46" i="84"/>
  <c r="F46" i="84" s="1"/>
  <c r="E46" i="84"/>
  <c r="E39" i="84"/>
  <c r="H39" i="84"/>
  <c r="F39" i="84" s="1"/>
  <c r="B3" i="67"/>
  <c r="B2" i="67"/>
  <c r="H3" i="84"/>
  <c r="F3" i="84" s="1"/>
  <c r="E3" i="84"/>
  <c r="G15" i="84"/>
  <c r="H15" i="84" s="1"/>
  <c r="F15" i="84" s="1"/>
  <c r="E10" i="84"/>
  <c r="H10" i="84"/>
  <c r="F10" i="84" s="1"/>
  <c r="H7" i="84"/>
  <c r="F7" i="84" s="1"/>
  <c r="E7" i="84"/>
  <c r="E11" i="84"/>
  <c r="H11" i="84"/>
  <c r="F11" i="84" s="1"/>
  <c r="E9" i="84"/>
  <c r="H9" i="84"/>
  <c r="F9" i="84" s="1"/>
  <c r="E14" i="84"/>
  <c r="H14" i="84"/>
  <c r="F14" i="84" s="1"/>
  <c r="AA7" i="85"/>
  <c r="R47" i="85" s="1"/>
  <c r="S7" i="85"/>
  <c r="W7" i="85"/>
  <c r="AC7" i="85"/>
  <c r="V47" i="85" s="1"/>
  <c r="I47" i="85" s="1"/>
  <c r="AB7" i="85"/>
  <c r="T47" i="85" s="1"/>
  <c r="G47" i="85" s="1"/>
  <c r="U7" i="85"/>
  <c r="D19" i="78"/>
  <c r="D20" i="78"/>
  <c r="D34" i="88"/>
  <c r="D20" i="88"/>
  <c r="D35" i="88"/>
  <c r="D21" i="78" l="1"/>
  <c r="D102" i="78"/>
  <c r="D22" i="78"/>
  <c r="G19" i="78"/>
  <c r="G20" i="78"/>
  <c r="D103" i="78"/>
  <c r="G20" i="88"/>
  <c r="D103" i="88"/>
  <c r="E15" i="84"/>
  <c r="K15" i="84" s="1"/>
  <c r="H53" i="84"/>
  <c r="F53" i="84" s="1"/>
  <c r="K53" i="84"/>
  <c r="G21" i="78"/>
  <c r="C32" i="78"/>
  <c r="C32" i="88"/>
  <c r="G21" i="88"/>
  <c r="B2" i="70"/>
  <c r="J16" i="94"/>
  <c r="J17" i="94" s="1"/>
  <c r="I51" i="85"/>
  <c r="J51" i="85" s="1"/>
  <c r="G51" i="85"/>
  <c r="H51" i="85" s="1"/>
  <c r="G52" i="85"/>
  <c r="H52" i="85" s="1"/>
  <c r="R48" i="85"/>
  <c r="E47" i="85"/>
  <c r="D19" i="9"/>
  <c r="D102" i="9" l="1"/>
  <c r="D21" i="9"/>
  <c r="B3" i="70"/>
  <c r="C35" i="88"/>
  <c r="F118" i="88" s="1"/>
  <c r="H118" i="88"/>
  <c r="C34" i="88"/>
  <c r="D118" i="88" s="1"/>
  <c r="D119" i="88" s="1"/>
  <c r="H118" i="78"/>
  <c r="C35" i="78"/>
  <c r="F118" i="78" s="1"/>
  <c r="E52" i="85"/>
  <c r="F52" i="85" s="1"/>
  <c r="E51" i="85"/>
  <c r="F51" i="85" s="1"/>
  <c r="C47" i="85"/>
  <c r="C48" i="85"/>
  <c r="I52" i="85"/>
  <c r="J52" i="85" s="1"/>
  <c r="D20" i="9"/>
  <c r="D103" i="9" l="1"/>
  <c r="F119" i="78"/>
  <c r="G118" i="78"/>
  <c r="G118" i="88"/>
  <c r="F119" i="88"/>
  <c r="C34" i="78"/>
  <c r="D118" i="78" s="1"/>
  <c r="D119" i="78" s="1"/>
  <c r="I118" i="78"/>
  <c r="C104" i="78"/>
  <c r="H101" i="78"/>
  <c r="H119" i="78"/>
  <c r="C104" i="88"/>
  <c r="H101" i="88"/>
  <c r="H119" i="88"/>
  <c r="I118" i="88"/>
  <c r="B60" i="85"/>
  <c r="F60" i="85" s="1"/>
  <c r="B58" i="85"/>
  <c r="F58" i="85" s="1"/>
  <c r="B59" i="85"/>
  <c r="F59" i="85" s="1"/>
  <c r="B57" i="85"/>
  <c r="F57" i="85" s="1"/>
  <c r="B62" i="85"/>
  <c r="F62" i="85" s="1"/>
  <c r="B56" i="85"/>
  <c r="B65" i="85"/>
  <c r="F65" i="85" s="1"/>
  <c r="B63" i="85"/>
  <c r="F63" i="85" s="1"/>
  <c r="B64" i="85"/>
  <c r="F64" i="85" s="1"/>
  <c r="B61" i="85"/>
  <c r="F61" i="85" s="1"/>
  <c r="E118" i="88" l="1"/>
  <c r="C105" i="88"/>
  <c r="H102" i="88"/>
  <c r="D45" i="88"/>
  <c r="M48" i="88"/>
  <c r="H107" i="88"/>
  <c r="M48" i="78"/>
  <c r="D45" i="78"/>
  <c r="H107" i="78"/>
  <c r="H102" i="78"/>
  <c r="E118" i="78"/>
  <c r="C105" i="78"/>
  <c r="C6" i="68"/>
  <c r="C7" i="68" s="1"/>
  <c r="C5" i="68" s="1"/>
  <c r="F56" i="85"/>
  <c r="F66" i="85" s="1"/>
  <c r="B2" i="85" s="1"/>
  <c r="B3" i="85" s="1"/>
  <c r="C6" i="86"/>
  <c r="C7" i="86" s="1"/>
  <c r="C5" i="86" s="1"/>
  <c r="C64" i="78" l="1"/>
  <c r="C63" i="78" s="1"/>
  <c r="C67" i="78" s="1"/>
  <c r="C68" i="78" s="1"/>
  <c r="D54" i="78" s="1"/>
  <c r="C78" i="78"/>
  <c r="C73" i="78" s="1"/>
  <c r="C72" i="78"/>
  <c r="C79" i="78" s="1"/>
  <c r="D53" i="78"/>
  <c r="C85" i="78"/>
  <c r="D55" i="78"/>
  <c r="M53" i="78" s="1"/>
  <c r="D52" i="78"/>
  <c r="C93" i="78"/>
  <c r="C86" i="78" s="1"/>
  <c r="M49" i="88"/>
  <c r="D122" i="88"/>
  <c r="D123" i="88" s="1"/>
  <c r="H108" i="88"/>
  <c r="D52" i="88"/>
  <c r="C64" i="88"/>
  <c r="C63" i="88" s="1"/>
  <c r="C67" i="88" s="1"/>
  <c r="C68" i="88" s="1"/>
  <c r="D54" i="88" s="1"/>
  <c r="C93" i="88"/>
  <c r="C86" i="88" s="1"/>
  <c r="D53" i="88"/>
  <c r="C85" i="88"/>
  <c r="C95" i="88" s="1"/>
  <c r="C78" i="88"/>
  <c r="C73" i="88" s="1"/>
  <c r="D55" i="88"/>
  <c r="M53" i="88" s="1"/>
  <c r="C72" i="88"/>
  <c r="C79" i="88" s="1"/>
  <c r="D122" i="78"/>
  <c r="D123" i="78" s="1"/>
  <c r="H108" i="78"/>
  <c r="M49" i="78"/>
  <c r="C20" i="86"/>
  <c r="C25" i="86" s="1"/>
  <c r="C23" i="86"/>
  <c r="C22" i="86" s="1"/>
  <c r="C28" i="86"/>
  <c r="C27" i="86" s="1"/>
  <c r="C20" i="68"/>
  <c r="C25" i="68" s="1"/>
  <c r="C23" i="68"/>
  <c r="C95" i="78" l="1"/>
  <c r="C28" i="68"/>
  <c r="C27" i="68" s="1"/>
  <c r="L63" i="78"/>
  <c r="M63" i="78" s="1"/>
  <c r="L65" i="78"/>
  <c r="M65" i="78" s="1"/>
  <c r="L67" i="78"/>
  <c r="M67" i="78" s="1"/>
  <c r="L66" i="78"/>
  <c r="M66" i="78" s="1"/>
  <c r="L68" i="78"/>
  <c r="M68" i="78" s="1"/>
  <c r="L64" i="78"/>
  <c r="M64" i="78" s="1"/>
  <c r="C96" i="88"/>
  <c r="E96" i="88" s="1"/>
  <c r="E97" i="88" s="1"/>
  <c r="C97" i="88"/>
  <c r="D58" i="88" s="1"/>
  <c r="D56" i="88" s="1"/>
  <c r="M54" i="88" s="1"/>
  <c r="N57" i="88" s="1"/>
  <c r="N59" i="88" s="1"/>
  <c r="C22" i="68"/>
  <c r="C31" i="86"/>
  <c r="C52" i="86" s="1"/>
  <c r="C80" i="88"/>
  <c r="E80" i="88" s="1"/>
  <c r="E81" i="88" s="1"/>
  <c r="C81" i="88"/>
  <c r="L63" i="88"/>
  <c r="M63" i="88" s="1"/>
  <c r="M69" i="88" s="1"/>
  <c r="N69" i="88" s="1"/>
  <c r="L66" i="88"/>
  <c r="M66" i="88" s="1"/>
  <c r="L64" i="88"/>
  <c r="M64" i="88" s="1"/>
  <c r="L68" i="88"/>
  <c r="M68" i="88" s="1"/>
  <c r="L65" i="88"/>
  <c r="M65" i="88" s="1"/>
  <c r="L67" i="88"/>
  <c r="M67" i="88" s="1"/>
  <c r="C96" i="78"/>
  <c r="E96" i="78" s="1"/>
  <c r="E97" i="78" s="1"/>
  <c r="C80" i="78"/>
  <c r="E80" i="78" s="1"/>
  <c r="E81" i="78" s="1"/>
  <c r="B2" i="86"/>
  <c r="C57" i="86"/>
  <c r="C56" i="86" s="1"/>
  <c r="C19" i="80"/>
  <c r="B3" i="86"/>
  <c r="P57" i="88" l="1"/>
  <c r="N58" i="88"/>
  <c r="M69" i="78"/>
  <c r="N69" i="78" s="1"/>
  <c r="C81" i="78"/>
  <c r="C97" i="78"/>
  <c r="D58" i="78" s="1"/>
  <c r="D56" i="78" s="1"/>
  <c r="M54" i="78" s="1"/>
  <c r="N57" i="78" s="1"/>
  <c r="N60" i="88"/>
  <c r="N61" i="88"/>
  <c r="C31" i="68"/>
  <c r="C52" i="68" s="1"/>
  <c r="C21" i="80"/>
  <c r="D22" i="80"/>
  <c r="C102" i="80"/>
  <c r="G19" i="80"/>
  <c r="C20" i="80"/>
  <c r="G20" i="80" l="1"/>
  <c r="J54" i="84" s="1"/>
  <c r="I54" i="84" s="1"/>
  <c r="C103" i="80"/>
  <c r="B2" i="68"/>
  <c r="C57" i="68"/>
  <c r="C56" i="68" s="1"/>
  <c r="N58" i="78"/>
  <c r="P57" i="78"/>
  <c r="N59" i="78"/>
  <c r="C32" i="80"/>
  <c r="G21" i="80"/>
  <c r="C19" i="9"/>
  <c r="J55" i="84" l="1"/>
  <c r="C102" i="9"/>
  <c r="G19" i="9"/>
  <c r="C21" i="9"/>
  <c r="D22" i="9"/>
  <c r="N60" i="78"/>
  <c r="N61" i="78"/>
  <c r="B3" i="68"/>
  <c r="I56" i="84"/>
  <c r="I57" i="84" s="1"/>
  <c r="I58" i="84" s="1"/>
  <c r="G54" i="84"/>
  <c r="E54" i="84" s="1"/>
  <c r="E56" i="84" s="1"/>
  <c r="E57" i="84" s="1"/>
  <c r="E58" i="84" s="1"/>
  <c r="J56" i="84"/>
  <c r="I55" i="84"/>
  <c r="G55" i="84" s="1"/>
  <c r="E55" i="84" s="1"/>
  <c r="H118" i="80"/>
  <c r="C35" i="80"/>
  <c r="F118" i="80" s="1"/>
  <c r="C20" i="9"/>
  <c r="C103" i="9" l="1"/>
  <c r="G20" i="9"/>
  <c r="H3" i="94"/>
  <c r="H7" i="94" s="1"/>
  <c r="G21" i="9"/>
  <c r="C32" i="9"/>
  <c r="G118" i="80"/>
  <c r="F119" i="80"/>
  <c r="C34" i="80"/>
  <c r="D118" i="80" s="1"/>
  <c r="D119" i="80" s="1"/>
  <c r="H101" i="80"/>
  <c r="H119" i="80"/>
  <c r="I118" i="80"/>
  <c r="C104" i="80"/>
  <c r="G56" i="84"/>
  <c r="H54" i="84"/>
  <c r="B173" i="83" l="1"/>
  <c r="B174" i="83" s="1"/>
  <c r="C170" i="89"/>
  <c r="C171" i="89" s="1"/>
  <c r="H118" i="9"/>
  <c r="C35" i="9"/>
  <c r="F118" i="9" s="1"/>
  <c r="I3" i="94"/>
  <c r="E3" i="94" s="1"/>
  <c r="H14" i="94"/>
  <c r="H30" i="94" s="1"/>
  <c r="H15" i="94"/>
  <c r="H31" i="94" s="1"/>
  <c r="H8" i="94"/>
  <c r="D3" i="94"/>
  <c r="D7" i="94" s="1"/>
  <c r="D8" i="94" s="1"/>
  <c r="K56" i="84"/>
  <c r="G57" i="84"/>
  <c r="G58" i="84" s="1"/>
  <c r="C105" i="80"/>
  <c r="H102" i="80"/>
  <c r="M48" i="80"/>
  <c r="H107" i="80"/>
  <c r="D45" i="80"/>
  <c r="H55" i="84"/>
  <c r="F54" i="84"/>
  <c r="E118" i="80"/>
  <c r="H16" i="94" l="1"/>
  <c r="I16" i="94" s="1"/>
  <c r="E16" i="94" s="1"/>
  <c r="C34" i="9"/>
  <c r="D118" i="9" s="1"/>
  <c r="D15" i="94"/>
  <c r="I15" i="94"/>
  <c r="E15" i="94" s="1"/>
  <c r="I14" i="94"/>
  <c r="E14" i="94" s="1"/>
  <c r="D14" i="94"/>
  <c r="F4" i="52"/>
  <c r="B51" i="72" s="1"/>
  <c r="F119" i="9"/>
  <c r="F5" i="52" s="1"/>
  <c r="B53" i="72" s="1"/>
  <c r="G118" i="9"/>
  <c r="G4" i="52" s="1"/>
  <c r="B52" i="72" s="1"/>
  <c r="H101" i="9"/>
  <c r="D14" i="74"/>
  <c r="H4" i="52"/>
  <c r="C104" i="9"/>
  <c r="H119" i="9"/>
  <c r="H5" i="52" s="1"/>
  <c r="I118" i="9"/>
  <c r="H56" i="84"/>
  <c r="F55" i="84"/>
  <c r="F56" i="84" s="1"/>
  <c r="H108" i="80"/>
  <c r="M49" i="80"/>
  <c r="D122" i="80"/>
  <c r="D123" i="80" s="1"/>
  <c r="C64" i="80"/>
  <c r="C63" i="80" s="1"/>
  <c r="C67" i="80" s="1"/>
  <c r="C68" i="80" s="1"/>
  <c r="D54" i="80" s="1"/>
  <c r="C85" i="80"/>
  <c r="C78" i="80"/>
  <c r="C73" i="80" s="1"/>
  <c r="D52" i="80"/>
  <c r="C93" i="80"/>
  <c r="C86" i="80" s="1"/>
  <c r="D55" i="80"/>
  <c r="M53" i="80" s="1"/>
  <c r="C72" i="80"/>
  <c r="C79" i="80" s="1"/>
  <c r="D53" i="80"/>
  <c r="H32" i="94" l="1"/>
  <c r="I32" i="94" s="1"/>
  <c r="D16" i="94"/>
  <c r="D5" i="53"/>
  <c r="H107" i="9"/>
  <c r="D4" i="52"/>
  <c r="B47" i="72" s="1"/>
  <c r="D119" i="9"/>
  <c r="D5" i="52" s="1"/>
  <c r="B49" i="72" s="1"/>
  <c r="E32" i="94"/>
  <c r="C105" i="9"/>
  <c r="E118" i="9"/>
  <c r="E4" i="52" s="1"/>
  <c r="B48" i="72" s="1"/>
  <c r="H102" i="9"/>
  <c r="D7" i="53" s="1"/>
  <c r="B21" i="72" s="1"/>
  <c r="I4" i="52"/>
  <c r="F14" i="74"/>
  <c r="E14" i="74"/>
  <c r="B5" i="74"/>
  <c r="I30" i="94"/>
  <c r="E30" i="94" s="1"/>
  <c r="H33" i="94"/>
  <c r="H34" i="94" s="1"/>
  <c r="D30" i="94"/>
  <c r="D31" i="94"/>
  <c r="I31" i="94"/>
  <c r="E31" i="94" s="1"/>
  <c r="C80" i="80"/>
  <c r="E80" i="80" s="1"/>
  <c r="E81" i="80" s="1"/>
  <c r="C81" i="80"/>
  <c r="C95" i="80"/>
  <c r="L67" i="80"/>
  <c r="M67" i="80" s="1"/>
  <c r="L68" i="80"/>
  <c r="M68" i="80" s="1"/>
  <c r="L66" i="80"/>
  <c r="M66" i="80" s="1"/>
  <c r="L64" i="80"/>
  <c r="M64" i="80" s="1"/>
  <c r="L63" i="80"/>
  <c r="M63" i="80" s="1"/>
  <c r="M69" i="80" s="1"/>
  <c r="N69" i="80" s="1"/>
  <c r="L65" i="80"/>
  <c r="M65" i="80" s="1"/>
  <c r="D32" i="94" l="1"/>
  <c r="D45" i="9"/>
  <c r="C72" i="9" s="1"/>
  <c r="D5" i="74"/>
  <c r="C5" i="74"/>
  <c r="D13" i="53"/>
  <c r="D122" i="9"/>
  <c r="H108" i="9"/>
  <c r="D15" i="53" s="1"/>
  <c r="B31" i="72" s="1"/>
  <c r="D33" i="94"/>
  <c r="D34" i="94" s="1"/>
  <c r="C78" i="9"/>
  <c r="C73" i="9" s="1"/>
  <c r="C64" i="9"/>
  <c r="C63" i="9" s="1"/>
  <c r="C67" i="9" s="1"/>
  <c r="C68" i="9" s="1"/>
  <c r="D54" i="9" s="1"/>
  <c r="B20" i="72"/>
  <c r="D6" i="53"/>
  <c r="B22" i="72" s="1"/>
  <c r="C96" i="80"/>
  <c r="E96" i="80" s="1"/>
  <c r="E97" i="80" s="1"/>
  <c r="C97" i="80"/>
  <c r="D58" i="80" s="1"/>
  <c r="D56" i="80" s="1"/>
  <c r="M54" i="80" s="1"/>
  <c r="N57" i="80" s="1"/>
  <c r="M48" i="9" l="1"/>
  <c r="M49" i="9" s="1"/>
  <c r="C85" i="9"/>
  <c r="C93" i="9"/>
  <c r="C86" i="9" s="1"/>
  <c r="D53" i="9"/>
  <c r="D48" i="9" s="1"/>
  <c r="M52" i="9" s="1"/>
  <c r="D52" i="9"/>
  <c r="D55" i="9"/>
  <c r="M53" i="9" s="1"/>
  <c r="L68" i="9"/>
  <c r="M68" i="9" s="1"/>
  <c r="L64" i="9"/>
  <c r="M64" i="9" s="1"/>
  <c r="L63" i="9"/>
  <c r="M63" i="9" s="1"/>
  <c r="L67" i="9"/>
  <c r="M67" i="9" s="1"/>
  <c r="L66" i="9"/>
  <c r="M66" i="9" s="1"/>
  <c r="L65" i="9"/>
  <c r="M65" i="9" s="1"/>
  <c r="C95" i="9"/>
  <c r="C96" i="9" s="1"/>
  <c r="E96" i="9" s="1"/>
  <c r="E97" i="9" s="1"/>
  <c r="D8" i="52"/>
  <c r="G14" i="74"/>
  <c r="B6" i="74" s="1"/>
  <c r="D123" i="9"/>
  <c r="D9" i="52" s="1"/>
  <c r="C79" i="9"/>
  <c r="C80" i="9" s="1"/>
  <c r="E80" i="9" s="1"/>
  <c r="E81" i="9" s="1"/>
  <c r="D14" i="53"/>
  <c r="B32" i="72" s="1"/>
  <c r="B30" i="72"/>
  <c r="P57" i="80"/>
  <c r="N58" i="80"/>
  <c r="N59" i="80"/>
  <c r="C81" i="9"/>
  <c r="C97" i="9"/>
  <c r="D58" i="9" s="1"/>
  <c r="D56" i="9" s="1"/>
  <c r="M54" i="9" s="1"/>
  <c r="N57" i="9" s="1"/>
  <c r="C6" i="74" l="1"/>
  <c r="D6" i="74"/>
  <c r="M69" i="9"/>
  <c r="N69" i="9" s="1"/>
  <c r="P57" i="9"/>
  <c r="N58" i="9"/>
  <c r="N59" i="9"/>
  <c r="N60" i="80"/>
  <c r="N61" i="80"/>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<sst xmlns="http://schemas.openxmlformats.org/spreadsheetml/2006/main" count="15477" uniqueCount="3763">
  <si>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</si>
  <si>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</si>
  <si>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</si>
  <si>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</si>
  <si>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</si>
  <si>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</si>
  <si>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</si>
  <si>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</si>
  <si>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</si>
  <si>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</si>
  <si>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</si>
  <si>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</si>
  <si>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</si>
  <si>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</si>
  <si>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</si>
  <si>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</si>
  <si>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</si>
  <si>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</si>
  <si>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</si>
  <si>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</si>
  <si>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</si>
  <si>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</si>
  <si>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</si>
  <si>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</si>
  <si>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</si>
  <si>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</si>
  <si>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</si>
  <si>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</si>
  <si>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</si>
  <si>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</si>
  <si>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</si>
  <si>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</si>
  <si>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</si>
  <si>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</si>
  <si>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</si>
  <si>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</si>
  <si>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</si>
  <si>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</si>
  <si>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</si>
  <si>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</si>
  <si>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</si>
  <si>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</si>
  <si>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</si>
  <si>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</si>
  <si>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</si>
  <si>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</si>
  <si>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</si>
  <si>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</si>
  <si>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</si>
  <si>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</si>
  <si>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</si>
  <si>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</si>
  <si>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</si>
  <si>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</si>
  <si>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</si>
  <si>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</si>
  <si>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</si>
  <si>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</si>
  <si>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</si>
  <si>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</si>
  <si>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</si>
  <si>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</si>
  <si>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</si>
  <si>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</si>
  <si>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</si>
  <si>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</si>
  <si>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</si>
  <si>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</si>
  <si>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</si>
  <si>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</si>
  <si>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</si>
  <si>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</si>
  <si>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</si>
  <si>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</si>
  <si>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</si>
  <si>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</si>
  <si>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</si>
  <si>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</si>
  <si>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</si>
  <si>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</si>
  <si>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</si>
  <si>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</si>
  <si>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</si>
  <si>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</si>
  <si>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</si>
  <si>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</si>
  <si>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</si>
  <si>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</si>
  <si>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</si>
  <si>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</si>
  <si>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</si>
  <si>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</si>
  <si>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</si>
  <si>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</si>
  <si>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</si>
  <si>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</si>
  <si>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</si>
  <si>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</si>
  <si>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</si>
  <si>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</si>
  <si>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</si>
  <si>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</si>
  <si>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</si>
  <si>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</si>
  <si>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</si>
  <si>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</si>
  <si>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</si>
  <si>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</si>
  <si>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</si>
  <si>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</si>
  <si>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</si>
  <si>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</si>
  <si>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</si>
  <si>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</si>
  <si>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</si>
  <si>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</si>
  <si>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</si>
  <si>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</si>
  <si>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</si>
  <si>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</si>
  <si>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</si>
  <si>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</si>
  <si>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</si>
  <si>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</si>
  <si>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</si>
  <si>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</si>
  <si>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</si>
  <si>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</si>
  <si>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</si>
  <si>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</si>
  <si>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</si>
  <si>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</si>
  <si>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</si>
  <si>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</si>
  <si>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</si>
  <si>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</si>
  <si>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</si>
  <si>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</si>
  <si>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</si>
  <si>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</si>
  <si>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</si>
  <si>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</si>
  <si>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</si>
  <si>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</si>
  <si>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</si>
  <si>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</si>
  <si>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</si>
  <si>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</si>
  <si>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</si>
  <si>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</si>
  <si>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</si>
  <si>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</si>
  <si>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</si>
  <si>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</si>
  <si>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</si>
  <si>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</si>
  <si>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</si>
  <si>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</si>
  <si>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</si>
  <si>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</si>
  <si>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</si>
  <si>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</si>
  <si>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</si>
  <si>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</si>
  <si>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</si>
  <si>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</si>
  <si>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</si>
  <si>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</si>
  <si>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</si>
  <si>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</si>
  <si>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</si>
  <si>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</si>
  <si>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</si>
  <si>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</si>
  <si>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</si>
  <si>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</si>
  <si>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</si>
  <si>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</si>
  <si>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</si>
  <si>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</si>
  <si>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</si>
  <si>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</si>
  <si>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</si>
  <si>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</si>
  <si>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</si>
  <si>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</si>
  <si>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</si>
  <si>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</si>
  <si>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</si>
  <si>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</si>
  <si>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</si>
  <si>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</si>
  <si>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</si>
  <si>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</si>
  <si>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</si>
  <si>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</si>
  <si>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</si>
  <si>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</si>
  <si>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</si>
  <si>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</si>
  <si>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</si>
  <si>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</si>
  <si>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</si>
  <si>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</si>
  <si>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</si>
  <si>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</si>
  <si>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</si>
  <si>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</si>
  <si>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</si>
  <si>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</si>
  <si>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</si>
  <si>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</si>
  <si>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</si>
  <si>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</si>
  <si>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</si>
  <si>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</si>
  <si>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</si>
  <si>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</si>
  <si>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</si>
  <si>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</si>
  <si>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</si>
  <si>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</si>
  <si>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</si>
  <si>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</si>
  <si>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</si>
  <si>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</si>
  <si>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</si>
  <si>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</si>
  <si>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</si>
  <si>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</si>
  <si>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</si>
  <si>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</si>
  <si>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</si>
  <si>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</si>
  <si>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</si>
  <si>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</si>
  <si>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</si>
  <si>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</si>
  <si>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</si>
  <si>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</si>
  <si>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</si>
  <si>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</si>
  <si>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</si>
  <si>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</si>
  <si>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</si>
  <si>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</si>
  <si>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</si>
  <si>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</si>
  <si>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</si>
  <si>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</si>
  <si>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</si>
  <si>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</si>
  <si>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</si>
  <si>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</si>
  <si>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</si>
  <si>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</si>
  <si>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</si>
  <si>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</si>
  <si>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</si>
  <si>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</si>
  <si>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</si>
  <si>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</si>
  <si>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</si>
  <si>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</si>
  <si>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</si>
  <si>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</si>
  <si>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</si>
  <si>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</si>
  <si>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</si>
  <si>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</si>
  <si>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</si>
  <si>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</si>
  <si>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</si>
  <si>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</si>
  <si>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</si>
  <si>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</si>
  <si>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</si>
  <si>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</si>
  <si>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</si>
  <si>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</si>
  <si>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</si>
  <si>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</si>
  <si>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</si>
  <si>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</si>
  <si>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</si>
  <si>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</si>
  <si>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</si>
  <si>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</si>
  <si>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</si>
  <si>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</si>
  <si>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</si>
  <si>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</si>
  <si>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</si>
  <si>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</si>
  <si>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</si>
  <si>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</si>
  <si>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</si>
  <si>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</si>
  <si>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</si>
  <si>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</si>
  <si>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</si>
  <si>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</si>
  <si>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</si>
  <si>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</si>
  <si>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</si>
  <si>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</si>
  <si>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</si>
  <si>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</si>
  <si>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</si>
  <si>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</si>
  <si>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</si>
  <si>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</si>
  <si>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</si>
  <si>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</si>
  <si>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</si>
  <si>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</si>
  <si>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</si>
  <si>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</si>
  <si>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</si>
  <si>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</si>
  <si>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</si>
  <si>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</si>
  <si>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</si>
  <si>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</si>
  <si>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</si>
  <si>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</si>
  <si>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</si>
  <si>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</si>
  <si>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</si>
  <si>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</si>
  <si>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</si>
  <si>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</si>
  <si>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</si>
  <si>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</si>
  <si>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</si>
  <si>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</si>
  <si>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</si>
  <si>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</si>
  <si>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</si>
  <si>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</si>
  <si>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</si>
  <si>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</si>
  <si>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</si>
  <si>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</si>
  <si>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</si>
  <si>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</si>
  <si>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</si>
  <si>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</si>
  <si>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</si>
  <si>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</si>
  <si>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</si>
  <si>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</si>
  <si>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</si>
  <si>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</si>
  <si>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</si>
  <si>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</si>
  <si>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</si>
  <si>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</si>
  <si>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</si>
  <si>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</si>
  <si>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</si>
  <si>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</si>
  <si>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</si>
  <si>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</si>
  <si>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</si>
  <si>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</si>
  <si>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</si>
  <si>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</si>
  <si>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</si>
  <si>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</si>
  <si>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</si>
  <si>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</si>
  <si>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</si>
  <si>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</si>
  <si>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</si>
  <si>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</si>
  <si>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</si>
  <si>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</si>
  <si>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</si>
  <si>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</si>
  <si>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</si>
  <si>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</si>
  <si>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</si>
  <si>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</si>
  <si>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</si>
  <si>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</si>
  <si>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</si>
  <si>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</si>
  <si>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</si>
  <si>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</si>
  <si>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</si>
  <si>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</si>
  <si>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</si>
  <si>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</si>
  <si>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</si>
  <si>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</si>
  <si>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</si>
  <si>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</si>
  <si>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</si>
  <si>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</si>
  <si>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</si>
  <si>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</si>
  <si>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</si>
  <si>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</si>
  <si>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</si>
  <si>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</si>
  <si>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</si>
  <si>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</si>
  <si>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</si>
  <si>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</si>
  <si>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</si>
  <si>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</si>
  <si>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</si>
  <si>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</si>
  <si>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</si>
  <si>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</si>
  <si>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</si>
  <si>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</si>
  <si>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</si>
  <si>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</si>
  <si>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</si>
  <si>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</si>
  <si>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</si>
  <si>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</si>
  <si>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</si>
  <si>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</si>
  <si>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</si>
  <si>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</si>
  <si>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</si>
  <si>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</si>
  <si>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</si>
  <si>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</si>
  <si>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</si>
  <si>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</si>
  <si>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</si>
  <si>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</si>
  <si>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</si>
  <si>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</si>
  <si>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</si>
  <si>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</si>
  <si>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</si>
  <si>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</si>
  <si>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</si>
  <si>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</si>
  <si>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</si>
  <si>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</si>
  <si>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</si>
  <si>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</si>
  <si>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</si>
  <si>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</si>
  <si>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</si>
  <si>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</si>
  <si>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</si>
  <si>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</si>
  <si>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</si>
  <si>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</si>
  <si>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</si>
  <si>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</si>
  <si>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</si>
  <si>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</si>
  <si>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</si>
  <si>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</si>
  <si>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</si>
  <si>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</si>
  <si>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</si>
  <si>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</si>
  <si>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</si>
  <si>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</si>
  <si>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</si>
  <si>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</si>
  <si>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</si>
  <si>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</si>
  <si>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</si>
  <si>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</si>
  <si>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</si>
  <si>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</si>
  <si>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</si>
  <si>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</si>
  <si>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</si>
  <si>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</si>
  <si>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</si>
  <si>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</si>
  <si>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</si>
  <si>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</si>
  <si>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</si>
  <si>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</si>
  <si>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</si>
  <si>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</si>
  <si>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</si>
  <si>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</si>
  <si>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</si>
  <si>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</si>
  <si>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</si>
  <si>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</si>
  <si>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</si>
  <si>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</si>
  <si>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</si>
  <si>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</si>
  <si>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</si>
  <si>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</si>
  <si>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</si>
  <si>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</si>
  <si>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</si>
  <si>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</si>
  <si>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</si>
  <si>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</si>
  <si>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</si>
  <si>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</si>
  <si>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</si>
  <si>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</si>
  <si>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</si>
  <si>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</si>
  <si>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</si>
  <si>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</si>
  <si>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</si>
  <si>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</si>
  <si>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</si>
  <si>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</si>
  <si>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</si>
  <si>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</si>
  <si>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</si>
  <si>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</si>
  <si>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</si>
  <si>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</si>
  <si>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</si>
  <si>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</si>
  <si>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</si>
  <si>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</si>
  <si>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</si>
  <si>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</si>
  <si>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</si>
  <si>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</si>
  <si>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</si>
  <si>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</si>
  <si>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</si>
  <si>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</si>
  <si>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</si>
  <si>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</si>
  <si>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</si>
  <si>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</si>
  <si>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</si>
  <si>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</si>
  <si>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</si>
  <si>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</si>
  <si>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</si>
  <si>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</si>
  <si>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</si>
  <si>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</si>
  <si>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</si>
  <si>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</si>
  <si>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</si>
  <si>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</si>
  <si>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</si>
  <si>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</si>
  <si>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</si>
  <si>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</si>
  <si>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</si>
  <si>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</si>
  <si>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</si>
  <si>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</si>
  <si>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</si>
  <si>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</si>
  <si>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</si>
  <si>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</si>
  <si>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</si>
  <si>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</si>
  <si>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</si>
  <si>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</si>
  <si>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</si>
  <si>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</si>
  <si>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</si>
  <si>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</si>
  <si>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</si>
  <si>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</si>
  <si>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</si>
  <si>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</si>
  <si>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</si>
  <si>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</si>
  <si>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</si>
  <si>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</si>
  <si>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</si>
  <si>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</si>
  <si>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</si>
  <si>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</si>
  <si>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</si>
  <si>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</si>
  <si>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</si>
  <si>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</si>
  <si>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</si>
  <si>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</si>
  <si>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</si>
  <si>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</si>
  <si>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</si>
  <si>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</si>
  <si>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</si>
  <si>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</si>
  <si>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</si>
  <si>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</si>
  <si>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</si>
  <si>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</si>
  <si>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</si>
  <si>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</si>
  <si>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</si>
  <si>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</si>
  <si>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</si>
  <si>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</si>
  <si>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</si>
  <si>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</si>
  <si>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</si>
  <si>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</si>
  <si>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</si>
  <si>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</si>
  <si>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</si>
  <si>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</si>
  <si>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</si>
  <si>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</si>
  <si>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</si>
  <si>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</si>
  <si>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</si>
  <si>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</si>
  <si>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</si>
  <si>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</si>
  <si>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</si>
  <si>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</si>
  <si>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</si>
  <si>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</si>
  <si>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</si>
  <si>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</si>
  <si>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</si>
  <si>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</si>
  <si>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</si>
  <si>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</si>
  <si>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</si>
  <si>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</si>
  <si>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</si>
  <si>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</si>
  <si>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</si>
  <si>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</si>
  <si>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</si>
  <si>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</si>
  <si>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</si>
  <si>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</si>
  <si>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</si>
  <si>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</si>
  <si>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</si>
  <si>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</si>
  <si>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</si>
  <si>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</si>
  <si>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</si>
  <si>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</si>
  <si>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</si>
  <si>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</si>
  <si>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</si>
  <si>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</si>
  <si>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</si>
  <si>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</si>
  <si>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</si>
  <si>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</si>
  <si>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</si>
  <si>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</si>
  <si>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</si>
  <si>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</si>
  <si>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</si>
  <si>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</si>
  <si>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</si>
  <si>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</si>
  <si>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</si>
  <si>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</si>
  <si>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</si>
  <si>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</si>
  <si>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</si>
  <si>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</si>
  <si>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</si>
  <si>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</si>
  <si>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</si>
  <si>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</si>
  <si>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</si>
  <si>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</si>
  <si>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</si>
  <si>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</si>
  <si>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</si>
  <si>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</si>
  <si>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</si>
  <si>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</si>
  <si>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</si>
  <si>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</si>
  <si>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</si>
  <si>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</si>
  <si>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</si>
  <si>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</si>
  <si>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</si>
  <si>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</si>
  <si>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</si>
  <si>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</si>
  <si>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</si>
  <si>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</si>
  <si>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</si>
  <si>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</si>
  <si>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</si>
  <si>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</si>
  <si>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</si>
  <si>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</si>
  <si>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</si>
  <si>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</si>
  <si>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</si>
  <si>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</si>
  <si>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</si>
  <si>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</si>
  <si>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</si>
  <si>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</si>
  <si>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</si>
  <si>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</si>
  <si>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</si>
  <si>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</si>
  <si>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</si>
  <si>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</si>
  <si>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</si>
  <si>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</si>
  <si>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</si>
  <si>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</si>
  <si>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</si>
  <si>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</si>
  <si>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</si>
  <si>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</si>
  <si>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</si>
  <si>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</si>
  <si>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</si>
  <si>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</si>
  <si>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</si>
  <si>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</si>
  <si>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</si>
  <si>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</si>
  <si>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</si>
  <si>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</si>
  <si>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</si>
  <si>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</si>
  <si>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</si>
  <si>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</si>
  <si>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</si>
  <si>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</si>
  <si>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</si>
  <si>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</si>
  <si>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</si>
  <si>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</si>
  <si>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</si>
  <si>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</si>
  <si>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</si>
  <si>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</si>
  <si>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</si>
  <si>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</si>
  <si>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</si>
  <si>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</si>
  <si>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</si>
  <si>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</si>
  <si>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</si>
  <si>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</si>
  <si>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</si>
  <si>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</si>
  <si>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</si>
  <si>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</si>
  <si>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</si>
  <si>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</si>
  <si>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</si>
  <si>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</si>
  <si>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</si>
  <si>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</si>
  <si>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</si>
  <si>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</si>
  <si>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</si>
  <si>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</si>
  <si>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</si>
  <si>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</si>
  <si>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</si>
  <si>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</si>
  <si>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</si>
  <si>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</si>
  <si>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</si>
  <si>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</si>
  <si>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</si>
  <si>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</si>
  <si>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</si>
  <si>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</si>
  <si>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</si>
  <si>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</si>
  <si>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</si>
  <si>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</si>
  <si>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</si>
  <si>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</si>
  <si>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</si>
  <si>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</si>
  <si>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</si>
  <si>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</si>
  <si>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</si>
  <si>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</si>
  <si>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</si>
  <si>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</si>
  <si>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</si>
  <si>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</si>
  <si>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</si>
  <si>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</si>
  <si>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</si>
  <si>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</si>
  <si>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</si>
  <si>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</si>
  <si>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</si>
  <si>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</si>
  <si>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</si>
  <si>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</si>
  <si>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</si>
  <si>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</si>
  <si>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</si>
  <si>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</si>
  <si>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</si>
  <si>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</si>
  <si>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</si>
  <si>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</si>
  <si>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</si>
  <si>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</si>
  <si>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</si>
  <si>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</si>
  <si>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</si>
  <si>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</si>
  <si>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</si>
  <si>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</si>
  <si>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</si>
  <si>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</si>
  <si>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</si>
  <si>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</si>
  <si>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</si>
  <si>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</si>
  <si>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</si>
  <si>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</si>
  <si>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</si>
  <si>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</si>
  <si>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</si>
  <si>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</si>
  <si>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</si>
  <si>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</si>
  <si>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</si>
  <si>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</si>
  <si>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</si>
  <si>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</si>
  <si>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</si>
  <si>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</si>
  <si>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</si>
  <si>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</si>
  <si>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</si>
  <si>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</si>
  <si>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</si>
  <si>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</si>
  <si>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</si>
  <si>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</si>
  <si>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</si>
  <si>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</si>
  <si>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</si>
  <si>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</si>
  <si>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</si>
  <si>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</si>
  <si>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</si>
  <si>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</si>
  <si>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</si>
  <si>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</si>
  <si>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</si>
  <si>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</si>
  <si>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</si>
  <si>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</si>
  <si>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</si>
  <si>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</si>
  <si>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</si>
  <si>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</si>
  <si>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</si>
  <si>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</si>
  <si>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</si>
  <si>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</si>
  <si>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</si>
  <si>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</si>
  <si>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</si>
  <si>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</si>
  <si>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</si>
  <si>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</si>
  <si>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</si>
  <si>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</si>
  <si>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</si>
  <si>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</si>
  <si>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</si>
  <si>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</si>
  <si>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</si>
  <si>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</si>
  <si>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</si>
  <si>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</si>
  <si>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</si>
  <si>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</si>
  <si>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</si>
  <si>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</si>
  <si>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</si>
  <si>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</si>
  <si>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</si>
  <si>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</si>
  <si>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</si>
  <si>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</si>
  <si>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</si>
  <si>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</si>
  <si>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</si>
  <si>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</si>
  <si>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</si>
  <si>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</si>
  <si>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</si>
  <si>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</si>
  <si>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</si>
  <si>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</si>
  <si>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</si>
  <si>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</si>
  <si>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</si>
  <si>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</si>
  <si>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</si>
  <si>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</si>
  <si>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</si>
  <si>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</si>
  <si>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</si>
  <si>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</si>
  <si>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</si>
  <si>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</si>
  <si>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</si>
  <si>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</si>
  <si>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</si>
  <si>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</si>
  <si>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</si>
  <si>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</si>
  <si>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</si>
  <si>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</si>
  <si>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</si>
  <si>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</si>
  <si>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</si>
  <si>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</si>
  <si>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</si>
  <si>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</si>
  <si>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</si>
  <si>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</si>
  <si>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</si>
  <si>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</si>
  <si>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</si>
  <si>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</si>
  <si>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</si>
  <si>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</si>
  <si>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</si>
  <si>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</si>
  <si>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</si>
  <si>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</si>
  <si>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</si>
  <si>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</si>
  <si>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</si>
  <si>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</si>
  <si>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</si>
  <si>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</si>
  <si>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</si>
  <si>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</si>
  <si>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</si>
  <si>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</si>
  <si>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</si>
  <si>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</si>
  <si>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</si>
  <si>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</si>
  <si>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</si>
  <si>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</si>
  <si>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</si>
  <si>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</si>
  <si>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</si>
  <si>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</si>
  <si>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</si>
  <si>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</si>
  <si>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</si>
  <si>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</si>
  <si>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</si>
  <si>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</si>
  <si>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</si>
  <si>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</si>
  <si>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</si>
  <si>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</si>
  <si>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</si>
  <si>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</si>
  <si>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</si>
  <si>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</si>
  <si>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</si>
  <si>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</si>
  <si>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</si>
  <si>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</si>
  <si>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</si>
  <si>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</si>
  <si>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</si>
  <si>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</si>
  <si>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</si>
  <si>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</si>
  <si>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</si>
  <si>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</si>
  <si>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</si>
  <si>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</si>
  <si>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</si>
  <si>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</si>
  <si>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</si>
  <si>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</si>
  <si>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</si>
  <si>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</si>
  <si>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</si>
  <si>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</si>
  <si>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</si>
  <si>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</si>
  <si>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</si>
  <si>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</si>
  <si>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</si>
  <si>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</si>
  <si>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</si>
  <si>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</si>
  <si>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</si>
  <si>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</si>
  <si>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</si>
  <si>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</si>
  <si>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</si>
  <si>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</si>
  <si>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</si>
  <si>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</si>
  <si>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</si>
  <si>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</si>
  <si>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</si>
  <si>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</si>
  <si>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</si>
  <si>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</si>
  <si>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</si>
  <si>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</si>
  <si>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</si>
  <si>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</si>
  <si>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</si>
  <si>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</si>
  <si>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</si>
  <si>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</si>
  <si>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</si>
  <si>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</si>
  <si>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</si>
  <si>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</si>
  <si>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</si>
  <si>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</si>
  <si>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</si>
  <si>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</si>
  <si>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</si>
  <si>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</si>
  <si>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</si>
  <si>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</si>
  <si>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</si>
  <si>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</si>
  <si>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</si>
  <si>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</si>
  <si>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</si>
  <si>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</si>
  <si>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</si>
  <si>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</si>
  <si>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</si>
  <si>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</si>
  <si>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</si>
  <si>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</si>
  <si>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</si>
  <si>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</si>
  <si>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</si>
  <si>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</si>
  <si>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</si>
  <si>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</si>
  <si>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</si>
  <si>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</si>
  <si>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</si>
  <si>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</si>
  <si>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</si>
  <si>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</si>
  <si>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</si>
  <si>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</si>
  <si>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</si>
  <si>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</si>
  <si>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</si>
  <si>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</si>
  <si>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</si>
  <si>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</si>
  <si>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</si>
  <si>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</si>
  <si>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</si>
  <si>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</si>
  <si>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</si>
  <si>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</si>
  <si>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</si>
  <si>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</si>
  <si>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</si>
  <si>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</si>
  <si>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</si>
  <si>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</si>
  <si>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</si>
  <si>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</si>
  <si>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</si>
  <si>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</si>
  <si>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</si>
  <si>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</si>
  <si>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</si>
  <si>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</si>
  <si>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</si>
  <si>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</si>
  <si>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</si>
  <si>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</si>
  <si>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</si>
  <si>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</si>
  <si>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</si>
  <si>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</si>
  <si>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</si>
  <si>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</si>
  <si>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</si>
  <si>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</si>
  <si>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</si>
  <si>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</si>
  <si>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</si>
  <si>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</si>
  <si>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</si>
  <si>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</si>
  <si>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</si>
  <si>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</si>
  <si>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</si>
  <si>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</si>
  <si>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</si>
  <si>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</si>
  <si>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</si>
  <si>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</si>
  <si>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</si>
  <si>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</si>
  <si>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</si>
  <si>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</si>
  <si>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</si>
  <si>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</si>
  <si>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</si>
  <si>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</si>
  <si>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</si>
  <si>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</si>
  <si>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</si>
  <si>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</si>
  <si>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</si>
  <si>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</si>
  <si>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</si>
  <si>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</si>
  <si>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</si>
  <si>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</si>
  <si>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</si>
  <si>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</si>
  <si>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</si>
  <si>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</si>
  <si>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</si>
  <si>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</si>
  <si>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</si>
  <si>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</si>
  <si>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</si>
  <si>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</si>
  <si>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</si>
  <si>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</si>
  <si>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</si>
  <si>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</si>
  <si>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</si>
  <si>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</si>
  <si>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</si>
  <si>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</si>
  <si>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</si>
  <si>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</si>
  <si>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</si>
  <si>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</si>
  <si>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</si>
  <si>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</si>
  <si>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</si>
  <si>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</si>
  <si>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</si>
  <si>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</si>
  <si>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</si>
  <si>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</si>
  <si>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</si>
  <si>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</si>
  <si>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</si>
  <si>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</si>
  <si>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</si>
  <si>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</si>
  <si>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</si>
  <si>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</si>
  <si>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</si>
  <si>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</si>
  <si>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</si>
  <si>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</si>
  <si>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</si>
  <si>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</si>
  <si>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</si>
  <si>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</si>
  <si>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</si>
  <si>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</si>
  <si>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</si>
  <si>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</si>
  <si>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</si>
  <si>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</si>
  <si>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</si>
  <si>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</si>
  <si>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</si>
  <si>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</si>
  <si>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</si>
  <si>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</si>
  <si>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</si>
  <si>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</si>
  <si>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</si>
  <si>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</si>
  <si>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</si>
  <si>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</si>
  <si>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</si>
  <si>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</si>
  <si>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</si>
  <si>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</si>
  <si>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</si>
  <si>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</si>
  <si>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</si>
  <si>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</si>
  <si>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</si>
  <si>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</si>
  <si>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</si>
  <si>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</si>
  <si>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</si>
  <si>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</si>
  <si>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</si>
  <si>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</si>
  <si>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</si>
  <si>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</si>
  <si>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</si>
  <si>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</si>
  <si>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</si>
  <si>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</si>
  <si>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</si>
  <si>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</si>
  <si>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</si>
  <si>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</si>
  <si>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</si>
  <si>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</si>
  <si>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</si>
  <si>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</si>
  <si>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</si>
  <si>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</si>
  <si>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</si>
  <si>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</si>
  <si>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</si>
  <si>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</si>
  <si>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</si>
  <si>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</si>
  <si>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</si>
  <si>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</si>
  <si>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</si>
  <si>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</si>
  <si>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</si>
  <si>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</si>
  <si>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</si>
  <si>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</si>
  <si>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</si>
  <si>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</si>
  <si>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</si>
  <si>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</si>
  <si>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</si>
  <si>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</si>
  <si>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</si>
  <si>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</si>
  <si>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</si>
  <si>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</si>
  <si>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</si>
  <si>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</si>
  <si>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</si>
  <si>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</si>
  <si>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</si>
  <si>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</si>
  <si>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</si>
  <si>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</si>
  <si>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</si>
  <si>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</si>
  <si>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</si>
  <si>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</si>
  <si>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</si>
  <si>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</si>
  <si>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</si>
  <si>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</si>
  <si>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</si>
  <si>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</si>
  <si>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</si>
  <si>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</si>
  <si>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</si>
  <si>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</si>
  <si>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</si>
  <si>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</si>
  <si>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</si>
  <si>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</si>
  <si>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</si>
  <si>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</si>
  <si>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</si>
  <si>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</si>
  <si>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</si>
  <si>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</si>
  <si>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</si>
  <si>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</si>
  <si>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</si>
  <si>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</si>
  <si>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</si>
  <si>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</si>
  <si>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</si>
  <si>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</si>
  <si>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</si>
  <si>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</si>
  <si>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</si>
  <si>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</si>
  <si>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</si>
  <si>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</si>
  <si>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</si>
  <si>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</si>
  <si>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</si>
  <si>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</si>
  <si>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</si>
  <si>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</si>
  <si>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</si>
  <si>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</si>
  <si>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</si>
  <si>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</si>
  <si>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</si>
  <si>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</si>
  <si>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</si>
  <si>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</si>
  <si>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</si>
  <si>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</si>
  <si>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</si>
  <si>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</si>
  <si>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</si>
  <si>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</si>
  <si>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</si>
  <si>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</si>
  <si>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</si>
  <si>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</si>
  <si>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</si>
  <si>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</si>
  <si>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</si>
  <si>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</si>
  <si>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</si>
  <si>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</si>
  <si>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</si>
  <si>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</si>
  <si>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</si>
  <si>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</si>
  <si>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</si>
  <si>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</si>
  <si>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</si>
  <si>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</si>
  <si>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</si>
  <si>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</si>
  <si>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</si>
  <si>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</si>
  <si>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</si>
  <si>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</si>
  <si>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</si>
  <si>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</si>
  <si>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</si>
  <si>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</si>
  <si>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</si>
  <si>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</si>
  <si>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</si>
  <si>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</si>
  <si>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</si>
  <si>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</si>
  <si>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</si>
  <si>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</si>
  <si>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</si>
  <si>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</si>
  <si>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</si>
  <si>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</si>
  <si>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</si>
  <si>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</si>
  <si>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</si>
  <si>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</si>
  <si>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</si>
  <si>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</si>
  <si>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</si>
  <si>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</si>
  <si>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</si>
  <si>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</si>
  <si>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</si>
  <si>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</si>
  <si>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</si>
  <si>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</si>
  <si>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</si>
  <si>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</si>
  <si>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</si>
  <si>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</si>
  <si>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</si>
  <si>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</si>
  <si>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</si>
  <si>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</si>
  <si>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</si>
  <si>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</si>
  <si>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</si>
  <si>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</si>
  <si>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</si>
  <si>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</si>
  <si>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</si>
  <si>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</si>
  <si>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</si>
  <si>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</si>
  <si>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</si>
  <si>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</si>
  <si>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</si>
  <si>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</si>
  <si>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</si>
  <si>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</si>
  <si>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</si>
  <si>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</si>
  <si>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</si>
  <si>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</si>
  <si>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</si>
  <si>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</si>
  <si>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</si>
  <si>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</si>
  <si>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</si>
  <si>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</si>
  <si>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</si>
  <si>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</si>
  <si>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</si>
  <si>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</si>
  <si>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</si>
  <si>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</si>
  <si>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</si>
  <si>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</si>
  <si>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</si>
  <si>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</si>
  <si>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</si>
  <si>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</si>
  <si>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</si>
  <si>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</si>
  <si>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</si>
  <si>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</si>
  <si>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</si>
  <si>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</si>
  <si>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</si>
  <si>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</si>
  <si>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</si>
  <si>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</si>
  <si>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</si>
  <si>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</si>
  <si>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</si>
  <si>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</si>
  <si>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</si>
  <si>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</si>
  <si>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</si>
  <si>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</si>
  <si>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</si>
  <si>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</si>
  <si>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</si>
  <si>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</si>
  <si>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</si>
  <si>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</si>
  <si>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</si>
  <si>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</si>
  <si>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</si>
  <si>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</si>
  <si>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</si>
  <si>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</si>
  <si>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</si>
  <si>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</si>
  <si>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</si>
  <si>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</si>
  <si>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</si>
  <si>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</si>
  <si>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</si>
  <si>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</si>
  <si>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</si>
  <si>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</si>
  <si>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</si>
  <si>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</si>
  <si>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</si>
  <si>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</si>
  <si>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</si>
  <si>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</si>
  <si>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</si>
  <si>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</si>
  <si>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</si>
  <si>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</si>
  <si>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</si>
  <si>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</si>
  <si>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</si>
  <si>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</si>
  <si>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</si>
  <si>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</si>
  <si>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</si>
  <si>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</si>
  <si>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</si>
  <si>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</si>
  <si>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</si>
  <si>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</si>
  <si>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</si>
  <si>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</si>
  <si>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</si>
  <si>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</si>
  <si>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</si>
  <si>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</si>
  <si>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</si>
  <si>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</si>
  <si>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</si>
  <si>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</si>
  <si>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</si>
  <si>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</si>
  <si>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</si>
  <si>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</si>
  <si>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</si>
  <si>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</si>
  <si>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</si>
  <si>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</si>
  <si>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</si>
  <si>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</si>
  <si>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</si>
  <si>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</si>
  <si>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</si>
  <si>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</si>
  <si>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</si>
  <si>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</si>
  <si>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</si>
  <si>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</si>
  <si>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</si>
  <si>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</si>
  <si>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</si>
  <si>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</si>
  <si>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</si>
  <si>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</si>
  <si>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</si>
  <si>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</si>
  <si>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</si>
  <si>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</si>
  <si>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</si>
  <si>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</si>
  <si>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</si>
  <si>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</si>
  <si>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</si>
  <si>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</si>
  <si>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</si>
  <si>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</si>
  <si>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</si>
  <si>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</si>
  <si>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</si>
  <si>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</si>
  <si>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</si>
  <si>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</si>
  <si>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</si>
  <si>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</si>
  <si>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</si>
  <si>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</si>
  <si>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</si>
  <si>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</si>
  <si>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</si>
  <si>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</si>
  <si>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</si>
  <si>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</si>
  <si>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</si>
  <si>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</si>
  <si>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</si>
  <si>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</si>
  <si>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</si>
  <si>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</si>
  <si>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</si>
  <si>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</si>
  <si>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</si>
  <si>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</si>
  <si>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</si>
  <si>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</si>
  <si>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</si>
  <si>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</si>
  <si>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</si>
  <si>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</si>
  <si>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</si>
  <si>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</si>
  <si>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</si>
  <si>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</si>
  <si>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</si>
  <si>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</si>
  <si>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</si>
  <si>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</si>
  <si>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</si>
  <si>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</si>
  <si>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</si>
  <si>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</si>
  <si>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</si>
  <si>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</si>
  <si>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</si>
  <si>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</si>
  <si>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</si>
  <si>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</si>
  <si>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</si>
  <si>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</si>
  <si>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</si>
  <si>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</si>
  <si>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</si>
  <si>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</si>
  <si>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</si>
  <si>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</si>
  <si>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</si>
  <si>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</si>
  <si>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</si>
  <si>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</si>
  <si>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</si>
  <si>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</si>
  <si>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</si>
  <si>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</si>
  <si>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</si>
  <si>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</si>
  <si>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</si>
  <si>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</si>
  <si>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</si>
  <si>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</si>
  <si>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</si>
  <si>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</si>
  <si>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</si>
  <si>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</si>
  <si>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</si>
  <si>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</si>
  <si>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</si>
  <si>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</si>
  <si>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</si>
  <si>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</si>
  <si>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</si>
  <si>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</si>
  <si>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</si>
  <si>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</si>
  <si>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</si>
  <si>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</si>
  <si>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</si>
  <si>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</si>
  <si>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</si>
  <si>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</si>
  <si>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</si>
  <si>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</si>
  <si>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</si>
  <si>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</si>
  <si>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</si>
  <si>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</si>
  <si>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</si>
  <si>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</si>
  <si>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</si>
  <si>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</si>
  <si>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</si>
  <si>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</si>
  <si>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</si>
  <si>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</si>
  <si>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</si>
  <si>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</si>
  <si>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</si>
  <si>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</si>
  <si>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</si>
  <si>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</si>
  <si>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</si>
  <si>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</si>
  <si>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</si>
  <si>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</si>
  <si>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</si>
  <si>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</si>
  <si>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</si>
  <si>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</si>
  <si>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</si>
  <si>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</si>
  <si>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</si>
  <si>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</si>
  <si>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</si>
  <si>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</si>
  <si>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</si>
  <si>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</si>
  <si>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</si>
  <si>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</si>
  <si>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</si>
  <si>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</si>
  <si>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</si>
  <si>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</si>
  <si>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</si>
  <si>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</si>
  <si>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</si>
  <si>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</si>
  <si>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</si>
  <si>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</si>
  <si>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</si>
  <si>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</si>
  <si>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</si>
  <si>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</si>
  <si>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</si>
  <si>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</si>
  <si>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</si>
  <si>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</si>
  <si>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</si>
  <si>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</si>
  <si>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</si>
  <si>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</si>
  <si>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</si>
  <si>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</si>
  <si>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</si>
  <si>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</si>
  <si>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</si>
  <si>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</si>
  <si>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</si>
  <si>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</si>
  <si>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</si>
  <si>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</si>
  <si>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</si>
  <si>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</si>
  <si>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</si>
  <si>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</si>
  <si>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</si>
  <si>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</si>
  <si>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</si>
  <si>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</si>
  <si>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</si>
  <si>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</si>
  <si>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</si>
  <si>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</si>
  <si>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</si>
  <si>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</si>
  <si>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</si>
  <si>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</si>
  <si>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</si>
  <si>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</si>
  <si>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</si>
  <si>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</si>
  <si>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</si>
  <si>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</si>
  <si>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</si>
  <si>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</si>
  <si>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</si>
  <si>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</si>
  <si>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</si>
  <si>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</si>
  <si>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</si>
  <si>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</si>
  <si>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</si>
  <si>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</si>
  <si>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</si>
  <si>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</si>
  <si>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</si>
  <si>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</si>
  <si>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</si>
  <si>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</si>
  <si>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</si>
  <si>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</si>
  <si>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</si>
  <si>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</si>
  <si>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</si>
  <si>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</si>
  <si>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</si>
  <si>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</si>
  <si>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</si>
  <si>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</si>
  <si>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</si>
  <si>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</si>
  <si>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</si>
  <si>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</si>
  <si>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</si>
  <si>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</si>
  <si>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</si>
  <si>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</si>
  <si>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</si>
  <si>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</si>
  <si>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</si>
  <si>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</si>
  <si>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</si>
  <si>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</si>
  <si>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</si>
  <si>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</si>
  <si>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</si>
  <si>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</si>
  <si>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</si>
  <si>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</si>
  <si>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</si>
  <si>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</si>
  <si>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</si>
  <si>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</si>
  <si>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</si>
  <si>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</si>
  <si>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</si>
  <si>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</si>
  <si>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</si>
  <si>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</si>
  <si>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</si>
  <si>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</si>
  <si>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</si>
  <si>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</si>
  <si>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</si>
  <si>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</si>
  <si>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</si>
  <si>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</si>
  <si>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</si>
  <si>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</si>
  <si>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</si>
  <si>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</si>
  <si>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</si>
  <si>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</si>
  <si>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</si>
  <si>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</si>
  <si>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</si>
  <si>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</si>
  <si>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</si>
  <si>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</si>
  <si>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</si>
  <si>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</si>
  <si>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</si>
  <si>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</si>
  <si>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</si>
  <si>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</si>
  <si>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</si>
  <si>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</si>
  <si>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</si>
  <si>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</si>
  <si>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</si>
  <si>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</si>
  <si>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</si>
  <si>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</si>
  <si>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</si>
  <si>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</si>
  <si>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</si>
  <si>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</si>
  <si>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</si>
  <si>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</si>
  <si>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</si>
  <si>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</si>
  <si>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</si>
  <si>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</si>
  <si>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</si>
  <si>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</si>
  <si>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</si>
  <si>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</si>
  <si>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</si>
  <si>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</si>
  <si>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</si>
  <si>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</si>
  <si>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</si>
  <si>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</si>
  <si>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</si>
  <si>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</si>
  <si>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</si>
  <si>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</si>
  <si>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</si>
  <si>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</si>
  <si>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</si>
  <si>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</si>
  <si>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</si>
  <si>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</si>
  <si>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</si>
  <si>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</si>
  <si>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</si>
  <si>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</si>
  <si>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</si>
  <si>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</si>
  <si>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</si>
  <si>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</si>
  <si>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</si>
  <si>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</si>
  <si>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</si>
  <si>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</si>
  <si>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</si>
  <si>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</si>
  <si>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</si>
  <si>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</si>
  <si>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</si>
  <si>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</si>
  <si>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</si>
  <si>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</si>
  <si>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</si>
  <si>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</si>
  <si>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</si>
  <si>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</si>
  <si>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</si>
  <si>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</si>
  <si>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</si>
  <si>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</si>
  <si>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</si>
  <si>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</si>
  <si>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</si>
  <si>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</si>
  <si>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</si>
  <si>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</si>
  <si>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</si>
  <si>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</si>
  <si>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</si>
  <si>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</si>
  <si>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</si>
  <si>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</si>
  <si>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</si>
  <si>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</si>
  <si>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</si>
  <si>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</si>
  <si>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</si>
  <si>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</si>
  <si>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</si>
  <si>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</si>
  <si>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</si>
  <si>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</si>
  <si>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</si>
  <si>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</si>
  <si>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</si>
  <si>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</si>
  <si>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</si>
  <si>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</si>
  <si>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</si>
  <si>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</si>
  <si>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</si>
  <si>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</si>
  <si>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</si>
  <si>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</si>
  <si>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</si>
  <si>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</si>
  <si>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</si>
  <si>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</si>
  <si>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</si>
  <si>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</si>
  <si>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</si>
  <si>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</si>
  <si>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</si>
  <si>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</si>
  <si>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</si>
  <si>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</si>
  <si>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</si>
  <si>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</si>
  <si>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</si>
  <si>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</si>
  <si>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</si>
  <si>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</si>
  <si>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</si>
  <si>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</si>
  <si>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</si>
  <si>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</si>
  <si>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</si>
  <si>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</si>
  <si>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</si>
  <si>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</si>
  <si>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</si>
  <si>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</si>
  <si>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</si>
  <si>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</si>
  <si>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</si>
  <si>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</si>
  <si>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</si>
  <si>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</si>
  <si>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</si>
  <si>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</si>
  <si>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</si>
  <si>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</si>
  <si>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</si>
  <si>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</si>
  <si>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</si>
  <si>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</si>
  <si>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</si>
  <si>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</si>
  <si>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</si>
  <si>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</si>
  <si>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</si>
  <si>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</si>
  <si>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</si>
  <si>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</si>
  <si>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</si>
  <si>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</si>
  <si>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</si>
  <si>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</si>
  <si>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</si>
  <si>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</si>
  <si>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</si>
  <si>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</si>
  <si>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</si>
  <si>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</si>
  <si>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</si>
  <si>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</si>
  <si>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</si>
  <si>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</si>
  <si>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</si>
  <si>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</si>
  <si>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</si>
  <si>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</si>
  <si>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</si>
  <si>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</si>
  <si>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</si>
  <si>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</si>
  <si>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</si>
  <si>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</si>
  <si>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</si>
  <si>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</si>
  <si>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</si>
  <si>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</si>
  <si>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</si>
  <si>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</si>
  <si>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</si>
  <si>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</si>
  <si>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</si>
  <si>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</si>
  <si>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</si>
  <si>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</si>
  <si>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</si>
  <si>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</si>
  <si>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</si>
  <si>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</si>
  <si>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</si>
  <si>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</si>
  <si>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</si>
  <si>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</si>
  <si>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</si>
  <si>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</si>
  <si>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</si>
  <si>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</si>
  <si>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</si>
  <si>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</si>
  <si>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</si>
  <si>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</si>
  <si>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</si>
  <si>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</si>
  <si>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</si>
  <si>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</si>
  <si>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</si>
  <si>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</si>
  <si>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</si>
  <si>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</si>
  <si>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</si>
  <si>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</si>
  <si>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</si>
  <si>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</si>
  <si>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</si>
  <si>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</si>
  <si>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</si>
  <si>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</si>
  <si>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</si>
  <si>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</si>
  <si>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</si>
  <si>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</si>
  <si>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</si>
  <si>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</si>
  <si>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</si>
  <si>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</si>
  <si>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</si>
  <si>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</si>
  <si>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</si>
  <si>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</si>
  <si>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</si>
  <si>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</si>
  <si>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</si>
  <si>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</si>
  <si>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</si>
  <si>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</si>
  <si>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</si>
  <si>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</si>
  <si>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</si>
  <si>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</si>
  <si>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</si>
  <si>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</si>
  <si>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</si>
  <si>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</si>
  <si>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</si>
  <si>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</si>
  <si>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</si>
  <si>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</si>
  <si>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</si>
  <si>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</si>
  <si>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</si>
  <si>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</si>
  <si>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</si>
  <si>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</si>
  <si>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</si>
  <si>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</si>
  <si>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</si>
  <si>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</si>
  <si>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</si>
  <si>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</si>
  <si>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</si>
  <si>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</si>
  <si>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</si>
  <si>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</si>
  <si>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</si>
  <si>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</si>
  <si>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</si>
  <si>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</si>
  <si>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</si>
  <si>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</si>
  <si>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</si>
  <si>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</si>
  <si>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</si>
  <si>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</si>
  <si>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</si>
  <si>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</si>
  <si>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</si>
  <si>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</si>
  <si>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</si>
  <si>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</si>
  <si>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</si>
  <si>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</si>
  <si>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</si>
  <si>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</si>
  <si>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</si>
  <si>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</si>
  <si>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</si>
  <si>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</si>
  <si>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</si>
  <si>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</si>
  <si>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</si>
  <si>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</si>
  <si>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</si>
  <si>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</si>
  <si>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</si>
  <si>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</si>
  <si>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</si>
  <si>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</si>
  <si>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</si>
  <si>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</si>
  <si>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</si>
  <si>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</si>
  <si>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</si>
  <si>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</si>
  <si>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</si>
  <si>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</si>
  <si>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</si>
  <si>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</si>
  <si>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</si>
  <si>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</si>
  <si>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</si>
  <si>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</si>
  <si>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</si>
  <si>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</si>
  <si>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</si>
  <si>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</si>
  <si>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</si>
  <si>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</si>
  <si>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</si>
  <si>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</si>
  <si>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</si>
  <si>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</si>
  <si>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</si>
  <si>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</si>
  <si>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</si>
  <si>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</si>
  <si>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</si>
  <si>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</si>
  <si>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</si>
  <si>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</si>
  <si>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</si>
  <si>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</si>
  <si>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</si>
  <si>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</si>
  <si>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</si>
  <si>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</si>
  <si>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</si>
  <si>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</si>
  <si>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</si>
  <si>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</si>
  <si>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</si>
  <si>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</si>
  <si>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</si>
  <si>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</si>
  <si>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</si>
  <si>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</si>
  <si>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</si>
  <si>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</si>
  <si>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</si>
  <si>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</si>
  <si>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</si>
  <si>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</si>
  <si>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</si>
  <si>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</si>
  <si>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</si>
  <si>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</si>
  <si>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</si>
  <si>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</si>
  <si>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</si>
  <si>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</si>
  <si>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</si>
  <si>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</si>
  <si>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</si>
  <si>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</si>
  <si>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</si>
  <si>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</si>
  <si>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</si>
  <si>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</si>
  <si>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</si>
  <si>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</si>
  <si>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</si>
  <si>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</si>
  <si>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</si>
  <si>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</si>
  <si>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</si>
  <si>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</si>
  <si>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</si>
  <si>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</si>
  <si>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</si>
  <si>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</si>
  <si>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</si>
  <si>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</si>
  <si>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</si>
  <si>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</si>
  <si>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</si>
  <si>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</si>
  <si>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</si>
  <si>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</si>
  <si>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</si>
  <si>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</si>
  <si>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</si>
  <si>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</si>
  <si>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</si>
  <si>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</si>
  <si>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</si>
  <si>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</si>
  <si>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</si>
  <si>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</si>
  <si>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</si>
  <si>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</si>
  <si>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</si>
  <si>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</si>
  <si>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</si>
  <si>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</si>
  <si>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</si>
  <si>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</si>
  <si>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</si>
  <si>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</si>
  <si>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</si>
  <si>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</si>
  <si>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</si>
  <si>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</si>
  <si>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</si>
  <si>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</si>
  <si>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</si>
  <si>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</si>
  <si>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</si>
  <si>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</si>
  <si>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</si>
  <si>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</si>
  <si>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</si>
  <si>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</si>
  <si>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</si>
  <si>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</si>
  <si>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</si>
  <si>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</si>
  <si>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</si>
  <si>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</si>
  <si>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</si>
  <si>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</si>
  <si>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</si>
  <si>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</si>
  <si>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</si>
  <si>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</si>
  <si>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</si>
  <si>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</si>
  <si>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</si>
  <si>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</si>
  <si>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</si>
  <si>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</si>
  <si>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</si>
  <si>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</si>
  <si>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</si>
  <si>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</si>
  <si>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</si>
  <si>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</si>
  <si>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</si>
  <si>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</si>
  <si>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</si>
  <si>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</si>
  <si>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</si>
  <si>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</si>
  <si>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</si>
  <si>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</si>
  <si>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</si>
  <si>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</si>
  <si>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</si>
  <si>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</si>
  <si>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</si>
  <si>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</si>
  <si>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</si>
  <si>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</si>
  <si>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</si>
  <si>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</si>
  <si>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</si>
  <si>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</si>
  <si>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</si>
  <si>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</si>
  <si>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</si>
  <si>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</si>
  <si>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</si>
  <si>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</si>
  <si>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</si>
  <si>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</si>
  <si>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</si>
  <si>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</si>
  <si>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</si>
  <si>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</si>
  <si>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</si>
  <si>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</si>
  <si>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</si>
  <si>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</si>
  <si>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</si>
  <si>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</si>
  <si>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</si>
  <si>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</si>
  <si>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</si>
  <si>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</si>
  <si>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</si>
  <si>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</si>
  <si>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</si>
  <si>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</si>
  <si>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</si>
  <si>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</si>
  <si>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</si>
  <si>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</si>
  <si>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</si>
  <si>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</si>
  <si>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</si>
  <si>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</si>
  <si>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</si>
  <si>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</si>
  <si>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</si>
  <si>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</si>
  <si>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</si>
  <si>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</si>
  <si>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</si>
  <si>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</si>
  <si>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</si>
  <si>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</si>
  <si>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</si>
  <si>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</si>
  <si>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</si>
  <si>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</si>
  <si>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</si>
  <si>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</si>
  <si>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</si>
  <si>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</si>
  <si>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</si>
  <si>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</si>
  <si>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</si>
  <si>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</si>
  <si>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</si>
  <si>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</si>
  <si>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</si>
  <si>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</si>
  <si>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</si>
  <si>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</si>
  <si>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</si>
  <si>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</si>
  <si>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</si>
  <si>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</si>
  <si>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</si>
  <si>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</si>
  <si>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</si>
  <si>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</si>
  <si>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</si>
  <si>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</si>
  <si>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</si>
  <si>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</si>
  <si>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</si>
  <si>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</si>
  <si>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</si>
  <si>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</si>
  <si>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</si>
  <si>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</si>
  <si>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</si>
  <si>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</si>
  <si>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</si>
  <si>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</si>
  <si>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</si>
  <si>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</si>
  <si>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</si>
  <si>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</si>
  <si>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</si>
  <si>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</si>
  <si>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</si>
  <si>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</si>
  <si>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</si>
  <si>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</si>
  <si>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</si>
  <si>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</si>
  <si>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</si>
  <si>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</si>
  <si>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</si>
  <si>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</si>
  <si>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</si>
  <si>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</si>
  <si>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</si>
  <si>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</si>
  <si>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</si>
  <si>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</si>
  <si>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</si>
  <si>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</si>
  <si>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</si>
  <si>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</si>
  <si>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</si>
  <si>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</si>
  <si>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</si>
  <si>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</si>
  <si>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</si>
  <si>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</si>
  <si>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</si>
  <si>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</si>
  <si>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</si>
  <si>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</si>
  <si>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</si>
  <si>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</si>
  <si>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</si>
  <si>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</si>
  <si>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</si>
  <si>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</si>
  <si>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</si>
  <si>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</si>
  <si>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</si>
  <si>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</si>
  <si>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</si>
  <si>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</si>
  <si>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</si>
  <si>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</si>
  <si>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</si>
  <si>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</si>
  <si>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</si>
  <si>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</si>
  <si>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</si>
  <si>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</si>
  <si>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</si>
  <si>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</si>
  <si>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</si>
  <si>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</si>
  <si>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</si>
  <si>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</si>
  <si>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</si>
  <si>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</si>
  <si>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</si>
  <si>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</si>
  <si>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</si>
  <si>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</si>
  <si>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</si>
  <si>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</si>
  <si>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</si>
  <si>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</si>
  <si>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</si>
  <si>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</si>
  <si>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</si>
  <si>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</si>
  <si>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</si>
  <si>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</si>
  <si>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</si>
  <si>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</si>
  <si>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</si>
  <si>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</si>
  <si>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</si>
  <si>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</si>
  <si>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</si>
  <si>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</si>
  <si>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</si>
  <si>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</si>
  <si>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</si>
  <si>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</si>
  <si>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</si>
  <si>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</si>
  <si>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</si>
  <si>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</si>
  <si>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</si>
  <si>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</si>
  <si>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</si>
  <si>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</si>
  <si>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</si>
  <si>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</si>
  <si>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</si>
  <si>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</si>
  <si>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</si>
  <si>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</si>
  <si>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</si>
  <si>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</si>
  <si>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</si>
  <si>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</si>
  <si>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</si>
  <si>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</si>
  <si>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</si>
  <si>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</si>
  <si>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</si>
  <si>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</si>
  <si>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</si>
  <si>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</si>
  <si>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</si>
  <si>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</si>
  <si>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</si>
  <si>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</si>
  <si>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</si>
  <si>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</si>
  <si>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</si>
  <si>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</si>
  <si>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</si>
  <si>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</si>
  <si>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</si>
  <si>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</si>
  <si>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</si>
  <si>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</si>
  <si>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</si>
  <si>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</si>
  <si>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</si>
  <si>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</si>
  <si>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</si>
  <si>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</si>
  <si>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</si>
  <si>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</si>
  <si>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</si>
  <si>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</si>
  <si>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</si>
  <si>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</si>
  <si>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</si>
  <si>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</si>
  <si>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</si>
  <si>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</si>
  <si>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</si>
  <si>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</si>
  <si>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</si>
  <si>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</si>
  <si>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</si>
  <si>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</si>
  <si>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</si>
  <si>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</si>
  <si>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</si>
  <si>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</si>
  <si>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</si>
  <si>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</si>
  <si>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</si>
  <si>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</si>
  <si>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</si>
  <si>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</si>
  <si>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</si>
  <si>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</si>
  <si>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</si>
  <si>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</si>
  <si>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</si>
  <si>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</si>
  <si>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</si>
  <si>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</si>
  <si>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</si>
  <si>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</si>
  <si>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</si>
  <si>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</si>
  <si>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</si>
  <si>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</si>
  <si>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</si>
  <si>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</si>
  <si>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</si>
  <si>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</si>
  <si>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</si>
  <si>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</si>
  <si>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</si>
  <si>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</si>
  <si>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</si>
  <si>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</si>
  <si>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</si>
  <si>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</si>
  <si>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</si>
  <si>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</si>
  <si>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</si>
  <si>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</si>
  <si>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</si>
  <si>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</si>
  <si>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</si>
  <si>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</si>
  <si>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</si>
  <si>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</si>
  <si>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</si>
  <si>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</si>
  <si>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</si>
  <si>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</si>
  <si>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</si>
  <si>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</si>
  <si>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</si>
  <si>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</si>
  <si>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</si>
  <si>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</si>
  <si>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</si>
  <si>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</si>
  <si>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</si>
  <si>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</si>
  <si>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</si>
  <si>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</si>
  <si>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</si>
  <si>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</si>
  <si>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</si>
  <si>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</si>
  <si>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</si>
  <si>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</si>
  <si>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</si>
  <si>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</si>
  <si>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</si>
  <si>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</si>
  <si>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</si>
  <si>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</si>
  <si>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</si>
  <si>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</si>
  <si>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</si>
  <si>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</si>
  <si>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</si>
  <si>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</si>
  <si>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</si>
  <si>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</si>
  <si>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</si>
  <si>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</si>
  <si>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</si>
  <si>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</si>
  <si>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</si>
  <si>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</si>
  <si>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</si>
  <si>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</si>
  <si>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</si>
  <si>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</si>
  <si>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</si>
  <si>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</si>
  <si>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</si>
  <si>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</si>
  <si>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</si>
  <si>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</si>
  <si>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</si>
  <si>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</si>
  <si>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</si>
  <si>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</si>
  <si>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</si>
  <si>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</si>
  <si>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</si>
  <si>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</si>
  <si>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</si>
  <si>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</si>
  <si>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</si>
  <si>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</si>
  <si>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</si>
  <si>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</si>
  <si>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</si>
  <si>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</si>
  <si>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</si>
  <si>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</si>
  <si>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</si>
  <si>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</si>
  <si>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</si>
  <si>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</si>
  <si>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</si>
  <si>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</si>
  <si>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</si>
  <si>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</si>
  <si>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</si>
  <si>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</si>
  <si>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</si>
  <si>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</si>
  <si>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</si>
  <si>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</si>
  <si>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</si>
  <si>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</si>
  <si>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</si>
  <si>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</si>
  <si>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</si>
  <si>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</si>
  <si>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</si>
  <si>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</si>
  <si>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</si>
  <si>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</si>
  <si>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</si>
  <si>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</si>
  <si>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</si>
  <si>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</si>
  <si>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</si>
  <si>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</si>
  <si>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</si>
  <si>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</si>
  <si>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</si>
  <si>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</si>
  <si>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</si>
  <si>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</si>
  <si>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</si>
  <si>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</si>
  <si>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</si>
  <si>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</si>
  <si>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</si>
  <si>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</si>
  <si>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</si>
  <si>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</si>
  <si>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</si>
  <si>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</si>
  <si>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</si>
  <si>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</si>
  <si>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</si>
  <si>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</si>
  <si>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</si>
  <si>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</si>
  <si>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</si>
  <si>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</si>
  <si>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</si>
  <si>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</si>
  <si>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</si>
  <si>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</si>
  <si>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</si>
  <si>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</si>
  <si>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</si>
  <si>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</si>
  <si>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</si>
  <si>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</si>
  <si>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</si>
  <si>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</si>
  <si>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</si>
  <si>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</si>
  <si>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</si>
  <si>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</si>
  <si>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</si>
  <si>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</si>
  <si>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</si>
  <si>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</si>
  <si>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</si>
  <si>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</si>
  <si>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</si>
  <si>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</si>
  <si>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</si>
  <si>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</si>
  <si>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</si>
  <si>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</si>
  <si>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</si>
  <si>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</si>
  <si>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</si>
  <si>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</si>
  <si>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</si>
  <si>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</si>
  <si>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</si>
  <si>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</si>
  <si>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</si>
  <si>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</si>
  <si>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</si>
  <si>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</si>
  <si>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</si>
  <si>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</si>
  <si>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</si>
  <si>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</si>
  <si>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</si>
  <si>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</si>
  <si>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</si>
  <si>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</si>
  <si>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</si>
  <si>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</si>
  <si>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</si>
  <si>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</si>
  <si>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</si>
  <si>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</si>
  <si>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</si>
  <si>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</si>
  <si>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</si>
  <si>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</si>
  <si>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</si>
  <si>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</si>
  <si>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</si>
  <si>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</si>
  <si>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</si>
  <si>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</si>
  <si>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</si>
  <si>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</si>
  <si>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</si>
  <si>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</si>
  <si>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</si>
  <si>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</si>
  <si>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</si>
  <si>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</si>
  <si>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</si>
  <si>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</si>
  <si>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</si>
  <si>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</si>
  <si>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</si>
  <si>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</si>
  <si>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</si>
  <si>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</si>
  <si>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</si>
  <si>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</si>
  <si>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</si>
  <si>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</si>
  <si>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</si>
  <si>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</si>
  <si>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</si>
  <si>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</si>
  <si>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</si>
  <si>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</si>
  <si>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</si>
  <si>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</si>
  <si>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</si>
  <si>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</si>
  <si>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</si>
  <si>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</si>
  <si>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</si>
  <si>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</si>
  <si>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</si>
  <si>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</si>
  <si>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</si>
  <si>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</si>
  <si>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</si>
  <si>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</si>
  <si>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</si>
  <si>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</si>
  <si>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</si>
  <si>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</si>
  <si>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</si>
  <si>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</si>
  <si>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</si>
  <si>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</si>
  <si>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</si>
  <si>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</si>
  <si>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</si>
  <si>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</si>
  <si>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</si>
  <si>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</si>
  <si>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</si>
  <si>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</si>
  <si>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</si>
  <si>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</si>
  <si>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</si>
  <si>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</si>
  <si>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</si>
  <si>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</si>
  <si>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</si>
  <si>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</si>
  <si>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</si>
  <si>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</si>
  <si>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</si>
  <si>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</si>
  <si>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</si>
  <si>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</si>
  <si>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</si>
  <si>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</si>
  <si>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</si>
  <si>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</si>
  <si>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</si>
  <si>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</si>
  <si>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</si>
  <si>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</si>
  <si>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</si>
  <si>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</si>
  <si>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</si>
  <si>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</si>
  <si>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</si>
  <si>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</si>
  <si>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</si>
  <si>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</si>
  <si>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</si>
  <si>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</si>
  <si>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</si>
  <si>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</si>
  <si>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</si>
  <si>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</si>
  <si>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</si>
  <si>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</si>
  <si>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</si>
  <si>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</si>
  <si>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</si>
  <si>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</si>
  <si>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</si>
  <si>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</si>
  <si>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</si>
  <si>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</si>
  <si>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</si>
  <si>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</si>
  <si>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</si>
  <si>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</si>
  <si>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</si>
  <si>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</si>
  <si>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</si>
  <si>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</si>
  <si>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</si>
  <si>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</si>
  <si>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</si>
  <si>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</si>
  <si>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</si>
  <si>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</si>
  <si>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</si>
  <si>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</si>
  <si>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</si>
  <si>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</si>
  <si>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</si>
  <si>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</si>
  <si>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</si>
  <si>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</si>
  <si>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</si>
  <si>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</si>
  <si>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</si>
  <si>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</si>
  <si>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</si>
  <si>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</si>
  <si>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</si>
  <si>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</si>
  <si>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</si>
  <si>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</si>
  <si>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</si>
  <si>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</si>
  <si>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</si>
  <si>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</si>
  <si>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</si>
  <si>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</si>
  <si>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</si>
  <si>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</si>
  <si>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</si>
  <si>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</si>
  <si>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</si>
  <si>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</si>
  <si>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</si>
  <si>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</si>
  <si>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</si>
  <si>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</si>
  <si>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</si>
  <si>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</si>
  <si>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</si>
  <si>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</si>
  <si>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</si>
  <si>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</si>
  <si>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</si>
  <si>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</si>
  <si>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</si>
  <si>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</si>
  <si>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</si>
  <si>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</si>
  <si>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</si>
  <si>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</si>
  <si>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</si>
  <si>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</si>
  <si>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</si>
  <si>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</si>
  <si>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</si>
  <si>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</si>
  <si>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</si>
  <si>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</si>
  <si>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</si>
  <si>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</si>
  <si>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</si>
  <si>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</si>
  <si>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</si>
  <si>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</si>
  <si>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</si>
  <si>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</si>
  <si>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</si>
  <si>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</si>
  <si>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</si>
  <si>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</si>
  <si>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</si>
  <si>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</si>
  <si>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</si>
  <si>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</si>
  <si>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</si>
  <si>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</si>
  <si>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</si>
  <si>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</si>
  <si>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</si>
  <si>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</si>
  <si>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</si>
  <si>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</si>
  <si>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</si>
  <si>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</si>
  <si>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</si>
  <si>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</si>
  <si>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</si>
  <si>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</si>
  <si>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</si>
  <si>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</si>
  <si>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</si>
  <si>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</si>
  <si>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</si>
  <si>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</si>
  <si>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</si>
  <si>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</si>
  <si>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</si>
  <si>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</si>
  <si>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</si>
  <si>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</si>
  <si>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</si>
  <si>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</si>
  <si>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</si>
  <si>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</si>
  <si>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</si>
  <si>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</si>
  <si>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</si>
  <si>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</si>
  <si>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</si>
  <si>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</si>
  <si>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</si>
  <si>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</si>
  <si>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</si>
  <si>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</si>
  <si>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</si>
  <si>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</si>
  <si>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</si>
  <si>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</si>
  <si>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</si>
  <si>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</si>
  <si>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</si>
  <si>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</si>
  <si>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</si>
  <si>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</si>
  <si>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</si>
  <si>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</si>
  <si>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</si>
  <si>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</si>
  <si>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</si>
  <si>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</si>
  <si>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</si>
  <si>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</si>
  <si>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</si>
  <si>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</si>
  <si>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</si>
  <si>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</si>
  <si>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</si>
  <si>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</si>
  <si>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</si>
  <si>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</si>
  <si>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</si>
  <si>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</si>
  <si>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</si>
  <si>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</si>
  <si>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</si>
  <si>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</si>
  <si>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</si>
  <si>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</si>
  <si>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</si>
  <si>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</si>
  <si>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</si>
  <si>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</si>
  <si>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</si>
  <si>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</si>
  <si>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</si>
  <si>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</si>
  <si>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</si>
  <si>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</si>
  <si>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</si>
  <si>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</si>
  <si>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</si>
  <si>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</si>
  <si>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</si>
  <si>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</si>
  <si>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</si>
  <si>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</si>
  <si>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</si>
  <si>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</si>
  <si>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</si>
  <si>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</si>
  <si>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</si>
  <si>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</si>
  <si>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</si>
  <si>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</si>
  <si>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</si>
  <si>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</si>
  <si>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</si>
  <si>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</si>
  <si>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</si>
  <si>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</si>
  <si>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</si>
  <si>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</si>
  <si>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</si>
  <si>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</si>
  <si>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</si>
  <si>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</si>
  <si>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</si>
  <si>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</si>
  <si>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</si>
  <si>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</si>
  <si>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</si>
  <si>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</si>
  <si>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</si>
  <si>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</si>
  <si>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</si>
  <si>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</si>
  <si>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</si>
  <si>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</si>
  <si>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</si>
  <si>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</si>
  <si>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</si>
  <si>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</si>
  <si>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</si>
  <si>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</si>
  <si>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</si>
  <si>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</si>
  <si>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</si>
  <si>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</si>
  <si>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</si>
  <si>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</si>
  <si>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</si>
  <si>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</si>
  <si>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</si>
  <si>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</si>
  <si>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</si>
  <si>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</si>
  <si>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</si>
  <si>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</si>
  <si>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</si>
  <si>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</si>
  <si>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</si>
  <si>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</si>
  <si>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</si>
  <si>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</si>
  <si>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</si>
  <si>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</si>
  <si>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</si>
  <si>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</si>
  <si>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</si>
  <si>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</si>
  <si>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</si>
  <si>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</si>
  <si>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</si>
  <si>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</si>
  <si>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</si>
  <si>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</si>
  <si>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</si>
  <si>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</si>
  <si>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</si>
  <si>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</si>
  <si>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</si>
  <si>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</si>
  <si>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</si>
  <si>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</si>
  <si>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</si>
  <si>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</si>
  <si>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</si>
  <si>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</si>
  <si>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</si>
  <si>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</si>
  <si>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</si>
  <si>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</si>
  <si>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</si>
  <si>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</si>
  <si>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</si>
  <si>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</si>
  <si>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</si>
  <si>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</si>
  <si>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</si>
  <si>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</si>
  <si>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</si>
  <si>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</si>
  <si>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</si>
  <si>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</si>
  <si>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</si>
  <si>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</si>
  <si>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</si>
  <si>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</si>
  <si>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</si>
  <si>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</si>
  <si>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</si>
  <si>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</si>
  <si>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</si>
  <si>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</si>
  <si>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</si>
  <si>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</si>
  <si>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</si>
  <si>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</si>
  <si>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</si>
  <si>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</si>
  <si>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</si>
  <si>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</si>
  <si>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</si>
  <si>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</si>
  <si>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</si>
  <si>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</si>
  <si>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</si>
  <si>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</si>
  <si>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</si>
  <si>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</si>
  <si>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</si>
  <si>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</si>
  <si>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</si>
  <si>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</si>
  <si>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</si>
  <si>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</si>
  <si>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</si>
  <si>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</si>
  <si>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</si>
  <si>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</si>
  <si>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</si>
  <si>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</si>
  <si>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</si>
  <si>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</si>
  <si>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</si>
  <si>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</si>
  <si>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</si>
  <si>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</si>
  <si>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</si>
  <si>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</si>
  <si>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</si>
  <si>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</si>
  <si>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</si>
  <si>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</si>
  <si>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</si>
  <si>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</si>
  <si>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</si>
  <si>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</si>
  <si>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</si>
  <si>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</si>
  <si>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</si>
  <si>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</si>
  <si>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</si>
  <si>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</si>
  <si>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</si>
  <si>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</si>
  <si>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</si>
  <si>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</si>
  <si>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</si>
  <si>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</si>
  <si>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</si>
  <si>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</si>
  <si>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</si>
  <si>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</si>
  <si>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</si>
  <si>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</si>
  <si>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</si>
  <si>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</si>
  <si>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</si>
  <si>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</si>
  <si>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</si>
  <si>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</si>
  <si>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</si>
  <si>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</si>
  <si>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</si>
  <si>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</si>
  <si>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</si>
  <si>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</si>
  <si>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</si>
  <si>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</si>
  <si>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</si>
  <si>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</si>
  <si>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</si>
  <si>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</si>
  <si>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</si>
  <si>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</si>
  <si>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</si>
  <si>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</si>
  <si>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</si>
  <si>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</si>
  <si>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</si>
  <si>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</si>
  <si>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</si>
  <si>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</si>
  <si>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</si>
  <si>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</si>
  <si>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</si>
  <si>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</si>
  <si>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</si>
  <si>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</si>
  <si>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</si>
  <si>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</si>
  <si>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</si>
  <si>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</si>
  <si>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</si>
  <si>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</si>
  <si>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</si>
  <si>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</si>
  <si>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</si>
  <si>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</si>
  <si>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</si>
  <si>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</si>
  <si>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</si>
  <si>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</si>
  <si>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</si>
  <si>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</si>
  <si>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</si>
  <si>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</si>
  <si>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</si>
  <si>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</si>
  <si>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</si>
  <si>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</si>
  <si>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</si>
  <si>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</si>
  <si>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</si>
  <si>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</si>
  <si>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</si>
  <si>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</si>
  <si>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</si>
  <si>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</si>
  <si>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</si>
  <si>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</si>
  <si>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</si>
  <si>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</si>
  <si>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</si>
  <si>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</si>
  <si>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</si>
  <si>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</si>
  <si>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</si>
  <si>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</si>
  <si>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</si>
  <si>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</si>
  <si>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</si>
  <si>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</si>
  <si>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</si>
  <si>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</si>
  <si>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</si>
  <si>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</si>
  <si>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</si>
  <si>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</si>
  <si>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</si>
  <si>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</si>
  <si>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</si>
  <si>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</si>
  <si>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</si>
  <si>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</si>
  <si>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</si>
  <si>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</si>
  <si>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</si>
  <si>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</si>
  <si>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</si>
  <si>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</si>
  <si>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</si>
  <si>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</si>
  <si>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</si>
  <si>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</si>
  <si>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</si>
  <si>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</si>
  <si>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</si>
  <si>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</si>
  <si>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</si>
  <si>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</si>
  <si>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</si>
  <si>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</si>
  <si>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</si>
  <si>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</si>
  <si>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</si>
  <si>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</si>
  <si>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</si>
  <si>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</si>
  <si>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</si>
  <si>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</si>
  <si>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</si>
  <si>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</si>
  <si>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</si>
  <si>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</si>
  <si>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</si>
  <si>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</si>
  <si>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</si>
  <si>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</si>
  <si>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</si>
  <si>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</si>
  <si>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</si>
  <si>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</si>
  <si>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</si>
  <si>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</si>
  <si>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</si>
  <si>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</si>
  <si>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</si>
  <si>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</si>
  <si>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</si>
  <si>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</si>
  <si>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</si>
  <si>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</si>
  <si>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</si>
  <si>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</si>
  <si>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</si>
  <si>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</si>
  <si>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</si>
  <si>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</si>
  <si>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</si>
  <si>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</si>
  <si>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</si>
  <si>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</si>
  <si>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</si>
  <si>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</si>
  <si>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</si>
  <si>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</si>
  <si>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</si>
  <si>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</si>
  <si>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</si>
  <si>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</si>
  <si>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</si>
  <si>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</si>
  <si>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</si>
  <si>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</si>
  <si>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</si>
  <si>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</si>
  <si>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</si>
  <si>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</si>
  <si>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</si>
  <si>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</si>
  <si>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</si>
  <si>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</si>
  <si>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</si>
  <si>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</si>
  <si>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</si>
  <si>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</si>
  <si>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</si>
  <si>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</si>
  <si>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</si>
  <si>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</si>
  <si>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</si>
  <si>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</si>
  <si>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</si>
  <si>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</si>
  <si>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</si>
  <si>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</si>
  <si>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</si>
  <si>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</si>
  <si>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</si>
  <si>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</si>
  <si>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</si>
  <si>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</si>
  <si>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</si>
  <si>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</si>
  <si>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</si>
  <si>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</si>
  <si>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</si>
  <si>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</si>
  <si>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</si>
  <si>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</si>
  <si>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</si>
  <si>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</si>
  <si>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</si>
  <si>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</si>
  <si>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</si>
  <si>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</si>
  <si>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</si>
  <si>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</si>
  <si>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</si>
  <si>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</si>
  <si>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</si>
  <si>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</si>
  <si>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</si>
  <si>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</si>
  <si>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</si>
  <si>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</si>
  <si>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</si>
  <si>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</si>
  <si>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</si>
  <si>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</si>
  <si>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</si>
  <si>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</si>
  <si>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</si>
  <si>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</si>
  <si>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</si>
  <si>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</si>
  <si>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</si>
  <si>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</si>
  <si>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</si>
  <si>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</si>
  <si>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</si>
  <si>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</si>
  <si>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</si>
  <si>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</si>
  <si>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</si>
  <si>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</si>
  <si>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</si>
  <si>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</si>
  <si>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</si>
  <si>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</si>
  <si>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</si>
  <si>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</si>
  <si>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</si>
  <si>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</si>
  <si>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</si>
  <si>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</si>
  <si>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</si>
  <si>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</si>
  <si>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</si>
  <si>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</si>
  <si>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</si>
  <si>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</si>
  <si>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</si>
  <si>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</si>
  <si>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</si>
  <si>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</si>
  <si>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</si>
  <si>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</si>
  <si>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</si>
  <si>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</si>
  <si>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</si>
  <si>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</si>
  <si>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</si>
  <si>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</si>
  <si>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</si>
  <si>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</si>
  <si>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</si>
  <si>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</si>
  <si>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</si>
  <si>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</si>
  <si>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</si>
  <si>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</si>
  <si>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</si>
  <si>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</si>
  <si>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</si>
  <si>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</si>
  <si>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</si>
  <si>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</si>
  <si>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</si>
  <si>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</si>
  <si>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</si>
  <si>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</si>
  <si>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</si>
  <si>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</si>
  <si>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</si>
  <si>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</si>
  <si>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</si>
  <si>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</si>
  <si>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</si>
  <si>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</si>
  <si>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</si>
  <si>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</si>
  <si>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</si>
  <si>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</si>
  <si>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</si>
  <si>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</si>
  <si>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</si>
  <si>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</si>
  <si>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</si>
  <si>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</si>
  <si>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</si>
  <si>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</si>
  <si>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</si>
  <si>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</si>
  <si>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</si>
  <si>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</si>
  <si>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</si>
  <si>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</si>
  <si>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</si>
  <si>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</si>
  <si>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</si>
  <si>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</si>
  <si>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</si>
  <si>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</si>
  <si>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</si>
  <si>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</si>
  <si>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</si>
  <si>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</si>
  <si>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</si>
  <si>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</si>
  <si>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</si>
  <si>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</si>
  <si>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</si>
  <si>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</si>
  <si>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</si>
  <si>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</si>
  <si>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</si>
  <si>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</si>
  <si>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</si>
  <si>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</si>
  <si>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</si>
  <si>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</si>
  <si>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</si>
  <si>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</si>
  <si>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</si>
  <si>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</si>
  <si>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</si>
  <si>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</si>
  <si>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</si>
  <si>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</si>
  <si>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</si>
  <si>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</si>
  <si>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</si>
  <si>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</si>
  <si>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</si>
  <si>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</si>
  <si>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</si>
  <si>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</si>
  <si>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</si>
  <si>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</si>
  <si>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</si>
  <si>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</si>
  <si>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</si>
  <si>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</si>
  <si>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</si>
  <si>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</si>
  <si>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</si>
  <si>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</si>
  <si>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</si>
  <si>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</si>
  <si>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</si>
  <si>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</si>
  <si>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</si>
  <si>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</si>
  <si>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</si>
  <si>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</si>
  <si>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</si>
  <si>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</si>
  <si>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</si>
  <si>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</si>
  <si>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</si>
  <si>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</si>
  <si>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</si>
  <si>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</si>
  <si>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</si>
  <si>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</si>
  <si>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</si>
  <si>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</si>
  <si>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</si>
  <si>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</si>
  <si>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</si>
  <si>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</si>
  <si>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</si>
  <si>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</si>
  <si>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</si>
  <si>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</si>
  <si>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</si>
  <si>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</si>
  <si>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</si>
  <si>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</si>
  <si>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</si>
  <si>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</si>
  <si>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</si>
  <si>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</si>
  <si>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</si>
  <si>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</si>
  <si>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</si>
  <si>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</si>
  <si>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</si>
  <si>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</si>
  <si>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</si>
  <si>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</si>
  <si>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</si>
  <si>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</si>
  <si>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</si>
  <si>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</si>
  <si>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</si>
  <si>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</si>
  <si>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</si>
  <si>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</si>
  <si>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</si>
  <si>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</si>
  <si>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</si>
  <si>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</si>
  <si>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</si>
  <si>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</si>
  <si>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</si>
  <si>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</si>
  <si>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</si>
  <si>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</si>
  <si>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</si>
  <si>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</si>
  <si>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</si>
  <si>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</si>
  <si>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</si>
  <si>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</si>
  <si>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</si>
  <si>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</si>
  <si>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</si>
  <si>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</si>
  <si>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</si>
  <si>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</si>
  <si>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</si>
  <si>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</si>
  <si>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</si>
  <si>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</si>
  <si>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</si>
  <si>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</si>
  <si>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</si>
  <si>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</si>
  <si>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</si>
  <si>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</si>
  <si>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</si>
  <si>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</si>
  <si>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</si>
  <si>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</si>
  <si>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</si>
  <si>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</si>
  <si>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</si>
  <si>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</si>
  <si>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</si>
  <si>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</si>
  <si>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</si>
  <si>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</si>
  <si>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</si>
  <si>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</si>
  <si>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</si>
  <si>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</si>
  <si>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</si>
  <si>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</si>
  <si>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</si>
  <si>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</si>
  <si>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</si>
  <si>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</si>
  <si>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</si>
  <si>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</si>
  <si>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</si>
  <si>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</si>
  <si>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</si>
  <si>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</si>
  <si>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</si>
  <si>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</si>
  <si>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</si>
  <si>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</si>
  <si>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</si>
  <si>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</si>
  <si>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</si>
  <si>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</si>
  <si>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</si>
  <si>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</si>
  <si>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</si>
  <si>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</si>
  <si>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</si>
  <si>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</si>
  <si>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</si>
  <si>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</si>
  <si>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</si>
  <si>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</si>
  <si>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</si>
  <si>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</si>
  <si>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</si>
  <si>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</si>
  <si>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</si>
  <si>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办公出租</t>
  </si>
  <si>
    <t>办公自用</t>
  </si>
  <si>
    <t>收益法商租</t>
  </si>
  <si>
    <t>收益法商自</t>
  </si>
  <si>
    <t>收益法商自</t>
    <phoneticPr fontId="16" type="noConversion"/>
  </si>
  <si>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</si>
  <si>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</si>
  <si>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</si>
  <si>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</si>
  <si>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</si>
  <si>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</si>
  <si>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</si>
  <si>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</si>
  <si>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</si>
  <si>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</si>
  <si>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</si>
  <si>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</si>
  <si>
    <r>
      <rPr>
        <sz val="10"/>
        <color rgb="FFFF0000"/>
        <rFont val="宋体"/>
        <family val="3"/>
        <charset val="134"/>
      </rPr>
      <t>企业提供（在右侧录入）</t>
    </r>
  </si>
  <si>
    <t>出租部分正常租金</t>
    <phoneticPr fontId="260" type="noConversion"/>
  </si>
  <si>
    <t>未出租部分正常租金</t>
    <phoneticPr fontId="260"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</si>
  <si>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号楼商业用房房地产</t>
    </r>
    <phoneticPr fontId="143" type="noConversion"/>
  </si>
  <si>
    <t>建筑物价值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</si>
  <si>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号楼商业（办公）房房地产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</si>
  <si>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号楼地下车库用房房地产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</si>
  <si>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号楼商业（酒店）房房地产</t>
    </r>
    <r>
      <rPr>
        <sz val="11"/>
        <color indexed="8"/>
        <rFont val="宋体"/>
        <family val="3"/>
        <charset val="134"/>
      </rPr>
      <t/>
    </r>
    <phoneticPr fontId="143" type="noConversion"/>
  </si>
  <si>
    <t>1号楼合计</t>
    <phoneticPr fontId="143" type="noConversion"/>
  </si>
  <si>
    <t>2号楼合计</t>
    <phoneticPr fontId="143" type="noConversion"/>
  </si>
  <si>
    <t>3号楼合计</t>
    <phoneticPr fontId="143" type="noConversion"/>
  </si>
  <si>
    <t>商业1号楼</t>
    <phoneticPr fontId="260" type="noConversion"/>
  </si>
  <si>
    <t>商业2号楼</t>
    <phoneticPr fontId="260" type="noConversion"/>
  </si>
  <si>
    <t>商业3号楼</t>
    <phoneticPr fontId="260" type="noConversion"/>
  </si>
  <si>
    <t>商业1号楼出租</t>
  </si>
  <si>
    <t>商业2号楼自用</t>
  </si>
  <si>
    <t>商业3号楼出租</t>
  </si>
  <si>
    <t>商业3号楼出租</t>
    <phoneticPr fontId="3" type="noConversion"/>
  </si>
  <si>
    <t>商业3号楼自用</t>
  </si>
  <si>
    <t>商业3号楼自用</t>
    <phoneticPr fontId="3" type="noConversion"/>
  </si>
  <si>
    <t>商业1号楼出租</t>
    <phoneticPr fontId="3" type="noConversion"/>
  </si>
  <si>
    <t>商业2号楼自用</t>
    <phoneticPr fontId="3" type="noConversion"/>
  </si>
  <si>
    <t>收益法1号楼</t>
  </si>
  <si>
    <t>收益法2号楼</t>
  </si>
  <si>
    <t>收益法2号楼</t>
    <phoneticPr fontId="16" type="noConversion"/>
  </si>
  <si>
    <t>3号楼建筑面积</t>
  </si>
  <si>
    <t>剩余建筑面积</t>
  </si>
  <si>
    <t>剩余租期</t>
  </si>
  <si>
    <t>租赁比例</t>
  </si>
  <si>
    <t>正常租金</t>
  </si>
  <si>
    <t>出租部分正常租金</t>
  </si>
  <si>
    <t>未出租部分正常租金</t>
  </si>
  <si>
    <t>业态</t>
  </si>
  <si>
    <t>商铺位置</t>
  </si>
  <si>
    <t>商户名称</t>
  </si>
  <si>
    <t>租赁时间</t>
  </si>
  <si>
    <t>面积/㎡</t>
  </si>
  <si>
    <t>月总租金</t>
  </si>
  <si>
    <t>年租金</t>
  </si>
  <si>
    <t>楼层</t>
  </si>
  <si>
    <t>单价（租+物）</t>
  </si>
  <si>
    <t>90</t>
  </si>
  <si>
    <t>餐饮</t>
  </si>
  <si>
    <t>401内D409-1</t>
  </si>
  <si>
    <t>很久以前</t>
  </si>
  <si>
    <t>2019.7.18-2024.7.17</t>
  </si>
  <si>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号楼商业用房房地产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</si>
  <si>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2</t>
    </r>
    <r>
      <rPr>
        <sz val="11"/>
        <color indexed="8"/>
        <rFont val="宋体"/>
        <family val="3"/>
        <charset val="134"/>
      </rPr>
      <t>号楼商业用房房地产</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</si>
  <si>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3</t>
    </r>
    <r>
      <rPr>
        <sz val="11"/>
        <color indexed="8"/>
        <rFont val="宋体"/>
        <family val="3"/>
        <charset val="134"/>
      </rPr>
      <t>号楼商业用房房地产</t>
    </r>
    <phoneticPr fontId="143" type="noConversion"/>
  </si>
  <si>
    <r>
      <rPr>
        <sz val="11"/>
        <color indexed="8"/>
        <rFont val="宋体"/>
        <family val="3"/>
        <charset val="134"/>
      </rPr>
      <t>收益法价值</t>
    </r>
    <phoneticPr fontId="143" type="noConversion"/>
  </si>
  <si>
    <t>商业1、2、3楼价值</t>
    <phoneticPr fontId="143" type="noConversion"/>
  </si>
  <si>
    <t>酒店1号楼</t>
    <phoneticPr fontId="260" type="noConversion"/>
  </si>
  <si>
    <t>办公2号楼</t>
    <phoneticPr fontId="260" type="noConversion"/>
  </si>
  <si>
    <t>地下车库1号楼</t>
    <phoneticPr fontId="260" type="noConversion"/>
  </si>
  <si>
    <t>地下车库3号楼</t>
    <phoneticPr fontId="260" type="noConversion"/>
  </si>
  <si>
    <t>地下车库1、3楼价值</t>
    <phoneticPr fontId="143" type="noConversion"/>
  </si>
  <si>
    <t>1、2、3号楼价值</t>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</si>
  <si>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1</t>
    </r>
    <r>
      <rPr>
        <sz val="11"/>
        <color indexed="8"/>
        <rFont val="宋体"/>
        <family val="3"/>
        <charset val="134"/>
      </rPr>
      <t>号楼</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</si>
  <si>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2</t>
    </r>
    <r>
      <rPr>
        <sz val="11"/>
        <color indexed="8"/>
        <rFont val="宋体"/>
        <family val="3"/>
        <charset val="134"/>
      </rPr>
      <t>号楼</t>
    </r>
    <phoneticPr fontId="143" type="noConversion"/>
  </si>
  <si>
    <r>
      <rPr>
        <sz val="11"/>
        <color indexed="8"/>
        <rFont val="宋体"/>
        <family val="3"/>
        <charset val="134"/>
      </rPr>
      <t>北京市朝阳区广顺北大街</t>
    </r>
    <r>
      <rPr>
        <sz val="11"/>
        <color indexed="8"/>
        <rFont val="Arial"/>
        <family val="2"/>
      </rPr>
      <t>16</t>
    </r>
    <r>
      <rPr>
        <sz val="11"/>
        <color indexed="8"/>
        <rFont val="宋体"/>
        <family val="3"/>
        <charset val="134"/>
      </rPr>
      <t>号院</t>
    </r>
    <r>
      <rPr>
        <sz val="11"/>
        <color indexed="8"/>
        <rFont val="Arial"/>
        <family val="2"/>
      </rPr>
      <t>3</t>
    </r>
    <r>
      <rPr>
        <sz val="11"/>
        <color indexed="8"/>
        <rFont val="宋体"/>
        <family val="3"/>
        <charset val="134"/>
      </rPr>
      <t>号楼</t>
    </r>
    <phoneticPr fontId="143" type="noConversion"/>
  </si>
  <si>
    <t>土地取得费用</t>
    <phoneticPr fontId="8" type="noConversion"/>
  </si>
  <si>
    <r>
      <t>1</t>
    </r>
    <r>
      <rPr>
        <sz val="11"/>
        <color theme="1"/>
        <rFont val="宋体"/>
        <family val="2"/>
        <charset val="134"/>
      </rPr>
      <t>号楼</t>
    </r>
    <phoneticPr fontId="8" type="noConversion"/>
  </si>
  <si>
    <r>
      <t>2</t>
    </r>
    <r>
      <rPr>
        <sz val="11"/>
        <color theme="1"/>
        <rFont val="宋体"/>
        <family val="2"/>
        <charset val="134"/>
      </rPr>
      <t>号楼</t>
    </r>
    <phoneticPr fontId="8" type="noConversion"/>
  </si>
  <si>
    <r>
      <t>3</t>
    </r>
    <r>
      <rPr>
        <sz val="11"/>
        <color theme="1"/>
        <rFont val="宋体"/>
        <family val="2"/>
        <charset val="134"/>
      </rPr>
      <t>号楼</t>
    </r>
    <phoneticPr fontId="8" type="noConversion"/>
  </si>
  <si>
    <t>建筑面积</t>
    <phoneticPr fontId="8" type="noConversion"/>
  </si>
  <si>
    <t>合计</t>
    <phoneticPr fontId="8" type="noConversion"/>
  </si>
  <si>
    <t>建造成本</t>
    <phoneticPr fontId="8" type="noConversion"/>
  </si>
  <si>
    <t>土地取得成本</t>
    <phoneticPr fontId="8" type="noConversion"/>
  </si>
  <si>
    <t>净值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</si>
</sst>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
      <sz val="11"/>
      <color theme="1"/>
      <name val="宋体"/>
      <family val="2"/>
      <charset val="134"/>
      <scheme val="minor"/>
    </font>
    <font>
      <sz val="11"/>
      <color theme="1"/>
      <name val="宋体"/>
      <family val="2"/>
      <charset val="134"/>
    </font>
    <font>
      <u/>
      <sz val="12"/>
      <color indexed="12"/>
      <name val="宋体"/>
      <family val="3"/>
      <charset val="134"/>
    </font>
    <font>
      <sz val="11"/>
      <color indexed="8"/>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xf numFmtId="176" fontId="37" fillId="0" borderId="0" applyFont="0" applyFill="0" applyBorder="0" applyAlignment="0" applyProtection="0"/>
    <xf numFmtId="0" fontId="37" fillId="0" borderId="0"/>
    <xf numFmtId="0" fontId="37" fillId="0" borderId="0"/>
    <xf numFmtId="0" fontId="267" fillId="0" borderId="0">
      <alignment vertical="center"/>
    </xf>
    <xf numFmtId="176" fontId="37" fillId="0" borderId="0" applyFont="0" applyFill="0" applyBorder="0" applyAlignment="0" applyProtection="0"/>
    <xf numFmtId="0" fontId="56" fillId="0" borderId="0"/>
    <xf numFmtId="0" fontId="56" fillId="0" borderId="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99" fillId="0" borderId="0">
      <alignment vertical="center"/>
    </xf>
    <xf numFmtId="0" fontId="37" fillId="0" borderId="0"/>
    <xf numFmtId="0" fontId="37" fillId="0" borderId="0"/>
    <xf numFmtId="0" fontId="99" fillId="0" borderId="0">
      <alignment vertical="center"/>
    </xf>
    <xf numFmtId="0" fontId="37" fillId="0" borderId="0"/>
    <xf numFmtId="0" fontId="37" fillId="0" borderId="0"/>
    <xf numFmtId="0" fontId="56" fillId="0" borderId="0"/>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99" fillId="0" borderId="0">
      <alignment vertical="center"/>
    </xf>
    <xf numFmtId="0" fontId="37" fillId="0" borderId="0"/>
    <xf numFmtId="0" fontId="37" fillId="0" borderId="0"/>
    <xf numFmtId="0" fontId="99" fillId="0" borderId="0">
      <alignment vertical="center"/>
    </xf>
    <xf numFmtId="0" fontId="37" fillId="0" borderId="0"/>
    <xf numFmtId="0" fontId="37" fillId="0" borderId="0"/>
    <xf numFmtId="0" fontId="99" fillId="0" borderId="0">
      <alignment vertical="center"/>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99" fillId="0" borderId="0">
      <alignment vertical="center"/>
    </xf>
    <xf numFmtId="0" fontId="37" fillId="0" borderId="0"/>
    <xf numFmtId="0" fontId="99" fillId="0" borderId="0">
      <alignment vertical="center"/>
    </xf>
    <xf numFmtId="0" fontId="37" fillId="0" borderId="0"/>
    <xf numFmtId="0" fontId="99" fillId="0" borderId="0">
      <alignment vertical="center"/>
    </xf>
    <xf numFmtId="0" fontId="37" fillId="0" borderId="0"/>
    <xf numFmtId="0" fontId="37" fillId="0" borderId="0"/>
    <xf numFmtId="0" fontId="99" fillId="0" borderId="0">
      <alignment vertical="center"/>
    </xf>
    <xf numFmtId="0" fontId="37" fillId="0" borderId="0"/>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43" fontId="106" fillId="5" borderId="23" xfId="0" applyNumberFormat="1" applyFont="1" applyFill="1" applyBorder="1" applyAlignment="1" applyProtection="1">
      <alignment vertical="center"/>
      <protection locked="0"/>
    </xf>
    <xf numFmtId="43" fontId="106" fillId="5" borderId="3" xfId="0" applyNumberFormat="1" applyFont="1" applyFill="1" applyBorder="1" applyAlignment="1" applyProtection="1">
      <alignment vertical="center"/>
      <protection locked="0"/>
    </xf>
    <xf numFmtId="10" fontId="120" fillId="5" borderId="48" xfId="0" applyNumberFormat="1" applyFont="1" applyFill="1" applyBorder="1" applyAlignment="1" applyProtection="1">
      <alignment horizontal="left"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9" fillId="5" borderId="1" xfId="0" applyFont="1" applyFill="1" applyBorder="1" applyAlignment="1">
      <alignment horizontal="left"/>
    </xf>
    <xf numFmtId="49" fontId="19" fillId="5" borderId="1" xfId="0" applyNumberFormat="1" applyFont="1" applyFill="1" applyBorder="1" applyAlignment="1">
      <alignment horizontal="left"/>
    </xf>
    <xf numFmtId="0" fontId="19" fillId="5" borderId="0" xfId="0" applyFont="1" applyFill="1" applyAlignment="1">
      <alignment horizontal="left"/>
    </xf>
    <xf numFmtId="0" fontId="47" fillId="6" borderId="1" xfId="0" applyFont="1" applyFill="1" applyBorder="1" applyAlignment="1" applyProtection="1">
      <alignment horizontal="center" vertical="center" wrapText="1"/>
    </xf>
    <xf numFmtId="49" fontId="119" fillId="0" borderId="1" xfId="23" applyNumberFormat="1" applyFont="1" applyFill="1" applyBorder="1" applyAlignment="1">
      <alignment horizontal="right" vertical="center"/>
    </xf>
    <xf numFmtId="0" fontId="37" fillId="0" borderId="0" xfId="4"/>
    <xf numFmtId="0" fontId="19" fillId="0" borderId="0" xfId="4" applyFont="1" applyFill="1" applyAlignment="1">
      <alignment horizontal="center" vertical="center"/>
    </xf>
    <xf numFmtId="0" fontId="19" fillId="0" borderId="1" xfId="4" applyFont="1" applyFill="1" applyBorder="1" applyAlignment="1"/>
    <xf numFmtId="0" fontId="19" fillId="0" borderId="0" xfId="4" applyFont="1" applyFill="1" applyAlignment="1">
      <alignment horizontal="left"/>
    </xf>
    <xf numFmtId="177" fontId="19" fillId="0" borderId="1" xfId="4" applyNumberFormat="1" applyFont="1" applyFill="1" applyBorder="1" applyAlignment="1"/>
    <xf numFmtId="43" fontId="19" fillId="0" borderId="1" xfId="4" applyNumberFormat="1" applyFont="1" applyFill="1" applyBorder="1" applyAlignment="1"/>
    <xf numFmtId="2" fontId="19" fillId="0" borderId="1" xfId="4" applyNumberFormat="1" applyFont="1" applyFill="1" applyBorder="1" applyAlignment="1"/>
    <xf numFmtId="0" fontId="119" fillId="0" borderId="1" xfId="28" applyFont="1" applyFill="1" applyBorder="1" applyAlignment="1">
      <alignment horizontal="center" vertical="center" wrapText="1" shrinkToFit="1"/>
    </xf>
    <xf numFmtId="49" fontId="119" fillId="0" borderId="1" xfId="28" applyNumberFormat="1" applyFont="1" applyFill="1" applyBorder="1" applyAlignment="1">
      <alignment horizontal="left" vertical="center" shrinkToFit="1"/>
    </xf>
    <xf numFmtId="0" fontId="119" fillId="0" borderId="1" xfId="28" applyFont="1" applyFill="1" applyBorder="1" applyAlignment="1">
      <alignment vertical="center" wrapText="1" shrinkToFit="1"/>
    </xf>
    <xf numFmtId="49" fontId="119" fillId="0" borderId="1" xfId="28" applyNumberFormat="1" applyFont="1" applyFill="1" applyBorder="1" applyAlignment="1">
      <alignment horizontal="center" vertical="center" wrapText="1"/>
    </xf>
    <xf numFmtId="0" fontId="47" fillId="6" borderId="15" xfId="0" applyFont="1" applyFill="1" applyBorder="1" applyAlignment="1" applyProtection="1">
      <alignment horizontal="center" vertical="center" wrapText="1"/>
    </xf>
    <xf numFmtId="49" fontId="119" fillId="0" borderId="1" xfId="28" applyNumberFormat="1" applyFont="1" applyFill="1" applyBorder="1" applyAlignment="1">
      <alignment horizontal="center" vertical="center" shrinkToFit="1"/>
    </xf>
    <xf numFmtId="0" fontId="99" fillId="0" borderId="0" xfId="0" applyFont="1">
      <alignment vertical="center"/>
    </xf>
    <xf numFmtId="0" fontId="19" fillId="5" borderId="1" xfId="4" applyFont="1" applyFill="1" applyBorder="1" applyAlignment="1"/>
    <xf numFmtId="176" fontId="119" fillId="0" borderId="1" xfId="23" applyFont="1" applyFill="1" applyBorder="1" applyAlignment="1">
      <alignment horizontal="right" vertical="center"/>
    </xf>
    <xf numFmtId="0" fontId="104" fillId="7" borderId="1" xfId="0" applyFont="1" applyFill="1" applyBorder="1" applyProtection="1">
      <alignment vertical="center"/>
      <protection locked="0"/>
    </xf>
    <xf numFmtId="0" fontId="270" fillId="6" borderId="1" xfId="0" applyFont="1" applyFill="1" applyBorder="1" applyAlignment="1" applyProtection="1">
      <alignment horizontal="center" vertical="center" wrapText="1"/>
      <protection locked="0"/>
    </xf>
    <xf numFmtId="0" fontId="268" fillId="7" borderId="0" xfId="0" applyFont="1" applyFill="1" applyProtection="1">
      <alignment vertical="center"/>
      <protection locked="0"/>
    </xf>
    <xf numFmtId="177" fontId="119" fillId="5" borderId="5" xfId="23" applyNumberFormat="1" applyFont="1" applyFill="1" applyBorder="1" applyAlignment="1">
      <alignment horizontal="right" vertical="center"/>
    </xf>
    <xf numFmtId="0" fontId="268" fillId="7" borderId="1" xfId="0" applyFont="1" applyFill="1" applyBorder="1" applyProtection="1">
      <alignment vertical="center"/>
      <protection locked="0"/>
    </xf>
    <xf numFmtId="0" fontId="130" fillId="0" borderId="0" xfId="0" applyFont="1" applyFill="1" applyAlignment="1">
      <alignment horizontal="left"/>
    </xf>
    <xf numFmtId="198" fontId="119" fillId="0" borderId="1" xfId="23" applyNumberFormat="1" applyFont="1" applyFill="1" applyBorder="1" applyAlignment="1">
      <alignment horizontal="right" vertical="center"/>
    </xf>
    <xf numFmtId="0" fontId="84" fillId="0" borderId="1" xfId="28" applyFont="1" applyFill="1" applyBorder="1" applyAlignment="1">
      <alignment horizontal="center" vertical="center" shrinkToFit="1"/>
    </xf>
    <xf numFmtId="177" fontId="84" fillId="0" borderId="1" xfId="28" applyNumberFormat="1" applyFont="1" applyFill="1" applyBorder="1" applyAlignment="1">
      <alignment horizontal="center" vertical="center" shrinkToFit="1"/>
    </xf>
    <xf numFmtId="176" fontId="84" fillId="0" borderId="1" xfId="23" applyFont="1" applyFill="1" applyBorder="1" applyAlignment="1">
      <alignment horizontal="center" vertical="center" shrinkToFit="1"/>
    </xf>
    <xf numFmtId="49" fontId="84" fillId="0" borderId="1" xfId="23" applyNumberFormat="1" applyFont="1" applyFill="1" applyBorder="1" applyAlignment="1">
      <alignment horizontal="center" vertical="center" shrinkToFit="1"/>
    </xf>
    <xf numFmtId="0" fontId="84" fillId="0" borderId="1" xfId="28" applyFont="1" applyFill="1" applyBorder="1" applyAlignment="1">
      <alignment vertical="center" shrinkToFit="1"/>
    </xf>
    <xf numFmtId="0" fontId="84" fillId="0" borderId="1" xfId="28" applyFont="1" applyFill="1" applyBorder="1" applyAlignment="1">
      <alignment horizontal="left" vertical="center" wrapText="1" shrinkToFit="1"/>
    </xf>
    <xf numFmtId="0" fontId="84" fillId="0" borderId="1" xfId="28" applyFont="1" applyFill="1" applyBorder="1" applyAlignment="1">
      <alignment horizontal="center" vertical="center" wrapText="1" shrinkToFit="1"/>
    </xf>
    <xf numFmtId="49" fontId="84" fillId="0" borderId="1" xfId="28" applyNumberFormat="1" applyFont="1" applyFill="1" applyBorder="1" applyAlignment="1">
      <alignment horizontal="center" vertical="center" wrapText="1" shrinkToFi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37" fillId="5" borderId="1"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4">
    <cellStyle name=" 3]_x000d__x000a_Zoomed=1_x000d__x000a_Row=0_x000d__x000a_Column=0_x000d__x000a_Height=300_x000d__x000a_Width=300_x000d__x000a_FontName=細明體_x000d__x000a_FontStyle=0_x000d__x000a_FontSize=9_x000d__x000a_PrtFontName=Co" xfId="25"/>
    <cellStyle name=" 3]_x000d__x000a_Zoomed=1_x000d__x000a_Row=0_x000d__x000a_Column=0_x000d__x000a_Height=300_x000d__x000a_Width=300_x000d__x000a_FontName=細明體_x000d__x000a_FontStyle=0_x000d__x000a_FontSize=9_x000d__x000a_PrtFontName=Co 2" xfId="26"/>
    <cellStyle name="百分比" xfId="17" builtinId="5"/>
    <cellStyle name="百分比 2" xfId="14"/>
    <cellStyle name="常规" xfId="0" builtinId="0"/>
    <cellStyle name="常规 16" xfId="10"/>
    <cellStyle name="常规 2" xfId="1"/>
    <cellStyle name="常规 2 2" xfId="8"/>
    <cellStyle name="常规 2 2 2" xfId="28"/>
    <cellStyle name="常规 2 2 2 2" xfId="71"/>
    <cellStyle name="常规 2 2 2 2 3" xfId="15"/>
    <cellStyle name="常规 2 2 2 3" xfId="115"/>
    <cellStyle name="常规 2 2 3" xfId="29"/>
    <cellStyle name="常规 2 2 3 2" xfId="72"/>
    <cellStyle name="常规 2 2 3 3" xfId="116"/>
    <cellStyle name="常规 2 2 4" xfId="70"/>
    <cellStyle name="常规 2 2 5" xfId="117"/>
    <cellStyle name="常规 2 2 6" xfId="27"/>
    <cellStyle name="常规 2 3" xfId="30"/>
    <cellStyle name="常规 2 3 2" xfId="31"/>
    <cellStyle name="常规 2 3 2 2" xfId="74"/>
    <cellStyle name="常规 2 3 2 3" xfId="118"/>
    <cellStyle name="常规 2 3 3" xfId="32"/>
    <cellStyle name="常规 2 3 3 2" xfId="75"/>
    <cellStyle name="常规 2 3 3 3" xfId="119"/>
    <cellStyle name="常规 2 3 4" xfId="73"/>
    <cellStyle name="常规 2 3 5" xfId="120"/>
    <cellStyle name="常规 2 4" xfId="33"/>
    <cellStyle name="常规 2 4 2" xfId="76"/>
    <cellStyle name="常规 2 4 3" xfId="121"/>
    <cellStyle name="常规 2 5" xfId="69"/>
    <cellStyle name="常规 2 6" xfId="122"/>
    <cellStyle name="常规 2 7" xfId="20"/>
    <cellStyle name="常规 3" xfId="2"/>
    <cellStyle name="常规 3 2" xfId="3"/>
    <cellStyle name="常规 3 2 2" xfId="35"/>
    <cellStyle name="常规 3 2 2 2" xfId="79"/>
    <cellStyle name="常规 3 2 2 3" xfId="123"/>
    <cellStyle name="常规 3 2 3" xfId="36"/>
    <cellStyle name="常规 3 2 3 2" xfId="80"/>
    <cellStyle name="常规 3 2 3 3" xfId="124"/>
    <cellStyle name="常规 3 2 4" xfId="78"/>
    <cellStyle name="常规 3 2 5" xfId="125"/>
    <cellStyle name="常规 3 2 6" xfId="34"/>
    <cellStyle name="常规 3 3" xfId="37"/>
    <cellStyle name="常规 3 3 2" xfId="38"/>
    <cellStyle name="常规 3 3 2 2" xfId="82"/>
    <cellStyle name="常规 3 3 2 3" xfId="126"/>
    <cellStyle name="常规 3 3 3" xfId="39"/>
    <cellStyle name="常规 3 3 3 2" xfId="83"/>
    <cellStyle name="常规 3 3 3 3" xfId="127"/>
    <cellStyle name="常规 3 3 4" xfId="81"/>
    <cellStyle name="常规 3 3 5" xfId="128"/>
    <cellStyle name="常规 3 4" xfId="40"/>
    <cellStyle name="常规 3 4 2" xfId="84"/>
    <cellStyle name="常规 3 4 3" xfId="129"/>
    <cellStyle name="常规 3 5" xfId="77"/>
    <cellStyle name="常规 3 6" xfId="130"/>
    <cellStyle name="常规 3 7" xfId="21"/>
    <cellStyle name="常规 4" xfId="4"/>
    <cellStyle name="常规 4 2" xfId="41"/>
    <cellStyle name="常规 4 2 2" xfId="42"/>
    <cellStyle name="常规 4 2 2 2" xfId="87"/>
    <cellStyle name="常规 4 2 2 3" xfId="131"/>
    <cellStyle name="常规 4 2 3" xfId="43"/>
    <cellStyle name="常规 4 2 3 2" xfId="88"/>
    <cellStyle name="常规 4 2 3 3" xfId="132"/>
    <cellStyle name="常规 4 2 4" xfId="86"/>
    <cellStyle name="常规 4 2 5" xfId="133"/>
    <cellStyle name="常规 4 3" xfId="44"/>
    <cellStyle name="常规 4 3 2" xfId="89"/>
    <cellStyle name="常规 4 3 3" xfId="134"/>
    <cellStyle name="常规 4 4" xfId="85"/>
    <cellStyle name="常规 4 5" xfId="135"/>
    <cellStyle name="常规 5" xfId="5"/>
    <cellStyle name="常规 5 2" xfId="46"/>
    <cellStyle name="常规 5 2 2" xfId="47"/>
    <cellStyle name="常规 5 2 2 2" xfId="92"/>
    <cellStyle name="常规 5 2 2 3" xfId="136"/>
    <cellStyle name="常规 5 2 3" xfId="48"/>
    <cellStyle name="常规 5 2 3 2" xfId="93"/>
    <cellStyle name="常规 5 2 3 3" xfId="137"/>
    <cellStyle name="常规 5 2 4" xfId="91"/>
    <cellStyle name="常规 5 2 5" xfId="138"/>
    <cellStyle name="常规 5 3" xfId="49"/>
    <cellStyle name="常规 5 3 2" xfId="94"/>
    <cellStyle name="常规 5 3 3" xfId="139"/>
    <cellStyle name="常规 5 4" xfId="50"/>
    <cellStyle name="常规 5 4 2" xfId="95"/>
    <cellStyle name="常规 5 4 3" xfId="140"/>
    <cellStyle name="常规 5 5" xfId="45"/>
    <cellStyle name="常规 5 5 2" xfId="141"/>
    <cellStyle name="常规 5 6" xfId="90"/>
    <cellStyle name="常规 5 7" xfId="142"/>
    <cellStyle name="常规 5 8" xfId="22"/>
    <cellStyle name="常规 6" xfId="6"/>
    <cellStyle name="常规 6 2" xfId="9"/>
    <cellStyle name="常规 6 2 2" xfId="16"/>
    <cellStyle name="常规 6 2 2 2" xfId="97"/>
    <cellStyle name="常规 6 2 3" xfId="13"/>
    <cellStyle name="常规 6 2 3 2" xfId="143"/>
    <cellStyle name="常规 6 2 4" xfId="52"/>
    <cellStyle name="常规 6 3" xfId="53"/>
    <cellStyle name="常规 6 4" xfId="96"/>
    <cellStyle name="常规 6 5" xfId="144"/>
    <cellStyle name="常规 6 6" xfId="51"/>
    <cellStyle name="常规 7" xfId="7"/>
    <cellStyle name="常规 7 2" xfId="98"/>
    <cellStyle name="常规 7 3" xfId="145"/>
    <cellStyle name="常规 8" xfId="11"/>
    <cellStyle name="常规 8 2" xfId="24"/>
    <cellStyle name="常规 9" xfId="12"/>
    <cellStyle name="常规 9 2" xfId="146"/>
    <cellStyle name="常规_Sheet1" xfId="18"/>
    <cellStyle name="超链接 2" xfId="54"/>
    <cellStyle name="超链接 2 2" xfId="55"/>
    <cellStyle name="超链接 2 2 2" xfId="101"/>
    <cellStyle name="超链接 2 2 3" xfId="147"/>
    <cellStyle name="超链接 2 3" xfId="56"/>
    <cellStyle name="超链接 2 3 2" xfId="102"/>
    <cellStyle name="超链接 2 3 3" xfId="148"/>
    <cellStyle name="超链接 2 4" xfId="100"/>
    <cellStyle name="超链接 2 5" xfId="149"/>
    <cellStyle name="超链接 3" xfId="57"/>
    <cellStyle name="超链接 3 2" xfId="58"/>
    <cellStyle name="超链接 3 2 2" xfId="104"/>
    <cellStyle name="超链接 3 2 3" xfId="150"/>
    <cellStyle name="超链接 3 3" xfId="103"/>
    <cellStyle name="超链接 3 4" xfId="151"/>
    <cellStyle name="超链接 4" xfId="99"/>
    <cellStyle name="超链接 5" xfId="152"/>
    <cellStyle name="千位分隔 2" xfId="23"/>
    <cellStyle name="千位分隔 2 2" xfId="59"/>
    <cellStyle name="千位分隔 2 2 2" xfId="60"/>
    <cellStyle name="千位分隔 2 2 2 2" xfId="107"/>
    <cellStyle name="千位分隔 2 2 2 3" xfId="153"/>
    <cellStyle name="千位分隔 2 2 3" xfId="61"/>
    <cellStyle name="千位分隔 2 2 3 2" xfId="108"/>
    <cellStyle name="千位分隔 2 2 3 3" xfId="154"/>
    <cellStyle name="千位分隔 2 2 4" xfId="106"/>
    <cellStyle name="千位分隔 2 2 5" xfId="155"/>
    <cellStyle name="千位分隔 2 3" xfId="62"/>
    <cellStyle name="千位分隔 2 3 2" xfId="109"/>
    <cellStyle name="千位分隔 2 3 3" xfId="156"/>
    <cellStyle name="千位分隔 2 4" xfId="105"/>
    <cellStyle name="千位分隔 2 5" xfId="157"/>
    <cellStyle name="千位分隔 3" xfId="63"/>
    <cellStyle name="千位分隔 3 2" xfId="64"/>
    <cellStyle name="千位分隔 3 2 2" xfId="111"/>
    <cellStyle name="千位分隔 3 2 3" xfId="158"/>
    <cellStyle name="千位分隔 3 3" xfId="65"/>
    <cellStyle name="千位分隔 3 3 2" xfId="112"/>
    <cellStyle name="千位分隔 3 3 3" xfId="159"/>
    <cellStyle name="千位分隔 3 4" xfId="110"/>
    <cellStyle name="千位分隔 3 5" xfId="160"/>
    <cellStyle name="千位分隔 4" xfId="66"/>
    <cellStyle name="千位分隔 4 2" xfId="67"/>
    <cellStyle name="千位分隔 4 2 2" xfId="114"/>
    <cellStyle name="千位分隔 4 2 3" xfId="161"/>
    <cellStyle name="千位分隔 4 3" xfId="113"/>
    <cellStyle name="千位分隔 4 4" xfId="162"/>
    <cellStyle name="千位分隔 5" xfId="163"/>
    <cellStyle name="千位分隔 6" xfId="19"/>
    <cellStyle name="一般_Sheet1" xfId="68"/>
  </cellStyles>
  <dxfs count="27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37202;&#24215;&#21150;&#20844;&#36710;&#24211;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row r="35">
          <cell r="F35">
            <v>0</v>
          </cell>
        </row>
        <row r="37">
          <cell r="B37" t="str">
            <v>六级</v>
          </cell>
          <cell r="C37" t="str">
            <v>六级</v>
          </cell>
          <cell r="D37" t="str">
            <v>六级</v>
          </cell>
        </row>
      </sheetData>
      <sheetData sheetId="11" refreshError="1"/>
      <sheetData sheetId="12" refreshError="1"/>
      <sheetData sheetId="13" refreshError="1">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efreshError="1">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efreshError="1"/>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按楼清单"/>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9">
          <cell r="G19">
            <v>59895</v>
          </cell>
        </row>
      </sheetData>
      <sheetData sheetId="31"/>
      <sheetData sheetId="32"/>
      <sheetData sheetId="33"/>
      <sheetData sheetId="34"/>
      <sheetData sheetId="35"/>
      <sheetData sheetId="36">
        <row r="13">
          <cell r="C13">
            <v>1737</v>
          </cell>
        </row>
      </sheetData>
      <sheetData sheetId="37">
        <row r="13">
          <cell r="C13">
            <v>5160</v>
          </cell>
        </row>
      </sheetData>
      <sheetData sheetId="38"/>
      <sheetData sheetId="39"/>
      <sheetData sheetId="40"/>
      <sheetData sheetId="41">
        <row r="118">
          <cell r="H118">
            <v>10621</v>
          </cell>
        </row>
      </sheetData>
      <sheetData sheetId="42"/>
      <sheetData sheetId="43"/>
      <sheetData sheetId="44"/>
      <sheetData sheetId="45">
        <row r="13">
          <cell r="C13">
            <v>4926</v>
          </cell>
        </row>
      </sheetData>
      <sheetData sheetId="46">
        <row r="118">
          <cell r="H118">
            <v>55014</v>
          </cell>
        </row>
      </sheetData>
      <sheetData sheetId="47"/>
      <sheetData sheetId="48"/>
      <sheetData sheetId="49"/>
      <sheetData sheetId="50"/>
      <sheetData sheetId="51"/>
      <sheetData sheetId="52"/>
      <sheetData sheetId="53">
        <row r="13">
          <cell r="C13">
            <v>10450</v>
          </cell>
        </row>
      </sheetData>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估价对象为北京市朝阳区广顺北大街16号院1、2、3号楼房地产，为所有。根据《国有土地使用证》[]，估价对象（分摊）出让国有建设用地使用权面积为10126.19平方米，建筑面积为44104.41平方米。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10126.19平方米，规划建筑面积为44104.41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167313</v>
      </c>
    </row>
    <row r="21" spans="1:2" s="1573" customFormat="1">
      <c r="A21" s="1571" t="s">
        <v>1224</v>
      </c>
      <c r="B21" s="1572">
        <f ca="1">'预评函-2'!D7</f>
        <v>37936</v>
      </c>
    </row>
    <row r="22" spans="1:2" s="1573" customFormat="1">
      <c r="A22" s="1571" t="s">
        <v>1225</v>
      </c>
      <c r="B22" s="1572" t="str">
        <f ca="1">'预评函-2'!D6</f>
        <v>壹拾陆亿柒仟叁佰壹拾叁万元整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167313</v>
      </c>
    </row>
    <row r="31" spans="1:2" s="1573" customFormat="1">
      <c r="A31" s="1571" t="s">
        <v>1263</v>
      </c>
      <c r="B31" s="1572">
        <f ca="1">'预评函-2'!D15</f>
        <v>37936</v>
      </c>
    </row>
    <row r="32" spans="1:2" s="1573" customFormat="1">
      <c r="A32" s="1571" t="s">
        <v>1230</v>
      </c>
      <c r="B32" s="1572" t="str">
        <f ca="1">'预评函-2'!D14</f>
        <v>壹拾陆亿柒仟叁佰壹拾叁万元整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44104.409999999996</v>
      </c>
    </row>
    <row r="44" spans="1:2" s="1573" customFormat="1">
      <c r="A44" s="1571" t="s">
        <v>1262</v>
      </c>
      <c r="B44" s="1572" t="str">
        <f>'预评函-3'!C2</f>
        <v>(分摊)土地面积</v>
      </c>
    </row>
    <row r="45" spans="1:2" s="1573" customFormat="1">
      <c r="A45" s="1571" t="s">
        <v>1234</v>
      </c>
      <c r="B45" s="1572">
        <f>'预评函-3'!C4</f>
        <v>10126.19</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30" workbookViewId="0">
      <selection activeCell="I150" sqref="I150"/>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3174</v>
      </c>
      <c r="B1" s="2997" t="s">
        <v>3675</v>
      </c>
      <c r="C1" s="2997" t="s">
        <v>3176</v>
      </c>
      <c r="D1" s="2998" t="s">
        <v>3177</v>
      </c>
      <c r="E1" s="2997" t="s">
        <v>3178</v>
      </c>
      <c r="F1" s="2997" t="s">
        <v>3179</v>
      </c>
      <c r="G1" s="2998" t="s">
        <v>3180</v>
      </c>
      <c r="H1" s="2997" t="s">
        <v>3181</v>
      </c>
      <c r="I1" s="2997" t="s">
        <v>3182</v>
      </c>
    </row>
    <row r="2" spans="1:11" s="3439" customFormat="1">
      <c r="A2" s="3437">
        <v>9</v>
      </c>
      <c r="B2" s="3437" t="s">
        <v>3226</v>
      </c>
      <c r="C2" s="3437" t="s">
        <v>3206</v>
      </c>
      <c r="D2" s="3438" t="s">
        <v>3207</v>
      </c>
      <c r="E2" s="3437" t="s">
        <v>3123</v>
      </c>
      <c r="F2" s="3437" t="s">
        <v>3195</v>
      </c>
      <c r="G2" s="3438" t="s">
        <v>1028</v>
      </c>
      <c r="H2" s="3437" t="s">
        <v>3196</v>
      </c>
      <c r="I2" s="343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s="3439" customFormat="1">
      <c r="A15" s="3437">
        <v>4</v>
      </c>
      <c r="B15" s="3437" t="s">
        <v>3192</v>
      </c>
      <c r="C15" s="3437" t="s">
        <v>3193</v>
      </c>
      <c r="D15" s="3438" t="s">
        <v>3194</v>
      </c>
      <c r="E15" s="3437" t="s">
        <v>3123</v>
      </c>
      <c r="F15" s="3437" t="s">
        <v>3195</v>
      </c>
      <c r="G15" s="3438" t="s">
        <v>3188</v>
      </c>
      <c r="H15" s="3437" t="s">
        <v>3196</v>
      </c>
      <c r="I15" s="343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3429</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s="3439" customFormat="1">
      <c r="A115" s="3437">
        <v>1</v>
      </c>
      <c r="B115" s="3437" t="s">
        <v>3183</v>
      </c>
      <c r="C115" s="3437" t="s">
        <v>3184</v>
      </c>
      <c r="D115" s="3438" t="s">
        <v>3185</v>
      </c>
      <c r="E115" s="3437" t="s">
        <v>3123</v>
      </c>
      <c r="F115" s="3437" t="s">
        <v>3187</v>
      </c>
      <c r="G115" s="3438" t="s">
        <v>3188</v>
      </c>
      <c r="H115" s="3437" t="s">
        <v>3189</v>
      </c>
      <c r="I115" s="3437">
        <v>5960.53</v>
      </c>
    </row>
    <row r="116" spans="1:9" s="3439" customFormat="1">
      <c r="A116" s="3437">
        <v>2</v>
      </c>
      <c r="B116" s="3437" t="s">
        <v>3183</v>
      </c>
      <c r="C116" s="3437" t="s">
        <v>3184</v>
      </c>
      <c r="D116" s="3438" t="s">
        <v>3190</v>
      </c>
      <c r="E116" s="3437" t="s">
        <v>3123</v>
      </c>
      <c r="F116" s="3437" t="s">
        <v>3187</v>
      </c>
      <c r="G116" s="3438" t="s">
        <v>3188</v>
      </c>
      <c r="H116" s="3437" t="s">
        <v>3189</v>
      </c>
      <c r="I116" s="3437">
        <v>2831.2</v>
      </c>
    </row>
    <row r="117" spans="1:9" s="3439" customFormat="1">
      <c r="A117" s="3437">
        <v>3</v>
      </c>
      <c r="B117" s="3437" t="s">
        <v>3183</v>
      </c>
      <c r="C117" s="3437" t="s">
        <v>3184</v>
      </c>
      <c r="D117" s="3438" t="s">
        <v>3191</v>
      </c>
      <c r="E117" s="3437" t="s">
        <v>3123</v>
      </c>
      <c r="F117" s="3437" t="s">
        <v>3187</v>
      </c>
      <c r="G117" s="3438" t="s">
        <v>3188</v>
      </c>
      <c r="H117" s="3437" t="s">
        <v>3189</v>
      </c>
      <c r="I117" s="3437">
        <v>973.41</v>
      </c>
    </row>
    <row r="118" spans="1:9" s="3439" customFormat="1">
      <c r="A118" s="3437">
        <v>5</v>
      </c>
      <c r="B118" s="3437" t="s">
        <v>3183</v>
      </c>
      <c r="C118" s="3437" t="s">
        <v>3184</v>
      </c>
      <c r="D118" s="3438" t="s">
        <v>3197</v>
      </c>
      <c r="E118" s="3437" t="s">
        <v>3123</v>
      </c>
      <c r="F118" s="3437" t="s">
        <v>3198</v>
      </c>
      <c r="G118" s="3438" t="s">
        <v>3199</v>
      </c>
      <c r="H118" s="3437" t="s">
        <v>3189</v>
      </c>
      <c r="I118" s="3437">
        <v>8925.85</v>
      </c>
    </row>
    <row r="119" spans="1:9" s="3439" customFormat="1">
      <c r="A119" s="3437">
        <v>6</v>
      </c>
      <c r="B119" s="3437" t="s">
        <v>3183</v>
      </c>
      <c r="C119" s="3437" t="s">
        <v>3184</v>
      </c>
      <c r="D119" s="3438" t="s">
        <v>3200</v>
      </c>
      <c r="E119" s="3437" t="s">
        <v>3123</v>
      </c>
      <c r="F119" s="3437" t="s">
        <v>3187</v>
      </c>
      <c r="G119" s="3438" t="s">
        <v>3199</v>
      </c>
      <c r="H119" s="3437" t="s">
        <v>3189</v>
      </c>
      <c r="I119" s="3437">
        <v>1999.18</v>
      </c>
    </row>
    <row r="120" spans="1:9" s="3439" customFormat="1">
      <c r="A120" s="3437">
        <v>7</v>
      </c>
      <c r="B120" s="3437" t="s">
        <v>3183</v>
      </c>
      <c r="C120" s="3437" t="s">
        <v>3184</v>
      </c>
      <c r="D120" s="3438" t="s">
        <v>3201</v>
      </c>
      <c r="E120" s="3437" t="s">
        <v>3123</v>
      </c>
      <c r="F120" s="3437" t="s">
        <v>3187</v>
      </c>
      <c r="G120" s="3438" t="s">
        <v>1027</v>
      </c>
      <c r="H120" s="3437" t="s">
        <v>3189</v>
      </c>
      <c r="I120" s="3437">
        <v>8965.7800000000007</v>
      </c>
    </row>
    <row r="121" spans="1:9" s="3439" customFormat="1">
      <c r="A121" s="3437">
        <v>8</v>
      </c>
      <c r="B121" s="3437" t="s">
        <v>3183</v>
      </c>
      <c r="C121" s="3437" t="s">
        <v>3203</v>
      </c>
      <c r="D121" s="3438" t="s">
        <v>3204</v>
      </c>
      <c r="E121" s="3437" t="s">
        <v>3123</v>
      </c>
      <c r="F121" s="3437" t="s">
        <v>3187</v>
      </c>
      <c r="G121" s="3438" t="s">
        <v>1027</v>
      </c>
      <c r="H121" s="3437" t="s">
        <v>3189</v>
      </c>
      <c r="I121" s="3437">
        <v>1991.5</v>
      </c>
    </row>
    <row r="122" spans="1:9" s="3439" customFormat="1">
      <c r="A122" s="3437">
        <v>10</v>
      </c>
      <c r="B122" s="3437" t="s">
        <v>3183</v>
      </c>
      <c r="C122" s="3437" t="s">
        <v>3184</v>
      </c>
      <c r="D122" s="3438" t="s">
        <v>3209</v>
      </c>
      <c r="E122" s="3437" t="s">
        <v>3123</v>
      </c>
      <c r="F122" s="3437" t="s">
        <v>3187</v>
      </c>
      <c r="G122" s="3438" t="s">
        <v>1028</v>
      </c>
      <c r="H122" s="3437" t="s">
        <v>3189</v>
      </c>
      <c r="I122" s="343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C158" s="2999">
        <f>SUM(B153:B158)</f>
        <v>74891.09</v>
      </c>
      <c r="D158" s="2999"/>
      <c r="G158" s="2999"/>
    </row>
    <row r="159" spans="1:9">
      <c r="A159" s="2997" t="s">
        <v>3423</v>
      </c>
      <c r="B159" s="2997">
        <f>SUM(I123:I149,I14)-B160</f>
        <v>13156.989999999996</v>
      </c>
      <c r="C159" s="2999">
        <f>'数据-基础表'!A3</f>
        <v>20660.93</v>
      </c>
      <c r="D159" s="2999"/>
      <c r="G159" s="2999"/>
    </row>
    <row r="160" spans="1:9">
      <c r="A160" s="2997" t="s">
        <v>3431</v>
      </c>
      <c r="B160" s="2997">
        <f>I130</f>
        <v>1940.16</v>
      </c>
      <c r="C160" s="2999">
        <f>C158/C159</f>
        <v>3.6247685849572111</v>
      </c>
      <c r="D160" s="2999"/>
      <c r="G160" s="2999"/>
    </row>
    <row r="161" spans="1:9">
      <c r="A161" s="2997" t="s">
        <v>3432</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3426</v>
      </c>
      <c r="I164" s="3000" t="s">
        <v>3430</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37936</v>
      </c>
      <c r="D170" s="2999"/>
      <c r="G170" s="2999"/>
    </row>
    <row r="171" spans="1:9">
      <c r="C171" s="2999">
        <f ca="1">C170/B170</f>
        <v>60215.873015873018</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178"/>
  <sheetViews>
    <sheetView topLeftCell="A136" workbookViewId="0">
      <selection activeCell="I152" sqref="I152"/>
    </sheetView>
  </sheetViews>
  <sheetFormatPr defaultColWidth="9" defaultRowHeight="12"/>
  <cols>
    <col min="1" max="1" width="9" style="2999" customWidth="1"/>
    <col min="2" max="2" width="22.75" style="2999" bestFit="1" customWidth="1"/>
    <col min="3" max="3" width="13.875" style="2999" customWidth="1"/>
    <col min="4" max="4" width="12.625" style="3005" customWidth="1"/>
    <col min="5" max="5" width="13.375" style="2999" customWidth="1"/>
    <col min="6" max="6" width="16.75" style="2999" customWidth="1"/>
    <col min="7" max="7" width="14.125" style="3005" bestFit="1" customWidth="1"/>
    <col min="8" max="8" width="16.5" style="2999" bestFit="1" customWidth="1"/>
    <col min="9" max="10" width="9" style="2999"/>
    <col min="11" max="11" width="19.625" style="2999" customWidth="1"/>
    <col min="12" max="12" width="20.125" style="2999" customWidth="1"/>
    <col min="13" max="13" width="11.375" style="2999" bestFit="1" customWidth="1"/>
    <col min="14" max="15" width="14.125" style="2999" bestFit="1" customWidth="1"/>
    <col min="16" max="16384" width="9" style="2999"/>
  </cols>
  <sheetData>
    <row r="1" spans="1:11">
      <c r="A1" s="2997" t="s">
        <v>3174</v>
      </c>
      <c r="B1" s="2997" t="s">
        <v>3675</v>
      </c>
      <c r="C1" s="2997" t="s">
        <v>3176</v>
      </c>
      <c r="D1" s="2998" t="s">
        <v>3177</v>
      </c>
      <c r="E1" s="2997" t="s">
        <v>3178</v>
      </c>
      <c r="F1" s="2997" t="s">
        <v>3179</v>
      </c>
      <c r="G1" s="2998" t="s">
        <v>3180</v>
      </c>
      <c r="H1" s="2997" t="s">
        <v>3181</v>
      </c>
      <c r="I1" s="2997" t="s">
        <v>3182</v>
      </c>
    </row>
    <row r="2" spans="1:11" s="3439" customFormat="1">
      <c r="A2" s="3437">
        <v>9</v>
      </c>
      <c r="B2" s="3437" t="s">
        <v>3205</v>
      </c>
      <c r="C2" s="3437" t="s">
        <v>3206</v>
      </c>
      <c r="D2" s="3438" t="s">
        <v>3207</v>
      </c>
      <c r="E2" s="3437" t="s">
        <v>3079</v>
      </c>
      <c r="F2" s="3437" t="s">
        <v>3195</v>
      </c>
      <c r="G2" s="3438" t="s">
        <v>1028</v>
      </c>
      <c r="H2" s="3437" t="s">
        <v>3196</v>
      </c>
      <c r="I2" s="3437">
        <v>1078.23</v>
      </c>
    </row>
    <row r="3" spans="1:11">
      <c r="A3" s="2997">
        <v>11</v>
      </c>
      <c r="B3" s="2997" t="s">
        <v>3205</v>
      </c>
      <c r="C3" s="2997" t="s">
        <v>3206</v>
      </c>
      <c r="D3" s="2998" t="s">
        <v>3210</v>
      </c>
      <c r="E3" s="2997" t="s">
        <v>3079</v>
      </c>
      <c r="F3" s="2997" t="s">
        <v>3195</v>
      </c>
      <c r="G3" s="2998" t="s">
        <v>3211</v>
      </c>
      <c r="H3" s="2997" t="s">
        <v>3196</v>
      </c>
      <c r="I3" s="2997">
        <v>1443.69</v>
      </c>
    </row>
    <row r="4" spans="1:11">
      <c r="A4" s="2997">
        <v>21</v>
      </c>
      <c r="B4" s="2997" t="s">
        <v>3205</v>
      </c>
      <c r="C4" s="2997" t="s">
        <v>3206</v>
      </c>
      <c r="D4" s="2998" t="s">
        <v>3228</v>
      </c>
      <c r="E4" s="2997" t="s">
        <v>3079</v>
      </c>
      <c r="F4" s="2997" t="s">
        <v>3195</v>
      </c>
      <c r="G4" s="2998" t="s">
        <v>3229</v>
      </c>
      <c r="H4" s="2997" t="s">
        <v>3196</v>
      </c>
      <c r="I4" s="2997">
        <v>1443.69</v>
      </c>
    </row>
    <row r="5" spans="1:11">
      <c r="A5" s="2997">
        <v>31</v>
      </c>
      <c r="B5" s="2997" t="s">
        <v>3205</v>
      </c>
      <c r="C5" s="2997" t="s">
        <v>3206</v>
      </c>
      <c r="D5" s="2998" t="s">
        <v>3244</v>
      </c>
      <c r="E5" s="2997" t="s">
        <v>3079</v>
      </c>
      <c r="F5" s="2997" t="s">
        <v>3195</v>
      </c>
      <c r="G5" s="2998" t="s">
        <v>3247</v>
      </c>
      <c r="H5" s="2997" t="s">
        <v>3196</v>
      </c>
      <c r="I5" s="2997">
        <v>1443.69</v>
      </c>
    </row>
    <row r="6" spans="1:11">
      <c r="A6" s="2997">
        <v>41</v>
      </c>
      <c r="B6" s="2997" t="s">
        <v>3205</v>
      </c>
      <c r="C6" s="2997" t="s">
        <v>3206</v>
      </c>
      <c r="D6" s="2998" t="s">
        <v>3260</v>
      </c>
      <c r="E6" s="2997" t="s">
        <v>3079</v>
      </c>
      <c r="F6" s="2997" t="s">
        <v>3195</v>
      </c>
      <c r="G6" s="2998" t="s">
        <v>3261</v>
      </c>
      <c r="H6" s="2997" t="s">
        <v>3196</v>
      </c>
      <c r="I6" s="2997">
        <v>1443.69</v>
      </c>
    </row>
    <row r="7" spans="1:11">
      <c r="A7" s="2997">
        <v>51</v>
      </c>
      <c r="B7" s="2997" t="s">
        <v>3205</v>
      </c>
      <c r="C7" s="2997" t="s">
        <v>3206</v>
      </c>
      <c r="D7" s="2998" t="s">
        <v>3271</v>
      </c>
      <c r="E7" s="2997" t="s">
        <v>3079</v>
      </c>
      <c r="F7" s="2997" t="s">
        <v>3195</v>
      </c>
      <c r="G7" s="2998" t="s">
        <v>3272</v>
      </c>
      <c r="H7" s="2997" t="s">
        <v>3196</v>
      </c>
      <c r="I7" s="2997">
        <v>1443.69</v>
      </c>
    </row>
    <row r="8" spans="1:11">
      <c r="A8" s="2997">
        <v>61</v>
      </c>
      <c r="B8" s="2997" t="s">
        <v>3205</v>
      </c>
      <c r="C8" s="2997" t="s">
        <v>3206</v>
      </c>
      <c r="D8" s="2998" t="s">
        <v>3284</v>
      </c>
      <c r="E8" s="2997" t="s">
        <v>3079</v>
      </c>
      <c r="F8" s="2997" t="s">
        <v>3195</v>
      </c>
      <c r="G8" s="2998" t="s">
        <v>3285</v>
      </c>
      <c r="H8" s="2997" t="s">
        <v>3196</v>
      </c>
      <c r="I8" s="2997">
        <v>1443.69</v>
      </c>
      <c r="J8" s="3004"/>
      <c r="K8" s="3004"/>
    </row>
    <row r="9" spans="1:11">
      <c r="A9" s="2997">
        <v>71</v>
      </c>
      <c r="B9" s="2997" t="s">
        <v>3205</v>
      </c>
      <c r="C9" s="2997" t="s">
        <v>3206</v>
      </c>
      <c r="D9" s="2998" t="s">
        <v>3295</v>
      </c>
      <c r="E9" s="2997" t="s">
        <v>3079</v>
      </c>
      <c r="F9" s="2997" t="s">
        <v>3195</v>
      </c>
      <c r="G9" s="2998" t="s">
        <v>3296</v>
      </c>
      <c r="H9" s="2997" t="s">
        <v>3196</v>
      </c>
      <c r="I9" s="2997">
        <v>1443.69</v>
      </c>
    </row>
    <row r="10" spans="1:11">
      <c r="A10" s="2997">
        <v>81</v>
      </c>
      <c r="B10" s="2997" t="s">
        <v>3205</v>
      </c>
      <c r="C10" s="2997" t="s">
        <v>3206</v>
      </c>
      <c r="D10" s="2998" t="s">
        <v>3309</v>
      </c>
      <c r="E10" s="2997" t="s">
        <v>3079</v>
      </c>
      <c r="F10" s="2997" t="s">
        <v>3195</v>
      </c>
      <c r="G10" s="2998" t="s">
        <v>3310</v>
      </c>
      <c r="H10" s="2997" t="s">
        <v>3196</v>
      </c>
      <c r="I10" s="2997">
        <v>1443.69</v>
      </c>
    </row>
    <row r="11" spans="1:11">
      <c r="A11" s="2997">
        <v>91</v>
      </c>
      <c r="B11" s="2997" t="s">
        <v>3205</v>
      </c>
      <c r="C11" s="2997" t="s">
        <v>3206</v>
      </c>
      <c r="D11" s="2998" t="s">
        <v>3322</v>
      </c>
      <c r="E11" s="2997" t="s">
        <v>3079</v>
      </c>
      <c r="F11" s="2997" t="s">
        <v>3195</v>
      </c>
      <c r="G11" s="2998" t="s">
        <v>3323</v>
      </c>
      <c r="H11" s="2997" t="s">
        <v>3196</v>
      </c>
      <c r="I11" s="2997">
        <v>1443.69</v>
      </c>
    </row>
    <row r="12" spans="1:11">
      <c r="A12" s="2997">
        <v>101</v>
      </c>
      <c r="B12" s="2997" t="s">
        <v>3205</v>
      </c>
      <c r="C12" s="2997" t="s">
        <v>3206</v>
      </c>
      <c r="D12" s="2998" t="s">
        <v>3334</v>
      </c>
      <c r="E12" s="2997" t="s">
        <v>3079</v>
      </c>
      <c r="F12" s="2997" t="s">
        <v>3195</v>
      </c>
      <c r="G12" s="2998" t="s">
        <v>3335</v>
      </c>
      <c r="H12" s="2997" t="s">
        <v>3196</v>
      </c>
      <c r="I12" s="2997">
        <v>1443.69</v>
      </c>
    </row>
    <row r="13" spans="1:11">
      <c r="A13" s="2997">
        <v>111</v>
      </c>
      <c r="B13" s="2997" t="s">
        <v>3205</v>
      </c>
      <c r="C13" s="2997" t="s">
        <v>3206</v>
      </c>
      <c r="D13" s="2998" t="s">
        <v>3346</v>
      </c>
      <c r="E13" s="2997" t="s">
        <v>3079</v>
      </c>
      <c r="F13" s="2997" t="s">
        <v>3195</v>
      </c>
      <c r="G13" s="2998" t="s">
        <v>3347</v>
      </c>
      <c r="H13" s="2997" t="s">
        <v>3196</v>
      </c>
      <c r="I13" s="2997">
        <v>1443.69</v>
      </c>
    </row>
    <row r="14" spans="1:11">
      <c r="A14" s="2997">
        <v>121</v>
      </c>
      <c r="B14" s="2997" t="s">
        <v>3205</v>
      </c>
      <c r="C14" s="2997" t="s">
        <v>3206</v>
      </c>
      <c r="D14" s="2998" t="s">
        <v>3358</v>
      </c>
      <c r="E14" s="2997" t="s">
        <v>3079</v>
      </c>
      <c r="F14" s="2997" t="s">
        <v>3195</v>
      </c>
      <c r="G14" s="2998" t="s">
        <v>3359</v>
      </c>
      <c r="H14" s="2997" t="s">
        <v>3360</v>
      </c>
      <c r="I14" s="2997">
        <v>701.01</v>
      </c>
    </row>
    <row r="15" spans="1:11">
      <c r="A15" s="2997"/>
      <c r="B15" s="2997" t="s">
        <v>3702</v>
      </c>
      <c r="C15" s="2997"/>
      <c r="D15" s="2998"/>
      <c r="E15" s="2997"/>
      <c r="F15" s="2997"/>
      <c r="G15" s="2998"/>
      <c r="H15" s="2997"/>
      <c r="I15" s="2997">
        <f>SUM(I2:I14)</f>
        <v>17659.830000000002</v>
      </c>
    </row>
    <row r="16" spans="1:11" s="3439" customFormat="1">
      <c r="A16" s="3437">
        <v>4</v>
      </c>
      <c r="B16" s="3437" t="s">
        <v>3192</v>
      </c>
      <c r="C16" s="3437" t="s">
        <v>3193</v>
      </c>
      <c r="D16" s="3438" t="s">
        <v>3194</v>
      </c>
      <c r="E16" s="3437" t="s">
        <v>3079</v>
      </c>
      <c r="F16" s="3437" t="s">
        <v>3195</v>
      </c>
      <c r="G16" s="3438" t="s">
        <v>3188</v>
      </c>
      <c r="H16" s="3437" t="s">
        <v>3196</v>
      </c>
      <c r="I16" s="3437">
        <v>31.96</v>
      </c>
    </row>
    <row r="17" spans="1:17">
      <c r="A17" s="2997">
        <v>12</v>
      </c>
      <c r="B17" s="2997" t="s">
        <v>3192</v>
      </c>
      <c r="C17" s="2997" t="s">
        <v>3193</v>
      </c>
      <c r="D17" s="2998" t="s">
        <v>3210</v>
      </c>
      <c r="E17" s="2997" t="s">
        <v>3079</v>
      </c>
      <c r="F17" s="2997" t="s">
        <v>3195</v>
      </c>
      <c r="G17" s="2998" t="s">
        <v>3211</v>
      </c>
      <c r="H17" s="2997" t="s">
        <v>3196</v>
      </c>
      <c r="I17" s="2997">
        <v>160.65</v>
      </c>
    </row>
    <row r="18" spans="1:17">
      <c r="A18" s="2997">
        <v>13</v>
      </c>
      <c r="B18" s="2997" t="s">
        <v>3192</v>
      </c>
      <c r="C18" s="2997" t="s">
        <v>3193</v>
      </c>
      <c r="D18" s="2998" t="s">
        <v>3212</v>
      </c>
      <c r="E18" s="2997" t="s">
        <v>3079</v>
      </c>
      <c r="F18" s="2997" t="s">
        <v>3195</v>
      </c>
      <c r="G18" s="2998" t="s">
        <v>3211</v>
      </c>
      <c r="H18" s="2997" t="s">
        <v>3196</v>
      </c>
      <c r="I18" s="2997">
        <v>152</v>
      </c>
    </row>
    <row r="19" spans="1:17">
      <c r="A19" s="2997">
        <v>14</v>
      </c>
      <c r="B19" s="2997" t="s">
        <v>3192</v>
      </c>
      <c r="C19" s="2997" t="s">
        <v>3193</v>
      </c>
      <c r="D19" s="2998" t="s">
        <v>3213</v>
      </c>
      <c r="E19" s="2997" t="s">
        <v>3079</v>
      </c>
      <c r="F19" s="2997" t="s">
        <v>3195</v>
      </c>
      <c r="G19" s="2998" t="s">
        <v>3211</v>
      </c>
      <c r="H19" s="2997" t="s">
        <v>3196</v>
      </c>
      <c r="I19" s="2997">
        <v>152</v>
      </c>
    </row>
    <row r="20" spans="1:17">
      <c r="A20" s="2997">
        <v>15</v>
      </c>
      <c r="B20" s="2997" t="s">
        <v>3192</v>
      </c>
      <c r="C20" s="2997" t="s">
        <v>3193</v>
      </c>
      <c r="D20" s="2998" t="s">
        <v>3214</v>
      </c>
      <c r="E20" s="2997" t="s">
        <v>3079</v>
      </c>
      <c r="F20" s="2997" t="s">
        <v>3195</v>
      </c>
      <c r="G20" s="2998" t="s">
        <v>3211</v>
      </c>
      <c r="H20" s="2997" t="s">
        <v>3196</v>
      </c>
      <c r="I20" s="2997">
        <v>152</v>
      </c>
    </row>
    <row r="21" spans="1:17">
      <c r="A21" s="2997">
        <v>16</v>
      </c>
      <c r="B21" s="2997" t="s">
        <v>3192</v>
      </c>
      <c r="C21" s="2997" t="s">
        <v>3193</v>
      </c>
      <c r="D21" s="2998" t="s">
        <v>3215</v>
      </c>
      <c r="E21" s="2997" t="s">
        <v>3079</v>
      </c>
      <c r="F21" s="2997" t="s">
        <v>3195</v>
      </c>
      <c r="G21" s="2998" t="s">
        <v>3211</v>
      </c>
      <c r="H21" s="2997" t="s">
        <v>3196</v>
      </c>
      <c r="I21" s="2997">
        <v>152</v>
      </c>
    </row>
    <row r="22" spans="1:17">
      <c r="A22" s="2997">
        <v>17</v>
      </c>
      <c r="B22" s="2997" t="s">
        <v>3192</v>
      </c>
      <c r="C22" s="2997" t="s">
        <v>3193</v>
      </c>
      <c r="D22" s="2998" t="s">
        <v>3216</v>
      </c>
      <c r="E22" s="2997" t="s">
        <v>3079</v>
      </c>
      <c r="F22" s="2997" t="s">
        <v>3195</v>
      </c>
      <c r="G22" s="2998" t="s">
        <v>3211</v>
      </c>
      <c r="H22" s="2997" t="s">
        <v>3196</v>
      </c>
      <c r="I22" s="2997">
        <v>208.31</v>
      </c>
    </row>
    <row r="23" spans="1:17">
      <c r="A23" s="2997">
        <v>18</v>
      </c>
      <c r="B23" s="2997" t="s">
        <v>3192</v>
      </c>
      <c r="C23" s="2997" t="s">
        <v>3193</v>
      </c>
      <c r="D23" s="2998" t="s">
        <v>3217</v>
      </c>
      <c r="E23" s="2997" t="s">
        <v>3079</v>
      </c>
      <c r="F23" s="2997" t="s">
        <v>3195</v>
      </c>
      <c r="G23" s="2998" t="s">
        <v>1029</v>
      </c>
      <c r="H23" s="2997" t="s">
        <v>3196</v>
      </c>
      <c r="I23" s="2997">
        <v>222.93</v>
      </c>
    </row>
    <row r="24" spans="1:17">
      <c r="A24" s="2997">
        <v>19</v>
      </c>
      <c r="B24" s="2997" t="s">
        <v>3192</v>
      </c>
      <c r="C24" s="2997" t="s">
        <v>3193</v>
      </c>
      <c r="D24" s="2998" t="s">
        <v>3224</v>
      </c>
      <c r="E24" s="2997" t="s">
        <v>3079</v>
      </c>
      <c r="F24" s="2997" t="s">
        <v>3195</v>
      </c>
      <c r="G24" s="2998" t="s">
        <v>1029</v>
      </c>
      <c r="H24" s="2997" t="s">
        <v>3196</v>
      </c>
      <c r="I24" s="2997">
        <v>152.03</v>
      </c>
    </row>
    <row r="25" spans="1:17">
      <c r="A25" s="2997">
        <v>20</v>
      </c>
      <c r="B25" s="2997" t="s">
        <v>3192</v>
      </c>
      <c r="C25" s="2997" t="s">
        <v>3193</v>
      </c>
      <c r="D25" s="2998" t="s">
        <v>3225</v>
      </c>
      <c r="E25" s="2997" t="s">
        <v>3079</v>
      </c>
      <c r="F25" s="2997" t="s">
        <v>3195</v>
      </c>
      <c r="G25" s="2998" t="s">
        <v>1029</v>
      </c>
      <c r="H25" s="2997" t="s">
        <v>3196</v>
      </c>
      <c r="I25" s="2997">
        <v>116.9</v>
      </c>
    </row>
    <row r="26" spans="1:17">
      <c r="A26" s="2997">
        <v>22</v>
      </c>
      <c r="B26" s="2997" t="s">
        <v>3192</v>
      </c>
      <c r="C26" s="2997" t="s">
        <v>3193</v>
      </c>
      <c r="D26" s="2998" t="s">
        <v>3228</v>
      </c>
      <c r="E26" s="2997" t="s">
        <v>3079</v>
      </c>
      <c r="F26" s="2997" t="s">
        <v>3195</v>
      </c>
      <c r="G26" s="2998" t="s">
        <v>3229</v>
      </c>
      <c r="H26" s="2997" t="s">
        <v>3196</v>
      </c>
      <c r="I26" s="2997">
        <v>160.65</v>
      </c>
    </row>
    <row r="27" spans="1:17">
      <c r="A27" s="2997">
        <v>23</v>
      </c>
      <c r="B27" s="2997" t="s">
        <v>3192</v>
      </c>
      <c r="C27" s="2997" t="s">
        <v>3193</v>
      </c>
      <c r="D27" s="2998" t="s">
        <v>3230</v>
      </c>
      <c r="E27" s="2997" t="s">
        <v>3079</v>
      </c>
      <c r="F27" s="2997" t="s">
        <v>3195</v>
      </c>
      <c r="G27" s="2998" t="s">
        <v>3229</v>
      </c>
      <c r="H27" s="2997" t="s">
        <v>3196</v>
      </c>
      <c r="I27" s="2997">
        <v>152</v>
      </c>
    </row>
    <row r="28" spans="1:17">
      <c r="A28" s="2997">
        <v>24</v>
      </c>
      <c r="B28" s="2997" t="s">
        <v>3192</v>
      </c>
      <c r="C28" s="2997" t="s">
        <v>3193</v>
      </c>
      <c r="D28" s="2998" t="s">
        <v>3231</v>
      </c>
      <c r="E28" s="2997" t="s">
        <v>3079</v>
      </c>
      <c r="F28" s="2997" t="s">
        <v>3195</v>
      </c>
      <c r="G28" s="2998" t="s">
        <v>3229</v>
      </c>
      <c r="H28" s="2997" t="s">
        <v>3196</v>
      </c>
      <c r="I28" s="2997">
        <v>152</v>
      </c>
    </row>
    <row r="29" spans="1:17">
      <c r="A29" s="2997">
        <v>25</v>
      </c>
      <c r="B29" s="2997" t="s">
        <v>3192</v>
      </c>
      <c r="C29" s="2997" t="s">
        <v>3193</v>
      </c>
      <c r="D29" s="2998" t="s">
        <v>3232</v>
      </c>
      <c r="E29" s="2997" t="s">
        <v>3079</v>
      </c>
      <c r="F29" s="2997" t="s">
        <v>3195</v>
      </c>
      <c r="G29" s="2998" t="s">
        <v>3229</v>
      </c>
      <c r="H29" s="2997" t="s">
        <v>3196</v>
      </c>
      <c r="I29" s="2997">
        <v>152</v>
      </c>
    </row>
    <row r="30" spans="1:17">
      <c r="A30" s="2997">
        <v>26</v>
      </c>
      <c r="B30" s="2997" t="s">
        <v>3192</v>
      </c>
      <c r="C30" s="2997" t="s">
        <v>3193</v>
      </c>
      <c r="D30" s="2998" t="s">
        <v>3233</v>
      </c>
      <c r="E30" s="2997" t="s">
        <v>3079</v>
      </c>
      <c r="F30" s="2997" t="s">
        <v>3195</v>
      </c>
      <c r="G30" s="2998" t="s">
        <v>3229</v>
      </c>
      <c r="H30" s="2997" t="s">
        <v>3196</v>
      </c>
      <c r="I30" s="2997">
        <v>152</v>
      </c>
    </row>
    <row r="31" spans="1:17">
      <c r="A31" s="2997">
        <v>27</v>
      </c>
      <c r="B31" s="2997" t="s">
        <v>3192</v>
      </c>
      <c r="C31" s="2997" t="s">
        <v>3193</v>
      </c>
      <c r="D31" s="2998" t="s">
        <v>3234</v>
      </c>
      <c r="E31" s="2997" t="s">
        <v>3079</v>
      </c>
      <c r="F31" s="2997" t="s">
        <v>3195</v>
      </c>
      <c r="G31" s="2998" t="s">
        <v>3229</v>
      </c>
      <c r="H31" s="2997" t="s">
        <v>3196</v>
      </c>
      <c r="I31" s="2997">
        <v>208.31</v>
      </c>
    </row>
    <row r="32" spans="1:17">
      <c r="A32" s="2997">
        <v>28</v>
      </c>
      <c r="B32" s="2997" t="s">
        <v>3192</v>
      </c>
      <c r="C32" s="2997" t="s">
        <v>3193</v>
      </c>
      <c r="D32" s="2998" t="s">
        <v>3235</v>
      </c>
      <c r="E32" s="2997" t="s">
        <v>3079</v>
      </c>
      <c r="F32" s="2997" t="s">
        <v>3195</v>
      </c>
      <c r="G32" s="2998" t="s">
        <v>3229</v>
      </c>
      <c r="H32" s="2997" t="s">
        <v>3196</v>
      </c>
      <c r="I32" s="2997">
        <v>222.93</v>
      </c>
      <c r="Q32" s="2999" t="s">
        <v>3429</v>
      </c>
    </row>
    <row r="33" spans="1:9">
      <c r="A33" s="2997">
        <v>29</v>
      </c>
      <c r="B33" s="2997" t="s">
        <v>3192</v>
      </c>
      <c r="C33" s="2997" t="s">
        <v>3193</v>
      </c>
      <c r="D33" s="2998" t="s">
        <v>3236</v>
      </c>
      <c r="E33" s="2997" t="s">
        <v>3079</v>
      </c>
      <c r="F33" s="2997" t="s">
        <v>3195</v>
      </c>
      <c r="G33" s="2998" t="s">
        <v>3229</v>
      </c>
      <c r="H33" s="2997" t="s">
        <v>3196</v>
      </c>
      <c r="I33" s="2997">
        <v>152.03</v>
      </c>
    </row>
    <row r="34" spans="1:9">
      <c r="A34" s="2997">
        <v>30</v>
      </c>
      <c r="B34" s="2997" t="s">
        <v>3192</v>
      </c>
      <c r="C34" s="2997" t="s">
        <v>3193</v>
      </c>
      <c r="D34" s="2998" t="s">
        <v>3237</v>
      </c>
      <c r="E34" s="2997" t="s">
        <v>3079</v>
      </c>
      <c r="F34" s="2997" t="s">
        <v>3195</v>
      </c>
      <c r="G34" s="2998" t="s">
        <v>1030</v>
      </c>
      <c r="H34" s="2997" t="s">
        <v>3196</v>
      </c>
      <c r="I34" s="2997">
        <v>116.9</v>
      </c>
    </row>
    <row r="35" spans="1:9">
      <c r="A35" s="2997">
        <v>32</v>
      </c>
      <c r="B35" s="2997" t="s">
        <v>3192</v>
      </c>
      <c r="C35" s="2997" t="s">
        <v>3193</v>
      </c>
      <c r="D35" s="2998" t="s">
        <v>3244</v>
      </c>
      <c r="E35" s="2997" t="s">
        <v>3079</v>
      </c>
      <c r="F35" s="2997" t="s">
        <v>3195</v>
      </c>
      <c r="G35" s="2998" t="s">
        <v>3247</v>
      </c>
      <c r="H35" s="2997" t="s">
        <v>3196</v>
      </c>
      <c r="I35" s="2997">
        <v>160.65</v>
      </c>
    </row>
    <row r="36" spans="1:9">
      <c r="A36" s="2997">
        <v>33</v>
      </c>
      <c r="B36" s="2997" t="s">
        <v>3192</v>
      </c>
      <c r="C36" s="2997" t="s">
        <v>3193</v>
      </c>
      <c r="D36" s="2998" t="s">
        <v>3251</v>
      </c>
      <c r="E36" s="2997" t="s">
        <v>3079</v>
      </c>
      <c r="F36" s="2997" t="s">
        <v>3195</v>
      </c>
      <c r="G36" s="2998" t="s">
        <v>3247</v>
      </c>
      <c r="H36" s="2997" t="s">
        <v>3196</v>
      </c>
      <c r="I36" s="2997">
        <v>152</v>
      </c>
    </row>
    <row r="37" spans="1:9">
      <c r="A37" s="2997">
        <v>34</v>
      </c>
      <c r="B37" s="2997" t="s">
        <v>3192</v>
      </c>
      <c r="C37" s="2997" t="s">
        <v>3193</v>
      </c>
      <c r="D37" s="2998" t="s">
        <v>3252</v>
      </c>
      <c r="E37" s="2997" t="s">
        <v>3079</v>
      </c>
      <c r="F37" s="2997" t="s">
        <v>3195</v>
      </c>
      <c r="G37" s="2998" t="s">
        <v>3247</v>
      </c>
      <c r="H37" s="2997" t="s">
        <v>3196</v>
      </c>
      <c r="I37" s="2997">
        <v>152</v>
      </c>
    </row>
    <row r="38" spans="1:9">
      <c r="A38" s="2997">
        <v>35</v>
      </c>
      <c r="B38" s="2997" t="s">
        <v>3192</v>
      </c>
      <c r="C38" s="2997" t="s">
        <v>3193</v>
      </c>
      <c r="D38" s="2998" t="s">
        <v>3253</v>
      </c>
      <c r="E38" s="2997" t="s">
        <v>3079</v>
      </c>
      <c r="F38" s="2997" t="s">
        <v>3195</v>
      </c>
      <c r="G38" s="2998" t="s">
        <v>3247</v>
      </c>
      <c r="H38" s="2997" t="s">
        <v>3196</v>
      </c>
      <c r="I38" s="2997">
        <v>152</v>
      </c>
    </row>
    <row r="39" spans="1:9">
      <c r="A39" s="2997">
        <v>36</v>
      </c>
      <c r="B39" s="2997" t="s">
        <v>3192</v>
      </c>
      <c r="C39" s="2997" t="s">
        <v>3193</v>
      </c>
      <c r="D39" s="2998" t="s">
        <v>3254</v>
      </c>
      <c r="E39" s="2997" t="s">
        <v>3079</v>
      </c>
      <c r="F39" s="2997" t="s">
        <v>3195</v>
      </c>
      <c r="G39" s="2998" t="s">
        <v>3247</v>
      </c>
      <c r="H39" s="2997" t="s">
        <v>3196</v>
      </c>
      <c r="I39" s="2997">
        <v>152</v>
      </c>
    </row>
    <row r="40" spans="1:9">
      <c r="A40" s="2997">
        <v>37</v>
      </c>
      <c r="B40" s="2997" t="s">
        <v>3192</v>
      </c>
      <c r="C40" s="2997" t="s">
        <v>3193</v>
      </c>
      <c r="D40" s="2998" t="s">
        <v>3255</v>
      </c>
      <c r="E40" s="2997" t="s">
        <v>3079</v>
      </c>
      <c r="F40" s="2997" t="s">
        <v>3195</v>
      </c>
      <c r="G40" s="2998" t="s">
        <v>3247</v>
      </c>
      <c r="H40" s="2997" t="s">
        <v>3196</v>
      </c>
      <c r="I40" s="2997">
        <v>208.31</v>
      </c>
    </row>
    <row r="41" spans="1:9">
      <c r="A41" s="2997">
        <v>38</v>
      </c>
      <c r="B41" s="2997" t="s">
        <v>3192</v>
      </c>
      <c r="C41" s="2997" t="s">
        <v>3193</v>
      </c>
      <c r="D41" s="2998" t="s">
        <v>3257</v>
      </c>
      <c r="E41" s="2997" t="s">
        <v>3079</v>
      </c>
      <c r="F41" s="2997" t="s">
        <v>3195</v>
      </c>
      <c r="G41" s="2998" t="s">
        <v>3247</v>
      </c>
      <c r="H41" s="2997" t="s">
        <v>3196</v>
      </c>
      <c r="I41" s="2997">
        <v>222.93</v>
      </c>
    </row>
    <row r="42" spans="1:9">
      <c r="A42" s="2997">
        <v>39</v>
      </c>
      <c r="B42" s="2997" t="s">
        <v>3192</v>
      </c>
      <c r="C42" s="2997" t="s">
        <v>3193</v>
      </c>
      <c r="D42" s="2998" t="s">
        <v>3258</v>
      </c>
      <c r="E42" s="2997" t="s">
        <v>3079</v>
      </c>
      <c r="F42" s="2997" t="s">
        <v>3195</v>
      </c>
      <c r="G42" s="2998" t="s">
        <v>3247</v>
      </c>
      <c r="H42" s="2997" t="s">
        <v>3196</v>
      </c>
      <c r="I42" s="2997">
        <v>152.03</v>
      </c>
    </row>
    <row r="43" spans="1:9">
      <c r="A43" s="2997">
        <v>40</v>
      </c>
      <c r="B43" s="2997" t="s">
        <v>3192</v>
      </c>
      <c r="C43" s="2997" t="s">
        <v>3193</v>
      </c>
      <c r="D43" s="2998" t="s">
        <v>3259</v>
      </c>
      <c r="E43" s="2997" t="s">
        <v>3079</v>
      </c>
      <c r="F43" s="2997" t="s">
        <v>3195</v>
      </c>
      <c r="G43" s="2998" t="s">
        <v>3247</v>
      </c>
      <c r="H43" s="2997" t="s">
        <v>3196</v>
      </c>
      <c r="I43" s="2997">
        <v>116.9</v>
      </c>
    </row>
    <row r="44" spans="1:9">
      <c r="A44" s="2997">
        <v>42</v>
      </c>
      <c r="B44" s="2997" t="s">
        <v>3192</v>
      </c>
      <c r="C44" s="2997" t="s">
        <v>3193</v>
      </c>
      <c r="D44" s="2998" t="s">
        <v>3260</v>
      </c>
      <c r="E44" s="2997" t="s">
        <v>3079</v>
      </c>
      <c r="F44" s="2997" t="s">
        <v>3195</v>
      </c>
      <c r="G44" s="2998" t="s">
        <v>3262</v>
      </c>
      <c r="H44" s="2997" t="s">
        <v>3196</v>
      </c>
      <c r="I44" s="2997">
        <v>160.65</v>
      </c>
    </row>
    <row r="45" spans="1:9">
      <c r="A45" s="2997">
        <v>43</v>
      </c>
      <c r="B45" s="2997" t="s">
        <v>3192</v>
      </c>
      <c r="C45" s="2997" t="s">
        <v>3193</v>
      </c>
      <c r="D45" s="2998" t="s">
        <v>3263</v>
      </c>
      <c r="E45" s="2997" t="s">
        <v>3079</v>
      </c>
      <c r="F45" s="2997" t="s">
        <v>3195</v>
      </c>
      <c r="G45" s="2998" t="s">
        <v>3262</v>
      </c>
      <c r="H45" s="2997" t="s">
        <v>3196</v>
      </c>
      <c r="I45" s="2997">
        <v>152</v>
      </c>
    </row>
    <row r="46" spans="1:9">
      <c r="A46" s="2997">
        <v>44</v>
      </c>
      <c r="B46" s="2997" t="s">
        <v>3192</v>
      </c>
      <c r="C46" s="2997" t="s">
        <v>3193</v>
      </c>
      <c r="D46" s="2998" t="s">
        <v>3264</v>
      </c>
      <c r="E46" s="2997" t="s">
        <v>3079</v>
      </c>
      <c r="F46" s="2997" t="s">
        <v>3195</v>
      </c>
      <c r="G46" s="2998" t="s">
        <v>3262</v>
      </c>
      <c r="H46" s="2997" t="s">
        <v>3196</v>
      </c>
      <c r="I46" s="2997">
        <v>152</v>
      </c>
    </row>
    <row r="47" spans="1:9">
      <c r="A47" s="2997">
        <v>45</v>
      </c>
      <c r="B47" s="2997" t="s">
        <v>3192</v>
      </c>
      <c r="C47" s="2997" t="s">
        <v>3193</v>
      </c>
      <c r="D47" s="2998" t="s">
        <v>3265</v>
      </c>
      <c r="E47" s="2997" t="s">
        <v>3079</v>
      </c>
      <c r="F47" s="2997" t="s">
        <v>3195</v>
      </c>
      <c r="G47" s="2998" t="s">
        <v>3262</v>
      </c>
      <c r="H47" s="2997" t="s">
        <v>3196</v>
      </c>
      <c r="I47" s="2997">
        <v>152</v>
      </c>
    </row>
    <row r="48" spans="1:9">
      <c r="A48" s="2997">
        <v>46</v>
      </c>
      <c r="B48" s="2997" t="s">
        <v>3192</v>
      </c>
      <c r="C48" s="2997" t="s">
        <v>3193</v>
      </c>
      <c r="D48" s="2998" t="s">
        <v>3266</v>
      </c>
      <c r="E48" s="2997" t="s">
        <v>3079</v>
      </c>
      <c r="F48" s="2997" t="s">
        <v>3195</v>
      </c>
      <c r="G48" s="2998" t="s">
        <v>3262</v>
      </c>
      <c r="H48" s="2997" t="s">
        <v>3196</v>
      </c>
      <c r="I48" s="2997">
        <v>152</v>
      </c>
    </row>
    <row r="49" spans="1:9">
      <c r="A49" s="2997">
        <v>47</v>
      </c>
      <c r="B49" s="2997" t="s">
        <v>3192</v>
      </c>
      <c r="C49" s="2997" t="s">
        <v>3193</v>
      </c>
      <c r="D49" s="2998" t="s">
        <v>3267</v>
      </c>
      <c r="E49" s="2997" t="s">
        <v>3079</v>
      </c>
      <c r="F49" s="2997" t="s">
        <v>3195</v>
      </c>
      <c r="G49" s="2998" t="s">
        <v>3262</v>
      </c>
      <c r="H49" s="2997" t="s">
        <v>3196</v>
      </c>
      <c r="I49" s="2997">
        <v>208.31</v>
      </c>
    </row>
    <row r="50" spans="1:9">
      <c r="A50" s="2997">
        <v>48</v>
      </c>
      <c r="B50" s="2997" t="s">
        <v>3192</v>
      </c>
      <c r="C50" s="2997" t="s">
        <v>3193</v>
      </c>
      <c r="D50" s="2998" t="s">
        <v>3268</v>
      </c>
      <c r="E50" s="2997" t="s">
        <v>3079</v>
      </c>
      <c r="F50" s="2997" t="s">
        <v>3195</v>
      </c>
      <c r="G50" s="2998" t="s">
        <v>3262</v>
      </c>
      <c r="H50" s="2997" t="s">
        <v>3196</v>
      </c>
      <c r="I50" s="2997">
        <v>222.93</v>
      </c>
    </row>
    <row r="51" spans="1:9">
      <c r="A51" s="2997">
        <v>49</v>
      </c>
      <c r="B51" s="2997" t="s">
        <v>3192</v>
      </c>
      <c r="C51" s="2997" t="s">
        <v>3193</v>
      </c>
      <c r="D51" s="2998" t="s">
        <v>3269</v>
      </c>
      <c r="E51" s="2997" t="s">
        <v>3079</v>
      </c>
      <c r="F51" s="2997" t="s">
        <v>3195</v>
      </c>
      <c r="G51" s="2998" t="s">
        <v>3262</v>
      </c>
      <c r="H51" s="2997" t="s">
        <v>3196</v>
      </c>
      <c r="I51" s="2997">
        <v>152.03</v>
      </c>
    </row>
    <row r="52" spans="1:9">
      <c r="A52" s="2997">
        <v>50</v>
      </c>
      <c r="B52" s="2997" t="s">
        <v>3192</v>
      </c>
      <c r="C52" s="2997" t="s">
        <v>3193</v>
      </c>
      <c r="D52" s="2998" t="s">
        <v>3270</v>
      </c>
      <c r="E52" s="2997" t="s">
        <v>3079</v>
      </c>
      <c r="F52" s="2997" t="s">
        <v>3195</v>
      </c>
      <c r="G52" s="2998" t="s">
        <v>3262</v>
      </c>
      <c r="H52" s="2997" t="s">
        <v>3196</v>
      </c>
      <c r="I52" s="2997">
        <v>116.9</v>
      </c>
    </row>
    <row r="53" spans="1:9">
      <c r="A53" s="2997">
        <v>52</v>
      </c>
      <c r="B53" s="2997" t="s">
        <v>3192</v>
      </c>
      <c r="C53" s="2997" t="s">
        <v>3193</v>
      </c>
      <c r="D53" s="2998" t="s">
        <v>3271</v>
      </c>
      <c r="E53" s="2997" t="s">
        <v>3079</v>
      </c>
      <c r="F53" s="2997" t="s">
        <v>3195</v>
      </c>
      <c r="G53" s="2998" t="s">
        <v>3273</v>
      </c>
      <c r="H53" s="2997" t="s">
        <v>3196</v>
      </c>
      <c r="I53" s="2997">
        <v>160.65</v>
      </c>
    </row>
    <row r="54" spans="1:9">
      <c r="A54" s="2997">
        <v>53</v>
      </c>
      <c r="B54" s="2997" t="s">
        <v>3192</v>
      </c>
      <c r="C54" s="2997" t="s">
        <v>3193</v>
      </c>
      <c r="D54" s="2998" t="s">
        <v>3274</v>
      </c>
      <c r="E54" s="2997" t="s">
        <v>3079</v>
      </c>
      <c r="F54" s="2997" t="s">
        <v>3195</v>
      </c>
      <c r="G54" s="2998" t="s">
        <v>3273</v>
      </c>
      <c r="H54" s="2997" t="s">
        <v>3196</v>
      </c>
      <c r="I54" s="2997">
        <v>152</v>
      </c>
    </row>
    <row r="55" spans="1:9">
      <c r="A55" s="2997">
        <v>54</v>
      </c>
      <c r="B55" s="2997" t="s">
        <v>3192</v>
      </c>
      <c r="C55" s="2997" t="s">
        <v>3193</v>
      </c>
      <c r="D55" s="2998" t="s">
        <v>3275</v>
      </c>
      <c r="E55" s="2997" t="s">
        <v>3079</v>
      </c>
      <c r="F55" s="2997" t="s">
        <v>3195</v>
      </c>
      <c r="G55" s="2998" t="s">
        <v>3273</v>
      </c>
      <c r="H55" s="2997" t="s">
        <v>3196</v>
      </c>
      <c r="I55" s="2997">
        <v>152</v>
      </c>
    </row>
    <row r="56" spans="1:9">
      <c r="A56" s="2997">
        <v>55</v>
      </c>
      <c r="B56" s="2997" t="s">
        <v>3192</v>
      </c>
      <c r="C56" s="2997" t="s">
        <v>3193</v>
      </c>
      <c r="D56" s="2998" t="s">
        <v>3276</v>
      </c>
      <c r="E56" s="2997" t="s">
        <v>3079</v>
      </c>
      <c r="F56" s="2997" t="s">
        <v>3195</v>
      </c>
      <c r="G56" s="2998" t="s">
        <v>3273</v>
      </c>
      <c r="H56" s="2997" t="s">
        <v>3196</v>
      </c>
      <c r="I56" s="2997">
        <v>152</v>
      </c>
    </row>
    <row r="57" spans="1:9">
      <c r="A57" s="2997">
        <v>56</v>
      </c>
      <c r="B57" s="2997" t="s">
        <v>3192</v>
      </c>
      <c r="C57" s="2997" t="s">
        <v>3193</v>
      </c>
      <c r="D57" s="2998" t="s">
        <v>3277</v>
      </c>
      <c r="E57" s="2997" t="s">
        <v>3079</v>
      </c>
      <c r="F57" s="2997" t="s">
        <v>3195</v>
      </c>
      <c r="G57" s="2998" t="s">
        <v>3273</v>
      </c>
      <c r="H57" s="2997" t="s">
        <v>3196</v>
      </c>
      <c r="I57" s="2997">
        <v>152</v>
      </c>
    </row>
    <row r="58" spans="1:9">
      <c r="A58" s="2997">
        <v>57</v>
      </c>
      <c r="B58" s="2997" t="s">
        <v>3192</v>
      </c>
      <c r="C58" s="2997" t="s">
        <v>3193</v>
      </c>
      <c r="D58" s="2998" t="s">
        <v>3278</v>
      </c>
      <c r="E58" s="2997" t="s">
        <v>3079</v>
      </c>
      <c r="F58" s="2997" t="s">
        <v>3195</v>
      </c>
      <c r="G58" s="2998" t="s">
        <v>3273</v>
      </c>
      <c r="H58" s="2997" t="s">
        <v>3196</v>
      </c>
      <c r="I58" s="2997">
        <v>208.31</v>
      </c>
    </row>
    <row r="59" spans="1:9">
      <c r="A59" s="2997">
        <v>58</v>
      </c>
      <c r="B59" s="2997" t="s">
        <v>3192</v>
      </c>
      <c r="C59" s="2997" t="s">
        <v>3193</v>
      </c>
      <c r="D59" s="2998" t="s">
        <v>3279</v>
      </c>
      <c r="E59" s="2997" t="s">
        <v>3079</v>
      </c>
      <c r="F59" s="2997" t="s">
        <v>3195</v>
      </c>
      <c r="G59" s="2998" t="s">
        <v>3273</v>
      </c>
      <c r="H59" s="2997" t="s">
        <v>3196</v>
      </c>
      <c r="I59" s="2997">
        <v>222.93</v>
      </c>
    </row>
    <row r="60" spans="1:9">
      <c r="A60" s="2997">
        <v>59</v>
      </c>
      <c r="B60" s="2997" t="s">
        <v>3192</v>
      </c>
      <c r="C60" s="2997" t="s">
        <v>3193</v>
      </c>
      <c r="D60" s="2998" t="s">
        <v>3280</v>
      </c>
      <c r="E60" s="2997" t="s">
        <v>3079</v>
      </c>
      <c r="F60" s="2997" t="s">
        <v>3195</v>
      </c>
      <c r="G60" s="2998" t="s">
        <v>3273</v>
      </c>
      <c r="H60" s="2997" t="s">
        <v>3196</v>
      </c>
      <c r="I60" s="2997">
        <v>152.03</v>
      </c>
    </row>
    <row r="61" spans="1:9">
      <c r="A61" s="2997">
        <v>60</v>
      </c>
      <c r="B61" s="2997" t="s">
        <v>3192</v>
      </c>
      <c r="C61" s="2997" t="s">
        <v>3193</v>
      </c>
      <c r="D61" s="2998" t="s">
        <v>3281</v>
      </c>
      <c r="E61" s="2997" t="s">
        <v>3079</v>
      </c>
      <c r="F61" s="2997" t="s">
        <v>3195</v>
      </c>
      <c r="G61" s="2998" t="s">
        <v>3273</v>
      </c>
      <c r="H61" s="2997" t="s">
        <v>3196</v>
      </c>
      <c r="I61" s="2997">
        <v>116.9</v>
      </c>
    </row>
    <row r="62" spans="1:9">
      <c r="A62" s="2997">
        <v>62</v>
      </c>
      <c r="B62" s="2997" t="s">
        <v>3192</v>
      </c>
      <c r="C62" s="2997" t="s">
        <v>3193</v>
      </c>
      <c r="D62" s="2998" t="s">
        <v>3284</v>
      </c>
      <c r="E62" s="2997" t="s">
        <v>3079</v>
      </c>
      <c r="F62" s="2997" t="s">
        <v>3195</v>
      </c>
      <c r="G62" s="2998" t="s">
        <v>3286</v>
      </c>
      <c r="H62" s="2997" t="s">
        <v>3196</v>
      </c>
      <c r="I62" s="2997">
        <v>160.65</v>
      </c>
    </row>
    <row r="63" spans="1:9">
      <c r="A63" s="2997">
        <v>63</v>
      </c>
      <c r="B63" s="2997" t="s">
        <v>3192</v>
      </c>
      <c r="C63" s="2997" t="s">
        <v>3193</v>
      </c>
      <c r="D63" s="2998" t="s">
        <v>3287</v>
      </c>
      <c r="E63" s="2997" t="s">
        <v>3079</v>
      </c>
      <c r="F63" s="2997" t="s">
        <v>3195</v>
      </c>
      <c r="G63" s="2998" t="s">
        <v>3286</v>
      </c>
      <c r="H63" s="2997" t="s">
        <v>3196</v>
      </c>
      <c r="I63" s="2997">
        <v>152</v>
      </c>
    </row>
    <row r="64" spans="1:9">
      <c r="A64" s="2997">
        <v>64</v>
      </c>
      <c r="B64" s="2997" t="s">
        <v>3192</v>
      </c>
      <c r="C64" s="2997" t="s">
        <v>3193</v>
      </c>
      <c r="D64" s="2998" t="s">
        <v>3288</v>
      </c>
      <c r="E64" s="2997" t="s">
        <v>3079</v>
      </c>
      <c r="F64" s="2997" t="s">
        <v>3195</v>
      </c>
      <c r="G64" s="2998" t="s">
        <v>3286</v>
      </c>
      <c r="H64" s="2997" t="s">
        <v>3196</v>
      </c>
      <c r="I64" s="2997">
        <v>152</v>
      </c>
    </row>
    <row r="65" spans="1:9">
      <c r="A65" s="2997">
        <v>65</v>
      </c>
      <c r="B65" s="2997" t="s">
        <v>3192</v>
      </c>
      <c r="C65" s="2997" t="s">
        <v>3193</v>
      </c>
      <c r="D65" s="2998" t="s">
        <v>3289</v>
      </c>
      <c r="E65" s="2997" t="s">
        <v>3079</v>
      </c>
      <c r="F65" s="2997" t="s">
        <v>3195</v>
      </c>
      <c r="G65" s="2998" t="s">
        <v>3286</v>
      </c>
      <c r="H65" s="2997" t="s">
        <v>3196</v>
      </c>
      <c r="I65" s="2997">
        <v>152</v>
      </c>
    </row>
    <row r="66" spans="1:9">
      <c r="A66" s="2997">
        <v>66</v>
      </c>
      <c r="B66" s="2997" t="s">
        <v>3192</v>
      </c>
      <c r="C66" s="2997" t="s">
        <v>3193</v>
      </c>
      <c r="D66" s="2998" t="s">
        <v>3290</v>
      </c>
      <c r="E66" s="2997" t="s">
        <v>3079</v>
      </c>
      <c r="F66" s="2997" t="s">
        <v>3195</v>
      </c>
      <c r="G66" s="2998" t="s">
        <v>3286</v>
      </c>
      <c r="H66" s="2997" t="s">
        <v>3196</v>
      </c>
      <c r="I66" s="2997">
        <v>152</v>
      </c>
    </row>
    <row r="67" spans="1:9">
      <c r="A67" s="2997">
        <v>67</v>
      </c>
      <c r="B67" s="2997" t="s">
        <v>3192</v>
      </c>
      <c r="C67" s="2997" t="s">
        <v>3193</v>
      </c>
      <c r="D67" s="2998" t="s">
        <v>3291</v>
      </c>
      <c r="E67" s="2997" t="s">
        <v>3079</v>
      </c>
      <c r="F67" s="2997" t="s">
        <v>3195</v>
      </c>
      <c r="G67" s="2998" t="s">
        <v>3286</v>
      </c>
      <c r="H67" s="2997" t="s">
        <v>3196</v>
      </c>
      <c r="I67" s="2997">
        <v>208.31</v>
      </c>
    </row>
    <row r="68" spans="1:9">
      <c r="A68" s="2997">
        <v>68</v>
      </c>
      <c r="B68" s="2997" t="s">
        <v>3192</v>
      </c>
      <c r="C68" s="2997" t="s">
        <v>3193</v>
      </c>
      <c r="D68" s="2998" t="s">
        <v>3292</v>
      </c>
      <c r="E68" s="2997" t="s">
        <v>3079</v>
      </c>
      <c r="F68" s="2997" t="s">
        <v>3195</v>
      </c>
      <c r="G68" s="2998" t="s">
        <v>3286</v>
      </c>
      <c r="H68" s="2997" t="s">
        <v>3196</v>
      </c>
      <c r="I68" s="2997">
        <v>222.93</v>
      </c>
    </row>
    <row r="69" spans="1:9">
      <c r="A69" s="2997">
        <v>69</v>
      </c>
      <c r="B69" s="2997" t="s">
        <v>3192</v>
      </c>
      <c r="C69" s="2997" t="s">
        <v>3193</v>
      </c>
      <c r="D69" s="2998" t="s">
        <v>3293</v>
      </c>
      <c r="E69" s="2997" t="s">
        <v>3079</v>
      </c>
      <c r="F69" s="2997" t="s">
        <v>3195</v>
      </c>
      <c r="G69" s="2998" t="s">
        <v>3286</v>
      </c>
      <c r="H69" s="2997" t="s">
        <v>3196</v>
      </c>
      <c r="I69" s="2997">
        <v>152.03</v>
      </c>
    </row>
    <row r="70" spans="1:9">
      <c r="A70" s="2997">
        <v>70</v>
      </c>
      <c r="B70" s="2997" t="s">
        <v>3192</v>
      </c>
      <c r="C70" s="2997" t="s">
        <v>3193</v>
      </c>
      <c r="D70" s="2998" t="s">
        <v>3294</v>
      </c>
      <c r="E70" s="2997" t="s">
        <v>3079</v>
      </c>
      <c r="F70" s="2997" t="s">
        <v>3195</v>
      </c>
      <c r="G70" s="2998" t="s">
        <v>3286</v>
      </c>
      <c r="H70" s="2997" t="s">
        <v>3196</v>
      </c>
      <c r="I70" s="2997">
        <v>116.9</v>
      </c>
    </row>
    <row r="71" spans="1:9">
      <c r="A71" s="2997">
        <v>72</v>
      </c>
      <c r="B71" s="2997" t="s">
        <v>3192</v>
      </c>
      <c r="C71" s="2997" t="s">
        <v>3193</v>
      </c>
      <c r="D71" s="2998" t="s">
        <v>3295</v>
      </c>
      <c r="E71" s="2997" t="s">
        <v>3079</v>
      </c>
      <c r="F71" s="2997" t="s">
        <v>3195</v>
      </c>
      <c r="G71" s="2998" t="s">
        <v>3297</v>
      </c>
      <c r="H71" s="2997" t="s">
        <v>3196</v>
      </c>
      <c r="I71" s="2997">
        <v>160.65</v>
      </c>
    </row>
    <row r="72" spans="1:9">
      <c r="A72" s="2997">
        <v>73</v>
      </c>
      <c r="B72" s="2997" t="s">
        <v>3192</v>
      </c>
      <c r="C72" s="2997" t="s">
        <v>3193</v>
      </c>
      <c r="D72" s="2998" t="s">
        <v>3298</v>
      </c>
      <c r="E72" s="2997" t="s">
        <v>3079</v>
      </c>
      <c r="F72" s="2997" t="s">
        <v>3195</v>
      </c>
      <c r="G72" s="2998" t="s">
        <v>3297</v>
      </c>
      <c r="H72" s="2997" t="s">
        <v>3196</v>
      </c>
      <c r="I72" s="2997">
        <v>152</v>
      </c>
    </row>
    <row r="73" spans="1:9">
      <c r="A73" s="2997">
        <v>74</v>
      </c>
      <c r="B73" s="2997" t="s">
        <v>3192</v>
      </c>
      <c r="C73" s="2997" t="s">
        <v>3193</v>
      </c>
      <c r="D73" s="2998" t="s">
        <v>3299</v>
      </c>
      <c r="E73" s="2997" t="s">
        <v>3079</v>
      </c>
      <c r="F73" s="2997" t="s">
        <v>3195</v>
      </c>
      <c r="G73" s="2998" t="s">
        <v>3297</v>
      </c>
      <c r="H73" s="2997" t="s">
        <v>3196</v>
      </c>
      <c r="I73" s="2997">
        <v>152</v>
      </c>
    </row>
    <row r="74" spans="1:9">
      <c r="A74" s="2997">
        <v>75</v>
      </c>
      <c r="B74" s="2997" t="s">
        <v>3192</v>
      </c>
      <c r="C74" s="2997" t="s">
        <v>3193</v>
      </c>
      <c r="D74" s="2998" t="s">
        <v>3303</v>
      </c>
      <c r="E74" s="2997" t="s">
        <v>3079</v>
      </c>
      <c r="F74" s="2997" t="s">
        <v>3195</v>
      </c>
      <c r="G74" s="2998" t="s">
        <v>3297</v>
      </c>
      <c r="H74" s="2997" t="s">
        <v>3196</v>
      </c>
      <c r="I74" s="2997">
        <v>152</v>
      </c>
    </row>
    <row r="75" spans="1:9">
      <c r="A75" s="2997">
        <v>76</v>
      </c>
      <c r="B75" s="2997" t="s">
        <v>3192</v>
      </c>
      <c r="C75" s="2997" t="s">
        <v>3193</v>
      </c>
      <c r="D75" s="2998" t="s">
        <v>3304</v>
      </c>
      <c r="E75" s="2997" t="s">
        <v>3079</v>
      </c>
      <c r="F75" s="2997" t="s">
        <v>3195</v>
      </c>
      <c r="G75" s="2998" t="s">
        <v>3297</v>
      </c>
      <c r="H75" s="2997" t="s">
        <v>3196</v>
      </c>
      <c r="I75" s="2997">
        <v>152</v>
      </c>
    </row>
    <row r="76" spans="1:9">
      <c r="A76" s="2997">
        <v>77</v>
      </c>
      <c r="B76" s="2997" t="s">
        <v>3192</v>
      </c>
      <c r="C76" s="2997" t="s">
        <v>3193</v>
      </c>
      <c r="D76" s="2998" t="s">
        <v>3305</v>
      </c>
      <c r="E76" s="2997" t="s">
        <v>3079</v>
      </c>
      <c r="F76" s="2997" t="s">
        <v>3195</v>
      </c>
      <c r="G76" s="2998" t="s">
        <v>3297</v>
      </c>
      <c r="H76" s="2997" t="s">
        <v>3196</v>
      </c>
      <c r="I76" s="2997">
        <v>208.31</v>
      </c>
    </row>
    <row r="77" spans="1:9">
      <c r="A77" s="2997">
        <v>78</v>
      </c>
      <c r="B77" s="2997" t="s">
        <v>3192</v>
      </c>
      <c r="C77" s="2997" t="s">
        <v>3193</v>
      </c>
      <c r="D77" s="2998" t="s">
        <v>3306</v>
      </c>
      <c r="E77" s="2997" t="s">
        <v>3079</v>
      </c>
      <c r="F77" s="2997" t="s">
        <v>3195</v>
      </c>
      <c r="G77" s="2998" t="s">
        <v>3297</v>
      </c>
      <c r="H77" s="2997" t="s">
        <v>3196</v>
      </c>
      <c r="I77" s="2997">
        <v>222.93</v>
      </c>
    </row>
    <row r="78" spans="1:9">
      <c r="A78" s="2997">
        <v>79</v>
      </c>
      <c r="B78" s="2997" t="s">
        <v>3192</v>
      </c>
      <c r="C78" s="2997" t="s">
        <v>3193</v>
      </c>
      <c r="D78" s="2998" t="s">
        <v>3307</v>
      </c>
      <c r="E78" s="2997" t="s">
        <v>3079</v>
      </c>
      <c r="F78" s="2997" t="s">
        <v>3195</v>
      </c>
      <c r="G78" s="2998" t="s">
        <v>3297</v>
      </c>
      <c r="H78" s="2997" t="s">
        <v>3196</v>
      </c>
      <c r="I78" s="2997">
        <v>152.03</v>
      </c>
    </row>
    <row r="79" spans="1:9">
      <c r="A79" s="2997">
        <v>80</v>
      </c>
      <c r="B79" s="2997" t="s">
        <v>3192</v>
      </c>
      <c r="C79" s="2997" t="s">
        <v>3193</v>
      </c>
      <c r="D79" s="2998" t="s">
        <v>3308</v>
      </c>
      <c r="E79" s="2997" t="s">
        <v>3079</v>
      </c>
      <c r="F79" s="2997" t="s">
        <v>3195</v>
      </c>
      <c r="G79" s="2998" t="s">
        <v>3297</v>
      </c>
      <c r="H79" s="2997" t="s">
        <v>3196</v>
      </c>
      <c r="I79" s="2997">
        <v>116.9</v>
      </c>
    </row>
    <row r="80" spans="1:9">
      <c r="A80" s="2997">
        <v>82</v>
      </c>
      <c r="B80" s="2997" t="s">
        <v>3192</v>
      </c>
      <c r="C80" s="2997" t="s">
        <v>3193</v>
      </c>
      <c r="D80" s="2998" t="s">
        <v>3311</v>
      </c>
      <c r="E80" s="2997" t="s">
        <v>3079</v>
      </c>
      <c r="F80" s="2997" t="s">
        <v>3195</v>
      </c>
      <c r="G80" s="2998" t="s">
        <v>3312</v>
      </c>
      <c r="H80" s="2997" t="s">
        <v>3196</v>
      </c>
      <c r="I80" s="2997">
        <v>160.65</v>
      </c>
    </row>
    <row r="81" spans="1:9">
      <c r="A81" s="2997">
        <v>83</v>
      </c>
      <c r="B81" s="2997" t="s">
        <v>3192</v>
      </c>
      <c r="C81" s="2997" t="s">
        <v>3193</v>
      </c>
      <c r="D81" s="2998" t="s">
        <v>3313</v>
      </c>
      <c r="E81" s="2997" t="s">
        <v>3079</v>
      </c>
      <c r="F81" s="2997" t="s">
        <v>3195</v>
      </c>
      <c r="G81" s="2998" t="s">
        <v>3312</v>
      </c>
      <c r="H81" s="2997" t="s">
        <v>3196</v>
      </c>
      <c r="I81" s="2997">
        <v>152</v>
      </c>
    </row>
    <row r="82" spans="1:9">
      <c r="A82" s="2997">
        <v>84</v>
      </c>
      <c r="B82" s="2997" t="s">
        <v>3192</v>
      </c>
      <c r="C82" s="2997" t="s">
        <v>3193</v>
      </c>
      <c r="D82" s="2998" t="s">
        <v>3314</v>
      </c>
      <c r="E82" s="2997" t="s">
        <v>3079</v>
      </c>
      <c r="F82" s="2997" t="s">
        <v>3195</v>
      </c>
      <c r="G82" s="2998" t="s">
        <v>3312</v>
      </c>
      <c r="H82" s="2997" t="s">
        <v>3196</v>
      </c>
      <c r="I82" s="2997">
        <v>152</v>
      </c>
    </row>
    <row r="83" spans="1:9">
      <c r="A83" s="2997">
        <v>85</v>
      </c>
      <c r="B83" s="2997" t="s">
        <v>3192</v>
      </c>
      <c r="C83" s="2997" t="s">
        <v>3193</v>
      </c>
      <c r="D83" s="2998" t="s">
        <v>3315</v>
      </c>
      <c r="E83" s="2997" t="s">
        <v>3079</v>
      </c>
      <c r="F83" s="2997" t="s">
        <v>3195</v>
      </c>
      <c r="G83" s="2998" t="s">
        <v>3312</v>
      </c>
      <c r="H83" s="2997" t="s">
        <v>3196</v>
      </c>
      <c r="I83" s="2997">
        <v>152</v>
      </c>
    </row>
    <row r="84" spans="1:9">
      <c r="A84" s="2997">
        <v>86</v>
      </c>
      <c r="B84" s="2997" t="s">
        <v>3192</v>
      </c>
      <c r="C84" s="2997" t="s">
        <v>3193</v>
      </c>
      <c r="D84" s="2998" t="s">
        <v>3316</v>
      </c>
      <c r="E84" s="2997" t="s">
        <v>3079</v>
      </c>
      <c r="F84" s="2997" t="s">
        <v>3195</v>
      </c>
      <c r="G84" s="2998" t="s">
        <v>3312</v>
      </c>
      <c r="H84" s="2997" t="s">
        <v>3196</v>
      </c>
      <c r="I84" s="2997">
        <v>152</v>
      </c>
    </row>
    <row r="85" spans="1:9">
      <c r="A85" s="2997">
        <v>87</v>
      </c>
      <c r="B85" s="2997" t="s">
        <v>3192</v>
      </c>
      <c r="C85" s="2997" t="s">
        <v>3193</v>
      </c>
      <c r="D85" s="2998" t="s">
        <v>3317</v>
      </c>
      <c r="E85" s="2997" t="s">
        <v>3079</v>
      </c>
      <c r="F85" s="2997" t="s">
        <v>3195</v>
      </c>
      <c r="G85" s="2998" t="s">
        <v>3312</v>
      </c>
      <c r="H85" s="2997" t="s">
        <v>3196</v>
      </c>
      <c r="I85" s="2997">
        <v>208.31</v>
      </c>
    </row>
    <row r="86" spans="1:9">
      <c r="A86" s="2997">
        <v>88</v>
      </c>
      <c r="B86" s="2997" t="s">
        <v>3192</v>
      </c>
      <c r="C86" s="2997" t="s">
        <v>3193</v>
      </c>
      <c r="D86" s="2998" t="s">
        <v>3318</v>
      </c>
      <c r="E86" s="2997" t="s">
        <v>3079</v>
      </c>
      <c r="F86" s="2997" t="s">
        <v>3195</v>
      </c>
      <c r="G86" s="2998" t="s">
        <v>3312</v>
      </c>
      <c r="H86" s="2997" t="s">
        <v>3196</v>
      </c>
      <c r="I86" s="2997">
        <v>222.93</v>
      </c>
    </row>
    <row r="87" spans="1:9">
      <c r="A87" s="2997">
        <v>89</v>
      </c>
      <c r="B87" s="2997" t="s">
        <v>3192</v>
      </c>
      <c r="C87" s="2997" t="s">
        <v>3193</v>
      </c>
      <c r="D87" s="2998" t="s">
        <v>3319</v>
      </c>
      <c r="E87" s="2997" t="s">
        <v>3079</v>
      </c>
      <c r="F87" s="2997" t="s">
        <v>3195</v>
      </c>
      <c r="G87" s="2998" t="s">
        <v>3312</v>
      </c>
      <c r="H87" s="2997" t="s">
        <v>3196</v>
      </c>
      <c r="I87" s="2997">
        <v>152.03</v>
      </c>
    </row>
    <row r="88" spans="1:9">
      <c r="A88" s="2997">
        <v>90</v>
      </c>
      <c r="B88" s="2997" t="s">
        <v>3192</v>
      </c>
      <c r="C88" s="2997" t="s">
        <v>3193</v>
      </c>
      <c r="D88" s="2998" t="s">
        <v>3320</v>
      </c>
      <c r="E88" s="2997" t="s">
        <v>3079</v>
      </c>
      <c r="F88" s="2997" t="s">
        <v>3195</v>
      </c>
      <c r="G88" s="2998" t="s">
        <v>3312</v>
      </c>
      <c r="H88" s="2997" t="s">
        <v>3196</v>
      </c>
      <c r="I88" s="2997">
        <v>116.9</v>
      </c>
    </row>
    <row r="89" spans="1:9">
      <c r="A89" s="2997">
        <v>92</v>
      </c>
      <c r="B89" s="2997" t="s">
        <v>3192</v>
      </c>
      <c r="C89" s="2997" t="s">
        <v>3193</v>
      </c>
      <c r="D89" s="2998" t="s">
        <v>3324</v>
      </c>
      <c r="E89" s="2997" t="s">
        <v>3079</v>
      </c>
      <c r="F89" s="2997" t="s">
        <v>3195</v>
      </c>
      <c r="G89" s="2998" t="s">
        <v>3325</v>
      </c>
      <c r="H89" s="2997" t="s">
        <v>3196</v>
      </c>
      <c r="I89" s="2997">
        <v>160.65</v>
      </c>
    </row>
    <row r="90" spans="1:9">
      <c r="A90" s="2997">
        <v>93</v>
      </c>
      <c r="B90" s="2997" t="s">
        <v>3192</v>
      </c>
      <c r="C90" s="2997" t="s">
        <v>3193</v>
      </c>
      <c r="D90" s="2998" t="s">
        <v>3326</v>
      </c>
      <c r="E90" s="2997" t="s">
        <v>3079</v>
      </c>
      <c r="F90" s="2997" t="s">
        <v>3195</v>
      </c>
      <c r="G90" s="2998" t="s">
        <v>3325</v>
      </c>
      <c r="H90" s="2997" t="s">
        <v>3196</v>
      </c>
      <c r="I90" s="2997">
        <v>152</v>
      </c>
    </row>
    <row r="91" spans="1:9">
      <c r="A91" s="2997">
        <v>94</v>
      </c>
      <c r="B91" s="2997" t="s">
        <v>3192</v>
      </c>
      <c r="C91" s="2997" t="s">
        <v>3193</v>
      </c>
      <c r="D91" s="2998" t="s">
        <v>3327</v>
      </c>
      <c r="E91" s="2997" t="s">
        <v>3079</v>
      </c>
      <c r="F91" s="2997" t="s">
        <v>3195</v>
      </c>
      <c r="G91" s="2998" t="s">
        <v>3325</v>
      </c>
      <c r="H91" s="2997" t="s">
        <v>3196</v>
      </c>
      <c r="I91" s="2997">
        <v>152</v>
      </c>
    </row>
    <row r="92" spans="1:9">
      <c r="A92" s="2997">
        <v>95</v>
      </c>
      <c r="B92" s="2997" t="s">
        <v>3192</v>
      </c>
      <c r="C92" s="2997" t="s">
        <v>3193</v>
      </c>
      <c r="D92" s="2998" t="s">
        <v>3328</v>
      </c>
      <c r="E92" s="2997" t="s">
        <v>3079</v>
      </c>
      <c r="F92" s="2997" t="s">
        <v>3195</v>
      </c>
      <c r="G92" s="2998" t="s">
        <v>3325</v>
      </c>
      <c r="H92" s="2997" t="s">
        <v>3196</v>
      </c>
      <c r="I92" s="2997">
        <v>152</v>
      </c>
    </row>
    <row r="93" spans="1:9">
      <c r="A93" s="2997">
        <v>96</v>
      </c>
      <c r="B93" s="2997" t="s">
        <v>3192</v>
      </c>
      <c r="C93" s="2997" t="s">
        <v>3193</v>
      </c>
      <c r="D93" s="2998" t="s">
        <v>3329</v>
      </c>
      <c r="E93" s="2997" t="s">
        <v>3079</v>
      </c>
      <c r="F93" s="2997" t="s">
        <v>3195</v>
      </c>
      <c r="G93" s="2998" t="s">
        <v>3325</v>
      </c>
      <c r="H93" s="2997" t="s">
        <v>3196</v>
      </c>
      <c r="I93" s="2997">
        <v>152</v>
      </c>
    </row>
    <row r="94" spans="1:9">
      <c r="A94" s="2997">
        <v>97</v>
      </c>
      <c r="B94" s="2997" t="s">
        <v>3192</v>
      </c>
      <c r="C94" s="2997" t="s">
        <v>3193</v>
      </c>
      <c r="D94" s="2998" t="s">
        <v>3330</v>
      </c>
      <c r="E94" s="2997" t="s">
        <v>3079</v>
      </c>
      <c r="F94" s="2997" t="s">
        <v>3195</v>
      </c>
      <c r="G94" s="2998" t="s">
        <v>3325</v>
      </c>
      <c r="H94" s="2997" t="s">
        <v>3196</v>
      </c>
      <c r="I94" s="2997">
        <v>208.31</v>
      </c>
    </row>
    <row r="95" spans="1:9">
      <c r="A95" s="2997">
        <v>98</v>
      </c>
      <c r="B95" s="2997" t="s">
        <v>3192</v>
      </c>
      <c r="C95" s="2997" t="s">
        <v>3193</v>
      </c>
      <c r="D95" s="2998" t="s">
        <v>3331</v>
      </c>
      <c r="E95" s="2997" t="s">
        <v>3079</v>
      </c>
      <c r="F95" s="2997" t="s">
        <v>3195</v>
      </c>
      <c r="G95" s="2998" t="s">
        <v>3325</v>
      </c>
      <c r="H95" s="2997" t="s">
        <v>3196</v>
      </c>
      <c r="I95" s="2997">
        <v>222.93</v>
      </c>
    </row>
    <row r="96" spans="1:9">
      <c r="A96" s="2997">
        <v>99</v>
      </c>
      <c r="B96" s="2997" t="s">
        <v>3192</v>
      </c>
      <c r="C96" s="2997" t="s">
        <v>3193</v>
      </c>
      <c r="D96" s="2998" t="s">
        <v>3332</v>
      </c>
      <c r="E96" s="2997" t="s">
        <v>3079</v>
      </c>
      <c r="F96" s="2997" t="s">
        <v>3195</v>
      </c>
      <c r="G96" s="2998" t="s">
        <v>3325</v>
      </c>
      <c r="H96" s="2997" t="s">
        <v>3196</v>
      </c>
      <c r="I96" s="2997">
        <v>152.03</v>
      </c>
    </row>
    <row r="97" spans="1:9">
      <c r="A97" s="2997">
        <v>100</v>
      </c>
      <c r="B97" s="2997" t="s">
        <v>3192</v>
      </c>
      <c r="C97" s="2997" t="s">
        <v>3193</v>
      </c>
      <c r="D97" s="2998" t="s">
        <v>3333</v>
      </c>
      <c r="E97" s="2997" t="s">
        <v>3079</v>
      </c>
      <c r="F97" s="2997" t="s">
        <v>3195</v>
      </c>
      <c r="G97" s="2998" t="s">
        <v>3325</v>
      </c>
      <c r="H97" s="2997" t="s">
        <v>3196</v>
      </c>
      <c r="I97" s="2997">
        <v>116.9</v>
      </c>
    </row>
    <row r="98" spans="1:9">
      <c r="A98" s="2997">
        <v>102</v>
      </c>
      <c r="B98" s="2997" t="s">
        <v>3192</v>
      </c>
      <c r="C98" s="2997" t="s">
        <v>3193</v>
      </c>
      <c r="D98" s="2998" t="s">
        <v>3336</v>
      </c>
      <c r="E98" s="2997" t="s">
        <v>3079</v>
      </c>
      <c r="F98" s="2997" t="s">
        <v>3195</v>
      </c>
      <c r="G98" s="2998" t="s">
        <v>3337</v>
      </c>
      <c r="H98" s="2997" t="s">
        <v>3196</v>
      </c>
      <c r="I98" s="2997">
        <v>160.65</v>
      </c>
    </row>
    <row r="99" spans="1:9">
      <c r="A99" s="2997">
        <v>103</v>
      </c>
      <c r="B99" s="2997" t="s">
        <v>3192</v>
      </c>
      <c r="C99" s="2997" t="s">
        <v>3193</v>
      </c>
      <c r="D99" s="2998" t="s">
        <v>3338</v>
      </c>
      <c r="E99" s="2997" t="s">
        <v>3079</v>
      </c>
      <c r="F99" s="2997" t="s">
        <v>3195</v>
      </c>
      <c r="G99" s="2998" t="s">
        <v>3337</v>
      </c>
      <c r="H99" s="2997" t="s">
        <v>3196</v>
      </c>
      <c r="I99" s="2997">
        <v>152</v>
      </c>
    </row>
    <row r="100" spans="1:9">
      <c r="A100" s="2997">
        <v>104</v>
      </c>
      <c r="B100" s="2997" t="s">
        <v>3192</v>
      </c>
      <c r="C100" s="2997" t="s">
        <v>3193</v>
      </c>
      <c r="D100" s="2998" t="s">
        <v>3339</v>
      </c>
      <c r="E100" s="2997" t="s">
        <v>3079</v>
      </c>
      <c r="F100" s="2997" t="s">
        <v>3195</v>
      </c>
      <c r="G100" s="2998" t="s">
        <v>3337</v>
      </c>
      <c r="H100" s="2997" t="s">
        <v>3196</v>
      </c>
      <c r="I100" s="2997">
        <v>152</v>
      </c>
    </row>
    <row r="101" spans="1:9">
      <c r="A101" s="2997">
        <v>105</v>
      </c>
      <c r="B101" s="2997" t="s">
        <v>3192</v>
      </c>
      <c r="C101" s="2997" t="s">
        <v>3193</v>
      </c>
      <c r="D101" s="2998" t="s">
        <v>3340</v>
      </c>
      <c r="E101" s="2997" t="s">
        <v>3079</v>
      </c>
      <c r="F101" s="2997" t="s">
        <v>3195</v>
      </c>
      <c r="G101" s="2998" t="s">
        <v>3337</v>
      </c>
      <c r="H101" s="2997" t="s">
        <v>3196</v>
      </c>
      <c r="I101" s="2997">
        <v>152</v>
      </c>
    </row>
    <row r="102" spans="1:9">
      <c r="A102" s="2997">
        <v>106</v>
      </c>
      <c r="B102" s="2997" t="s">
        <v>3192</v>
      </c>
      <c r="C102" s="2997" t="s">
        <v>3193</v>
      </c>
      <c r="D102" s="2998" t="s">
        <v>3341</v>
      </c>
      <c r="E102" s="2997" t="s">
        <v>3079</v>
      </c>
      <c r="F102" s="2997" t="s">
        <v>3195</v>
      </c>
      <c r="G102" s="2998" t="s">
        <v>3337</v>
      </c>
      <c r="H102" s="2997" t="s">
        <v>3196</v>
      </c>
      <c r="I102" s="2997">
        <v>152</v>
      </c>
    </row>
    <row r="103" spans="1:9">
      <c r="A103" s="2997">
        <v>107</v>
      </c>
      <c r="B103" s="2997" t="s">
        <v>3192</v>
      </c>
      <c r="C103" s="2997" t="s">
        <v>3193</v>
      </c>
      <c r="D103" s="2998" t="s">
        <v>3342</v>
      </c>
      <c r="E103" s="2997" t="s">
        <v>3079</v>
      </c>
      <c r="F103" s="2997" t="s">
        <v>3195</v>
      </c>
      <c r="G103" s="2998" t="s">
        <v>3337</v>
      </c>
      <c r="H103" s="2997" t="s">
        <v>3196</v>
      </c>
      <c r="I103" s="2997">
        <v>208.31</v>
      </c>
    </row>
    <row r="104" spans="1:9">
      <c r="A104" s="2997">
        <v>108</v>
      </c>
      <c r="B104" s="2997" t="s">
        <v>3192</v>
      </c>
      <c r="C104" s="2997" t="s">
        <v>3193</v>
      </c>
      <c r="D104" s="2998" t="s">
        <v>3343</v>
      </c>
      <c r="E104" s="2997" t="s">
        <v>3079</v>
      </c>
      <c r="F104" s="2997" t="s">
        <v>3195</v>
      </c>
      <c r="G104" s="2998" t="s">
        <v>3337</v>
      </c>
      <c r="H104" s="2997" t="s">
        <v>3196</v>
      </c>
      <c r="I104" s="2997">
        <v>222.93</v>
      </c>
    </row>
    <row r="105" spans="1:9">
      <c r="A105" s="2997">
        <v>109</v>
      </c>
      <c r="B105" s="2997" t="s">
        <v>3192</v>
      </c>
      <c r="C105" s="2997" t="s">
        <v>3193</v>
      </c>
      <c r="D105" s="2998" t="s">
        <v>3344</v>
      </c>
      <c r="E105" s="2997" t="s">
        <v>3079</v>
      </c>
      <c r="F105" s="2997" t="s">
        <v>3195</v>
      </c>
      <c r="G105" s="2998" t="s">
        <v>3337</v>
      </c>
      <c r="H105" s="2997" t="s">
        <v>3196</v>
      </c>
      <c r="I105" s="2997">
        <v>152.03</v>
      </c>
    </row>
    <row r="106" spans="1:9">
      <c r="A106" s="2997">
        <v>110</v>
      </c>
      <c r="B106" s="2997" t="s">
        <v>3192</v>
      </c>
      <c r="C106" s="2997" t="s">
        <v>3193</v>
      </c>
      <c r="D106" s="2998" t="s">
        <v>3345</v>
      </c>
      <c r="E106" s="2997" t="s">
        <v>3079</v>
      </c>
      <c r="F106" s="2997" t="s">
        <v>3195</v>
      </c>
      <c r="G106" s="2998" t="s">
        <v>3337</v>
      </c>
      <c r="H106" s="2997" t="s">
        <v>3196</v>
      </c>
      <c r="I106" s="2997">
        <v>116.9</v>
      </c>
    </row>
    <row r="107" spans="1:9">
      <c r="A107" s="2997">
        <v>112</v>
      </c>
      <c r="B107" s="2997" t="s">
        <v>3192</v>
      </c>
      <c r="C107" s="2997" t="s">
        <v>3193</v>
      </c>
      <c r="D107" s="2998" t="s">
        <v>3348</v>
      </c>
      <c r="E107" s="2997" t="s">
        <v>3079</v>
      </c>
      <c r="F107" s="2997" t="s">
        <v>3195</v>
      </c>
      <c r="G107" s="2998" t="s">
        <v>3349</v>
      </c>
      <c r="H107" s="2997" t="s">
        <v>3196</v>
      </c>
      <c r="I107" s="2997">
        <v>160.65</v>
      </c>
    </row>
    <row r="108" spans="1:9">
      <c r="A108" s="2997">
        <v>113</v>
      </c>
      <c r="B108" s="2997" t="s">
        <v>3192</v>
      </c>
      <c r="C108" s="2997" t="s">
        <v>3193</v>
      </c>
      <c r="D108" s="2998" t="s">
        <v>3350</v>
      </c>
      <c r="E108" s="2997" t="s">
        <v>3079</v>
      </c>
      <c r="F108" s="2997" t="s">
        <v>3195</v>
      </c>
      <c r="G108" s="2998" t="s">
        <v>3349</v>
      </c>
      <c r="H108" s="2997" t="s">
        <v>3196</v>
      </c>
      <c r="I108" s="2997">
        <v>152</v>
      </c>
    </row>
    <row r="109" spans="1:9">
      <c r="A109" s="2997">
        <v>114</v>
      </c>
      <c r="B109" s="2997" t="s">
        <v>3192</v>
      </c>
      <c r="C109" s="2997" t="s">
        <v>3193</v>
      </c>
      <c r="D109" s="2998" t="s">
        <v>3351</v>
      </c>
      <c r="E109" s="2997" t="s">
        <v>3079</v>
      </c>
      <c r="F109" s="2997" t="s">
        <v>3195</v>
      </c>
      <c r="G109" s="2998" t="s">
        <v>3349</v>
      </c>
      <c r="H109" s="2997" t="s">
        <v>3196</v>
      </c>
      <c r="I109" s="2997">
        <v>152</v>
      </c>
    </row>
    <row r="110" spans="1:9">
      <c r="A110" s="2997">
        <v>115</v>
      </c>
      <c r="B110" s="2997" t="s">
        <v>3192</v>
      </c>
      <c r="C110" s="2997" t="s">
        <v>3193</v>
      </c>
      <c r="D110" s="2998" t="s">
        <v>3352</v>
      </c>
      <c r="E110" s="2997" t="s">
        <v>3079</v>
      </c>
      <c r="F110" s="2997" t="s">
        <v>3195</v>
      </c>
      <c r="G110" s="2998" t="s">
        <v>3349</v>
      </c>
      <c r="H110" s="2997" t="s">
        <v>3196</v>
      </c>
      <c r="I110" s="2997">
        <v>152</v>
      </c>
    </row>
    <row r="111" spans="1:9">
      <c r="A111" s="2997">
        <v>116</v>
      </c>
      <c r="B111" s="2997" t="s">
        <v>3192</v>
      </c>
      <c r="C111" s="2997" t="s">
        <v>3193</v>
      </c>
      <c r="D111" s="2998" t="s">
        <v>3353</v>
      </c>
      <c r="E111" s="2997" t="s">
        <v>3079</v>
      </c>
      <c r="F111" s="2997" t="s">
        <v>3195</v>
      </c>
      <c r="G111" s="2998" t="s">
        <v>3349</v>
      </c>
      <c r="H111" s="2997" t="s">
        <v>3196</v>
      </c>
      <c r="I111" s="2997">
        <v>152</v>
      </c>
    </row>
    <row r="112" spans="1:9">
      <c r="A112" s="2997">
        <v>117</v>
      </c>
      <c r="B112" s="2997" t="s">
        <v>3192</v>
      </c>
      <c r="C112" s="2997" t="s">
        <v>3193</v>
      </c>
      <c r="D112" s="2998" t="s">
        <v>3354</v>
      </c>
      <c r="E112" s="2997" t="s">
        <v>3079</v>
      </c>
      <c r="F112" s="2997" t="s">
        <v>3195</v>
      </c>
      <c r="G112" s="2998" t="s">
        <v>3349</v>
      </c>
      <c r="H112" s="2997" t="s">
        <v>3196</v>
      </c>
      <c r="I112" s="2997">
        <v>208.31</v>
      </c>
    </row>
    <row r="113" spans="1:9">
      <c r="A113" s="2997">
        <v>118</v>
      </c>
      <c r="B113" s="2997" t="s">
        <v>3192</v>
      </c>
      <c r="C113" s="2997" t="s">
        <v>3193</v>
      </c>
      <c r="D113" s="2998" t="s">
        <v>3355</v>
      </c>
      <c r="E113" s="2997" t="s">
        <v>3079</v>
      </c>
      <c r="F113" s="2997" t="s">
        <v>3195</v>
      </c>
      <c r="G113" s="2998" t="s">
        <v>3349</v>
      </c>
      <c r="H113" s="2997" t="s">
        <v>3196</v>
      </c>
      <c r="I113" s="2997">
        <v>222.93</v>
      </c>
    </row>
    <row r="114" spans="1:9">
      <c r="A114" s="2997">
        <v>119</v>
      </c>
      <c r="B114" s="2997" t="s">
        <v>3192</v>
      </c>
      <c r="C114" s="2997" t="s">
        <v>3193</v>
      </c>
      <c r="D114" s="2998" t="s">
        <v>3356</v>
      </c>
      <c r="E114" s="2997" t="s">
        <v>3079</v>
      </c>
      <c r="F114" s="2997" t="s">
        <v>3195</v>
      </c>
      <c r="G114" s="2998" t="s">
        <v>3349</v>
      </c>
      <c r="H114" s="2997" t="s">
        <v>3196</v>
      </c>
      <c r="I114" s="2997">
        <v>152.03</v>
      </c>
    </row>
    <row r="115" spans="1:9">
      <c r="A115" s="2997">
        <v>120</v>
      </c>
      <c r="B115" s="2997" t="s">
        <v>3192</v>
      </c>
      <c r="C115" s="2997" t="s">
        <v>3193</v>
      </c>
      <c r="D115" s="2998" t="s">
        <v>3357</v>
      </c>
      <c r="E115" s="2997" t="s">
        <v>3079</v>
      </c>
      <c r="F115" s="2997" t="s">
        <v>3195</v>
      </c>
      <c r="G115" s="2998" t="s">
        <v>3349</v>
      </c>
      <c r="H115" s="2997" t="s">
        <v>3196</v>
      </c>
      <c r="I115" s="2997">
        <v>116.9</v>
      </c>
    </row>
    <row r="116" spans="1:9">
      <c r="A116" s="2997"/>
      <c r="B116" s="2997" t="s">
        <v>3703</v>
      </c>
      <c r="C116" s="2997"/>
      <c r="D116" s="2998"/>
      <c r="E116" s="2997"/>
      <c r="F116" s="2997"/>
      <c r="G116" s="2998"/>
      <c r="H116" s="2997"/>
      <c r="I116" s="2997">
        <f>SUM(I16:I115)</f>
        <v>16188.979999999998</v>
      </c>
    </row>
    <row r="117" spans="1:9" s="3439" customFormat="1">
      <c r="A117" s="3437">
        <v>1</v>
      </c>
      <c r="B117" s="3437" t="s">
        <v>3183</v>
      </c>
      <c r="C117" s="3437" t="s">
        <v>3184</v>
      </c>
      <c r="D117" s="3438" t="s">
        <v>3185</v>
      </c>
      <c r="E117" s="3437" t="s">
        <v>3079</v>
      </c>
      <c r="F117" s="3437" t="s">
        <v>3187</v>
      </c>
      <c r="G117" s="3438" t="s">
        <v>3188</v>
      </c>
      <c r="H117" s="3437" t="s">
        <v>3189</v>
      </c>
      <c r="I117" s="3437">
        <v>5960.53</v>
      </c>
    </row>
    <row r="118" spans="1:9" s="3439" customFormat="1">
      <c r="A118" s="3437">
        <v>2</v>
      </c>
      <c r="B118" s="3437" t="s">
        <v>3183</v>
      </c>
      <c r="C118" s="3437" t="s">
        <v>3184</v>
      </c>
      <c r="D118" s="3438" t="s">
        <v>3190</v>
      </c>
      <c r="E118" s="3437" t="s">
        <v>3079</v>
      </c>
      <c r="F118" s="3437" t="s">
        <v>3187</v>
      </c>
      <c r="G118" s="3438" t="s">
        <v>3188</v>
      </c>
      <c r="H118" s="3437" t="s">
        <v>3189</v>
      </c>
      <c r="I118" s="3437">
        <v>2831.2</v>
      </c>
    </row>
    <row r="119" spans="1:9" s="3439" customFormat="1">
      <c r="A119" s="3437">
        <v>3</v>
      </c>
      <c r="B119" s="3437" t="s">
        <v>3183</v>
      </c>
      <c r="C119" s="3437" t="s">
        <v>3184</v>
      </c>
      <c r="D119" s="3438" t="s">
        <v>3191</v>
      </c>
      <c r="E119" s="3437" t="s">
        <v>3079</v>
      </c>
      <c r="F119" s="3437" t="s">
        <v>3187</v>
      </c>
      <c r="G119" s="3438" t="s">
        <v>3188</v>
      </c>
      <c r="H119" s="3437" t="s">
        <v>3189</v>
      </c>
      <c r="I119" s="3437">
        <v>973.41</v>
      </c>
    </row>
    <row r="120" spans="1:9" s="3439" customFormat="1">
      <c r="A120" s="3437">
        <v>5</v>
      </c>
      <c r="B120" s="3437" t="s">
        <v>3183</v>
      </c>
      <c r="C120" s="3437" t="s">
        <v>3184</v>
      </c>
      <c r="D120" s="3438" t="s">
        <v>3197</v>
      </c>
      <c r="E120" s="3437" t="s">
        <v>3079</v>
      </c>
      <c r="F120" s="3437" t="s">
        <v>3187</v>
      </c>
      <c r="G120" s="3438" t="s">
        <v>3199</v>
      </c>
      <c r="H120" s="3437" t="s">
        <v>3189</v>
      </c>
      <c r="I120" s="3437">
        <v>8925.85</v>
      </c>
    </row>
    <row r="121" spans="1:9" s="3439" customFormat="1">
      <c r="A121" s="3437">
        <v>6</v>
      </c>
      <c r="B121" s="3437" t="s">
        <v>3183</v>
      </c>
      <c r="C121" s="3437" t="s">
        <v>3184</v>
      </c>
      <c r="D121" s="3438" t="s">
        <v>3200</v>
      </c>
      <c r="E121" s="3437" t="s">
        <v>3079</v>
      </c>
      <c r="F121" s="3437" t="s">
        <v>3187</v>
      </c>
      <c r="G121" s="3438" t="s">
        <v>3199</v>
      </c>
      <c r="H121" s="3437" t="s">
        <v>3189</v>
      </c>
      <c r="I121" s="3437">
        <v>1999.18</v>
      </c>
    </row>
    <row r="122" spans="1:9" s="3439" customFormat="1">
      <c r="A122" s="3437">
        <v>7</v>
      </c>
      <c r="B122" s="3437" t="s">
        <v>3183</v>
      </c>
      <c r="C122" s="3437" t="s">
        <v>3184</v>
      </c>
      <c r="D122" s="3438" t="s">
        <v>3201</v>
      </c>
      <c r="E122" s="3437" t="s">
        <v>3079</v>
      </c>
      <c r="F122" s="3437" t="s">
        <v>3187</v>
      </c>
      <c r="G122" s="3438" t="s">
        <v>1027</v>
      </c>
      <c r="H122" s="3437" t="s">
        <v>3189</v>
      </c>
      <c r="I122" s="3437">
        <v>8965.7800000000007</v>
      </c>
    </row>
    <row r="123" spans="1:9" s="3439" customFormat="1">
      <c r="A123" s="3437">
        <v>8</v>
      </c>
      <c r="B123" s="3437" t="s">
        <v>3183</v>
      </c>
      <c r="C123" s="3437" t="s">
        <v>3184</v>
      </c>
      <c r="D123" s="3438" t="s">
        <v>3204</v>
      </c>
      <c r="E123" s="3437" t="s">
        <v>3079</v>
      </c>
      <c r="F123" s="3437" t="s">
        <v>3187</v>
      </c>
      <c r="G123" s="3438" t="s">
        <v>1027</v>
      </c>
      <c r="H123" s="3437" t="s">
        <v>3189</v>
      </c>
      <c r="I123" s="3437">
        <v>1991.5</v>
      </c>
    </row>
    <row r="124" spans="1:9" s="3439" customFormat="1">
      <c r="A124" s="3437">
        <v>10</v>
      </c>
      <c r="B124" s="3437" t="s">
        <v>3183</v>
      </c>
      <c r="C124" s="3437" t="s">
        <v>3184</v>
      </c>
      <c r="D124" s="3438" t="s">
        <v>3209</v>
      </c>
      <c r="E124" s="3437" t="s">
        <v>3079</v>
      </c>
      <c r="F124" s="3437" t="s">
        <v>3187</v>
      </c>
      <c r="G124" s="3438" t="s">
        <v>1028</v>
      </c>
      <c r="H124" s="3437" t="s">
        <v>3189</v>
      </c>
      <c r="I124" s="3437">
        <v>10095.84</v>
      </c>
    </row>
    <row r="125" spans="1:9">
      <c r="A125" s="2997">
        <v>122</v>
      </c>
      <c r="B125" s="2997" t="s">
        <v>3183</v>
      </c>
      <c r="C125" s="2997" t="s">
        <v>3184</v>
      </c>
      <c r="D125" s="2998" t="s">
        <v>3363</v>
      </c>
      <c r="E125" s="2997" t="s">
        <v>3079</v>
      </c>
      <c r="F125" s="2997" t="s">
        <v>3187</v>
      </c>
      <c r="G125" s="2998" t="s">
        <v>3359</v>
      </c>
      <c r="H125" s="2997" t="s">
        <v>3360</v>
      </c>
      <c r="I125" s="2997">
        <v>21.37</v>
      </c>
    </row>
    <row r="126" spans="1:9">
      <c r="A126" s="2997">
        <v>123</v>
      </c>
      <c r="B126" s="2997" t="s">
        <v>3183</v>
      </c>
      <c r="C126" s="2997" t="s">
        <v>3184</v>
      </c>
      <c r="D126" s="2998" t="s">
        <v>3365</v>
      </c>
      <c r="E126" s="2997" t="s">
        <v>3079</v>
      </c>
      <c r="F126" s="2997" t="s">
        <v>3187</v>
      </c>
      <c r="G126" s="2998" t="s">
        <v>3359</v>
      </c>
      <c r="H126" s="2997" t="s">
        <v>3360</v>
      </c>
      <c r="I126" s="2997">
        <v>7.56</v>
      </c>
    </row>
    <row r="127" spans="1:9">
      <c r="A127" s="2997">
        <v>124</v>
      </c>
      <c r="B127" s="2997" t="s">
        <v>3183</v>
      </c>
      <c r="C127" s="2997" t="s">
        <v>3184</v>
      </c>
      <c r="D127" s="2998" t="s">
        <v>3366</v>
      </c>
      <c r="E127" s="2997" t="s">
        <v>3079</v>
      </c>
      <c r="F127" s="2997" t="s">
        <v>3187</v>
      </c>
      <c r="G127" s="2998" t="s">
        <v>3359</v>
      </c>
      <c r="H127" s="2997" t="s">
        <v>3360</v>
      </c>
      <c r="I127" s="2997">
        <v>36.07</v>
      </c>
    </row>
    <row r="128" spans="1:9">
      <c r="A128" s="2997">
        <v>125</v>
      </c>
      <c r="B128" s="2997" t="s">
        <v>3183</v>
      </c>
      <c r="C128" s="2997" t="s">
        <v>3184</v>
      </c>
      <c r="D128" s="2998" t="s">
        <v>3367</v>
      </c>
      <c r="E128" s="2997" t="s">
        <v>3079</v>
      </c>
      <c r="F128" s="2997" t="s">
        <v>3187</v>
      </c>
      <c r="G128" s="2998" t="s">
        <v>3359</v>
      </c>
      <c r="H128" s="2997" t="s">
        <v>3360</v>
      </c>
      <c r="I128" s="2997">
        <v>21.25</v>
      </c>
    </row>
    <row r="129" spans="1:9">
      <c r="A129" s="2997">
        <v>126</v>
      </c>
      <c r="B129" s="2997" t="s">
        <v>3183</v>
      </c>
      <c r="C129" s="2997" t="s">
        <v>3184</v>
      </c>
      <c r="D129" s="2998" t="s">
        <v>3368</v>
      </c>
      <c r="E129" s="2997" t="s">
        <v>3079</v>
      </c>
      <c r="F129" s="2997" t="s">
        <v>3187</v>
      </c>
      <c r="G129" s="2998" t="s">
        <v>3359</v>
      </c>
      <c r="H129" s="2997" t="s">
        <v>3360</v>
      </c>
      <c r="I129" s="2997">
        <v>57.48</v>
      </c>
    </row>
    <row r="130" spans="1:9">
      <c r="A130" s="2997">
        <v>127</v>
      </c>
      <c r="B130" s="2997" t="s">
        <v>3183</v>
      </c>
      <c r="C130" s="2997" t="s">
        <v>3184</v>
      </c>
      <c r="D130" s="2998" t="s">
        <v>3369</v>
      </c>
      <c r="E130" s="2997" t="s">
        <v>3079</v>
      </c>
      <c r="F130" s="2997" t="s">
        <v>3187</v>
      </c>
      <c r="G130" s="2998" t="s">
        <v>3359</v>
      </c>
      <c r="H130" s="2997" t="s">
        <v>3360</v>
      </c>
      <c r="I130" s="2997">
        <v>50.19</v>
      </c>
    </row>
    <row r="131" spans="1:9">
      <c r="A131" s="2997">
        <v>128</v>
      </c>
      <c r="B131" s="2997" t="s">
        <v>3183</v>
      </c>
      <c r="C131" s="2997" t="s">
        <v>3184</v>
      </c>
      <c r="D131" s="2998" t="s">
        <v>3370</v>
      </c>
      <c r="E131" s="2997" t="s">
        <v>3079</v>
      </c>
      <c r="F131" s="2997" t="s">
        <v>3187</v>
      </c>
      <c r="G131" s="2998" t="s">
        <v>3359</v>
      </c>
      <c r="H131" s="2997" t="s">
        <v>3360</v>
      </c>
      <c r="I131" s="2997">
        <v>6828.51</v>
      </c>
    </row>
    <row r="132" spans="1:9">
      <c r="A132" s="2997">
        <v>129</v>
      </c>
      <c r="B132" s="2997" t="s">
        <v>3183</v>
      </c>
      <c r="C132" s="2997" t="s">
        <v>3184</v>
      </c>
      <c r="D132" s="2998" t="s">
        <v>3371</v>
      </c>
      <c r="E132" s="2997" t="s">
        <v>3079</v>
      </c>
      <c r="F132" s="2997" t="s">
        <v>3187</v>
      </c>
      <c r="G132" s="2998" t="s">
        <v>3359</v>
      </c>
      <c r="H132" s="2997" t="s">
        <v>3372</v>
      </c>
      <c r="I132" s="2997">
        <v>1940.16</v>
      </c>
    </row>
    <row r="133" spans="1:9">
      <c r="A133" s="2997">
        <v>130</v>
      </c>
      <c r="B133" s="2997" t="s">
        <v>3183</v>
      </c>
      <c r="C133" s="2997" t="s">
        <v>3184</v>
      </c>
      <c r="D133" s="2998" t="s">
        <v>3373</v>
      </c>
      <c r="E133" s="2997" t="s">
        <v>3079</v>
      </c>
      <c r="F133" s="2997" t="s">
        <v>3187</v>
      </c>
      <c r="G133" s="2998" t="s">
        <v>3359</v>
      </c>
      <c r="H133" s="2997" t="s">
        <v>3360</v>
      </c>
      <c r="I133" s="2997">
        <v>69.25</v>
      </c>
    </row>
    <row r="134" spans="1:9">
      <c r="A134" s="2997">
        <v>131</v>
      </c>
      <c r="B134" s="2997" t="s">
        <v>3183</v>
      </c>
      <c r="C134" s="2997" t="s">
        <v>3184</v>
      </c>
      <c r="D134" s="2998" t="s">
        <v>3374</v>
      </c>
      <c r="E134" s="2997" t="s">
        <v>3079</v>
      </c>
      <c r="F134" s="2997" t="s">
        <v>3187</v>
      </c>
      <c r="G134" s="2998" t="s">
        <v>3359</v>
      </c>
      <c r="H134" s="2997" t="s">
        <v>3360</v>
      </c>
      <c r="I134" s="2997">
        <v>48.56</v>
      </c>
    </row>
    <row r="135" spans="1:9">
      <c r="A135" s="2997">
        <v>132</v>
      </c>
      <c r="B135" s="2997" t="s">
        <v>3183</v>
      </c>
      <c r="C135" s="2997" t="s">
        <v>3184</v>
      </c>
      <c r="D135" s="2998" t="s">
        <v>3375</v>
      </c>
      <c r="E135" s="2997" t="s">
        <v>3079</v>
      </c>
      <c r="F135" s="2997" t="s">
        <v>3187</v>
      </c>
      <c r="G135" s="2998" t="s">
        <v>3359</v>
      </c>
      <c r="H135" s="2997" t="s">
        <v>3360</v>
      </c>
      <c r="I135" s="2997">
        <v>48.56</v>
      </c>
    </row>
    <row r="136" spans="1:9">
      <c r="A136" s="2997">
        <v>133</v>
      </c>
      <c r="B136" s="2997" t="s">
        <v>3183</v>
      </c>
      <c r="C136" s="2997" t="s">
        <v>3184</v>
      </c>
      <c r="D136" s="2998" t="s">
        <v>3376</v>
      </c>
      <c r="E136" s="2997" t="s">
        <v>3079</v>
      </c>
      <c r="F136" s="2997" t="s">
        <v>3187</v>
      </c>
      <c r="G136" s="2998" t="s">
        <v>3359</v>
      </c>
      <c r="H136" s="2997" t="s">
        <v>3360</v>
      </c>
      <c r="I136" s="2997">
        <v>47.76</v>
      </c>
    </row>
    <row r="137" spans="1:9">
      <c r="A137" s="2997">
        <v>134</v>
      </c>
      <c r="B137" s="2997" t="s">
        <v>3183</v>
      </c>
      <c r="C137" s="2997" t="s">
        <v>3184</v>
      </c>
      <c r="D137" s="2998" t="s">
        <v>3377</v>
      </c>
      <c r="E137" s="2997" t="s">
        <v>3079</v>
      </c>
      <c r="F137" s="2997" t="s">
        <v>3187</v>
      </c>
      <c r="G137" s="2998" t="s">
        <v>3359</v>
      </c>
      <c r="H137" s="2997" t="s">
        <v>3360</v>
      </c>
      <c r="I137" s="2997">
        <v>53.68</v>
      </c>
    </row>
    <row r="138" spans="1:9">
      <c r="A138" s="2997">
        <v>135</v>
      </c>
      <c r="B138" s="2997" t="s">
        <v>3183</v>
      </c>
      <c r="C138" s="2997" t="s">
        <v>3184</v>
      </c>
      <c r="D138" s="2998" t="s">
        <v>3378</v>
      </c>
      <c r="E138" s="2997" t="s">
        <v>3079</v>
      </c>
      <c r="F138" s="2997" t="s">
        <v>3187</v>
      </c>
      <c r="G138" s="2998" t="s">
        <v>3359</v>
      </c>
      <c r="H138" s="2997" t="s">
        <v>3360</v>
      </c>
      <c r="I138" s="2997">
        <v>53.68</v>
      </c>
    </row>
    <row r="139" spans="1:9">
      <c r="A139" s="2997">
        <v>136</v>
      </c>
      <c r="B139" s="2997" t="s">
        <v>3183</v>
      </c>
      <c r="C139" s="2997" t="s">
        <v>3184</v>
      </c>
      <c r="D139" s="2998" t="s">
        <v>3379</v>
      </c>
      <c r="E139" s="2997" t="s">
        <v>3079</v>
      </c>
      <c r="F139" s="2997" t="s">
        <v>3187</v>
      </c>
      <c r="G139" s="2998" t="s">
        <v>3359</v>
      </c>
      <c r="H139" s="2997" t="s">
        <v>3360</v>
      </c>
      <c r="I139" s="2997">
        <v>53.68</v>
      </c>
    </row>
    <row r="140" spans="1:9">
      <c r="A140" s="2997">
        <v>137</v>
      </c>
      <c r="B140" s="2997" t="s">
        <v>3183</v>
      </c>
      <c r="C140" s="2997" t="s">
        <v>3184</v>
      </c>
      <c r="D140" s="2998" t="s">
        <v>3380</v>
      </c>
      <c r="E140" s="2997" t="s">
        <v>3079</v>
      </c>
      <c r="F140" s="2997" t="s">
        <v>3187</v>
      </c>
      <c r="G140" s="2998" t="s">
        <v>3359</v>
      </c>
      <c r="H140" s="2997" t="s">
        <v>3360</v>
      </c>
      <c r="I140" s="2997">
        <v>53.68</v>
      </c>
    </row>
    <row r="141" spans="1:9">
      <c r="A141" s="2997">
        <v>138</v>
      </c>
      <c r="B141" s="2997" t="s">
        <v>3183</v>
      </c>
      <c r="C141" s="2997" t="s">
        <v>3184</v>
      </c>
      <c r="D141" s="2998" t="s">
        <v>3381</v>
      </c>
      <c r="E141" s="2997" t="s">
        <v>3079</v>
      </c>
      <c r="F141" s="2997" t="s">
        <v>3187</v>
      </c>
      <c r="G141" s="2998" t="s">
        <v>3359</v>
      </c>
      <c r="H141" s="2997" t="s">
        <v>3360</v>
      </c>
      <c r="I141" s="2997">
        <v>47.55</v>
      </c>
    </row>
    <row r="142" spans="1:9">
      <c r="A142" s="2997">
        <v>139</v>
      </c>
      <c r="B142" s="2997" t="s">
        <v>3183</v>
      </c>
      <c r="C142" s="2997" t="s">
        <v>3184</v>
      </c>
      <c r="D142" s="2998" t="s">
        <v>3382</v>
      </c>
      <c r="E142" s="2997" t="s">
        <v>3079</v>
      </c>
      <c r="F142" s="2997" t="s">
        <v>3187</v>
      </c>
      <c r="G142" s="2998" t="s">
        <v>3359</v>
      </c>
      <c r="H142" s="2997" t="s">
        <v>3360</v>
      </c>
      <c r="I142" s="2997">
        <v>54.7</v>
      </c>
    </row>
    <row r="143" spans="1:9">
      <c r="A143" s="2997">
        <v>140</v>
      </c>
      <c r="B143" s="2997" t="s">
        <v>3183</v>
      </c>
      <c r="C143" s="2997" t="s">
        <v>3184</v>
      </c>
      <c r="D143" s="2998" t="s">
        <v>3383</v>
      </c>
      <c r="E143" s="2997" t="s">
        <v>3079</v>
      </c>
      <c r="F143" s="2997" t="s">
        <v>3187</v>
      </c>
      <c r="G143" s="2998" t="s">
        <v>3384</v>
      </c>
      <c r="H143" s="2997" t="s">
        <v>3360</v>
      </c>
      <c r="I143" s="2997">
        <v>21.21</v>
      </c>
    </row>
    <row r="144" spans="1:9">
      <c r="A144" s="2997">
        <v>141</v>
      </c>
      <c r="B144" s="2997" t="s">
        <v>3183</v>
      </c>
      <c r="C144" s="2997" t="s">
        <v>3184</v>
      </c>
      <c r="D144" s="2998" t="s">
        <v>3385</v>
      </c>
      <c r="E144" s="2997" t="s">
        <v>3079</v>
      </c>
      <c r="F144" s="2997" t="s">
        <v>3187</v>
      </c>
      <c r="G144" s="2998" t="s">
        <v>3384</v>
      </c>
      <c r="H144" s="2997" t="s">
        <v>3360</v>
      </c>
      <c r="I144" s="2997">
        <v>46.3</v>
      </c>
    </row>
    <row r="145" spans="1:10">
      <c r="A145" s="2997">
        <v>142</v>
      </c>
      <c r="B145" s="2997" t="s">
        <v>3183</v>
      </c>
      <c r="C145" s="2997" t="s">
        <v>3184</v>
      </c>
      <c r="D145" s="2998" t="s">
        <v>3386</v>
      </c>
      <c r="E145" s="2997" t="s">
        <v>3079</v>
      </c>
      <c r="F145" s="2997" t="s">
        <v>3187</v>
      </c>
      <c r="G145" s="2998" t="s">
        <v>3384</v>
      </c>
      <c r="H145" s="2997" t="s">
        <v>3360</v>
      </c>
      <c r="I145" s="2997">
        <v>37.840000000000003</v>
      </c>
    </row>
    <row r="146" spans="1:10">
      <c r="A146" s="2997">
        <v>143</v>
      </c>
      <c r="B146" s="2997" t="s">
        <v>3183</v>
      </c>
      <c r="C146" s="2997" t="s">
        <v>3184</v>
      </c>
      <c r="D146" s="2998" t="s">
        <v>3387</v>
      </c>
      <c r="E146" s="2997" t="s">
        <v>3079</v>
      </c>
      <c r="F146" s="2997" t="s">
        <v>3187</v>
      </c>
      <c r="G146" s="2998" t="s">
        <v>3384</v>
      </c>
      <c r="H146" s="2997" t="s">
        <v>3360</v>
      </c>
      <c r="I146" s="2997">
        <v>50.82</v>
      </c>
    </row>
    <row r="147" spans="1:10">
      <c r="A147" s="2997">
        <v>144</v>
      </c>
      <c r="B147" s="2997" t="s">
        <v>3183</v>
      </c>
      <c r="C147" s="2997" t="s">
        <v>3184</v>
      </c>
      <c r="D147" s="2998" t="s">
        <v>3388</v>
      </c>
      <c r="E147" s="2997" t="s">
        <v>3079</v>
      </c>
      <c r="F147" s="2997" t="s">
        <v>3187</v>
      </c>
      <c r="G147" s="2998" t="s">
        <v>3384</v>
      </c>
      <c r="H147" s="2997" t="s">
        <v>3360</v>
      </c>
      <c r="I147" s="2997">
        <v>1951.24</v>
      </c>
    </row>
    <row r="148" spans="1:10">
      <c r="A148" s="2997">
        <v>145</v>
      </c>
      <c r="B148" s="2997" t="s">
        <v>3183</v>
      </c>
      <c r="C148" s="2997" t="s">
        <v>3184</v>
      </c>
      <c r="D148" s="2998" t="s">
        <v>3389</v>
      </c>
      <c r="E148" s="2997" t="s">
        <v>3079</v>
      </c>
      <c r="F148" s="2997" t="s">
        <v>3187</v>
      </c>
      <c r="G148" s="2998" t="s">
        <v>3390</v>
      </c>
      <c r="H148" s="2997" t="s">
        <v>3360</v>
      </c>
      <c r="I148" s="2997">
        <v>179.13</v>
      </c>
    </row>
    <row r="149" spans="1:10">
      <c r="A149" s="2997">
        <v>146</v>
      </c>
      <c r="B149" s="2997" t="s">
        <v>3183</v>
      </c>
      <c r="C149" s="2997" t="s">
        <v>3184</v>
      </c>
      <c r="D149" s="2998" t="s">
        <v>3391</v>
      </c>
      <c r="E149" s="2997" t="s">
        <v>3079</v>
      </c>
      <c r="F149" s="2997" t="s">
        <v>3187</v>
      </c>
      <c r="G149" s="2998" t="s">
        <v>3390</v>
      </c>
      <c r="H149" s="2997" t="s">
        <v>3360</v>
      </c>
      <c r="I149" s="2997">
        <v>21.21</v>
      </c>
    </row>
    <row r="150" spans="1:10">
      <c r="A150" s="2997">
        <v>147</v>
      </c>
      <c r="B150" s="2997" t="s">
        <v>3183</v>
      </c>
      <c r="C150" s="2997" t="s">
        <v>3184</v>
      </c>
      <c r="D150" s="2998" t="s">
        <v>3392</v>
      </c>
      <c r="E150" s="2997" t="s">
        <v>3079</v>
      </c>
      <c r="F150" s="2997" t="s">
        <v>3187</v>
      </c>
      <c r="G150" s="2998" t="s">
        <v>3390</v>
      </c>
      <c r="H150" s="2997" t="s">
        <v>3360</v>
      </c>
      <c r="I150" s="2997">
        <v>49.91</v>
      </c>
    </row>
    <row r="151" spans="1:10">
      <c r="A151" s="2997">
        <v>148</v>
      </c>
      <c r="B151" s="2997" t="s">
        <v>3183</v>
      </c>
      <c r="C151" s="2997" t="s">
        <v>3184</v>
      </c>
      <c r="D151" s="2998" t="s">
        <v>3393</v>
      </c>
      <c r="E151" s="2997" t="s">
        <v>3079</v>
      </c>
      <c r="F151" s="2997" t="s">
        <v>3187</v>
      </c>
      <c r="G151" s="2998" t="s">
        <v>3390</v>
      </c>
      <c r="H151" s="2997" t="s">
        <v>3360</v>
      </c>
      <c r="I151" s="2997">
        <v>2544.79</v>
      </c>
    </row>
    <row r="152" spans="1:10">
      <c r="A152" s="2997"/>
      <c r="B152" s="2997" t="s">
        <v>3704</v>
      </c>
      <c r="C152" s="2997"/>
      <c r="D152" s="2998"/>
      <c r="E152" s="2997"/>
      <c r="F152" s="2997"/>
      <c r="G152" s="2998"/>
      <c r="H152" s="2997"/>
      <c r="I152" s="2997">
        <f>SUM(I117:I151)</f>
        <v>56139.43</v>
      </c>
      <c r="J152" s="2999">
        <f>I152-I132</f>
        <v>54199.27</v>
      </c>
    </row>
    <row r="153" spans="1:10">
      <c r="A153" s="2997"/>
      <c r="B153" s="2997" t="s">
        <v>3394</v>
      </c>
      <c r="C153" s="2997"/>
      <c r="D153" s="2998"/>
      <c r="E153" s="2997"/>
      <c r="F153" s="2997"/>
      <c r="G153" s="2998"/>
      <c r="H153" s="2997"/>
      <c r="I153" s="2997">
        <f>SUM(I152,I116,I15)</f>
        <v>89988.24</v>
      </c>
    </row>
    <row r="155" spans="1:10">
      <c r="D155" s="2999"/>
      <c r="G155" s="2999"/>
    </row>
    <row r="156" spans="1:10">
      <c r="A156" s="2997" t="s">
        <v>3405</v>
      </c>
      <c r="B156" s="2997">
        <f>SUM(I117,I118,I119,I16)</f>
        <v>9797.0999999999985</v>
      </c>
      <c r="C156" s="3437" t="s">
        <v>3705</v>
      </c>
      <c r="D156" s="3437">
        <f>389</f>
        <v>389</v>
      </c>
      <c r="E156" s="2997"/>
      <c r="G156" s="2999"/>
    </row>
    <row r="157" spans="1:10">
      <c r="A157" s="2997" t="s">
        <v>3406</v>
      </c>
      <c r="B157" s="2997">
        <f>SUM(I120:I121)</f>
        <v>10925.03</v>
      </c>
      <c r="C157" s="3437" t="s">
        <v>3706</v>
      </c>
      <c r="D157" s="3437">
        <f>I16</f>
        <v>31.96</v>
      </c>
      <c r="E157" s="2997"/>
      <c r="G157" s="2999"/>
    </row>
    <row r="158" spans="1:10">
      <c r="A158" s="2997" t="s">
        <v>3407</v>
      </c>
      <c r="B158" s="2997">
        <f>SUM(I122:I123)</f>
        <v>10957.28</v>
      </c>
      <c r="C158" s="3437" t="s">
        <v>3707</v>
      </c>
      <c r="D158" s="3437">
        <f>I117+I118+I119+I120+I121+I122+I123+I124</f>
        <v>41743.289999999994</v>
      </c>
      <c r="E158" s="2997"/>
      <c r="G158" s="2999"/>
    </row>
    <row r="159" spans="1:10">
      <c r="A159" s="2997" t="s">
        <v>3408</v>
      </c>
      <c r="B159" s="2997">
        <f>SUM(I124,I2)</f>
        <v>11174.07</v>
      </c>
      <c r="C159" s="3437" t="s">
        <v>3746</v>
      </c>
      <c r="D159" s="3437">
        <f>SUM(I17:I115)</f>
        <v>16157.019999999999</v>
      </c>
      <c r="E159" s="2997"/>
      <c r="G159" s="2999"/>
    </row>
    <row r="160" spans="1:10">
      <c r="A160" s="2997" t="s">
        <v>3422</v>
      </c>
      <c r="B160" s="2997">
        <f>SUM(I17:I115)</f>
        <v>16157.019999999999</v>
      </c>
      <c r="C160" s="3437" t="s">
        <v>3745</v>
      </c>
      <c r="D160" s="3437">
        <f>SUM(I2:I13)-D156</f>
        <v>16569.820000000003</v>
      </c>
      <c r="G160" s="2999"/>
    </row>
    <row r="161" spans="1:12">
      <c r="A161" s="2997" t="s">
        <v>3632</v>
      </c>
      <c r="B161" s="2997">
        <f>SUM(I3:I13)</f>
        <v>15880.590000000004</v>
      </c>
      <c r="C161" s="3437" t="s">
        <v>3747</v>
      </c>
      <c r="D161" s="3437">
        <f>I14</f>
        <v>701.01</v>
      </c>
      <c r="G161" s="2999"/>
    </row>
    <row r="162" spans="1:12">
      <c r="A162" s="2997" t="s">
        <v>3423</v>
      </c>
      <c r="B162" s="2997">
        <f>SUM(I125:I151,I14)-B163</f>
        <v>13156.989999999996</v>
      </c>
      <c r="C162" s="3437" t="s">
        <v>3748</v>
      </c>
      <c r="D162" s="3437">
        <f>SUM(I125:I151,I14)-B163-D161</f>
        <v>12455.979999999996</v>
      </c>
      <c r="G162" s="2999"/>
    </row>
    <row r="163" spans="1:12">
      <c r="A163" s="2997" t="s">
        <v>3431</v>
      </c>
      <c r="B163" s="2997">
        <f>I132</f>
        <v>1940.16</v>
      </c>
      <c r="C163" s="3437" t="s">
        <v>3431</v>
      </c>
      <c r="D163" s="3437">
        <f>I132</f>
        <v>1940.16</v>
      </c>
      <c r="G163" s="2999"/>
    </row>
    <row r="164" spans="1:12">
      <c r="A164" s="2997" t="s">
        <v>3432</v>
      </c>
      <c r="B164" s="2997">
        <f>SUM(B156:B163)</f>
        <v>89988.239999999991</v>
      </c>
      <c r="C164" s="3437" t="s">
        <v>3432</v>
      </c>
      <c r="D164" s="3437">
        <f>SUM(D156:D163)</f>
        <v>89988.239999999991</v>
      </c>
      <c r="E164" s="3004"/>
      <c r="F164" s="3004"/>
      <c r="G164" s="3004"/>
      <c r="H164" s="3004"/>
      <c r="I164" s="3004"/>
    </row>
    <row r="165" spans="1:12">
      <c r="A165" s="3004"/>
      <c r="B165" s="3004"/>
      <c r="C165" s="3004"/>
      <c r="D165" s="3004"/>
      <c r="E165" s="3004"/>
      <c r="F165" s="3004"/>
      <c r="G165" s="3004"/>
      <c r="H165" s="3004"/>
      <c r="I165" s="3004"/>
    </row>
    <row r="166" spans="1:12">
      <c r="A166" s="3004"/>
      <c r="B166" s="3004"/>
      <c r="C166" s="3004"/>
      <c r="D166" s="3004"/>
      <c r="E166" s="3004"/>
      <c r="F166" s="3004"/>
      <c r="G166" s="3004"/>
      <c r="H166" s="3004"/>
      <c r="I166" s="3004"/>
    </row>
    <row r="167" spans="1:12">
      <c r="A167" s="3444"/>
      <c r="B167" s="3444" t="s">
        <v>3412</v>
      </c>
      <c r="C167" s="3456" t="s">
        <v>3719</v>
      </c>
      <c r="D167" s="3444" t="s">
        <v>3414</v>
      </c>
      <c r="E167" s="3444" t="s">
        <v>3720</v>
      </c>
      <c r="F167" s="3444" t="s">
        <v>3721</v>
      </c>
      <c r="G167" s="3444" t="s">
        <v>3416</v>
      </c>
      <c r="H167" s="3444" t="s">
        <v>3722</v>
      </c>
      <c r="I167" s="3444" t="s">
        <v>3723</v>
      </c>
      <c r="J167" s="3445"/>
      <c r="K167" s="3445" t="s">
        <v>3724</v>
      </c>
      <c r="L167" s="3445" t="s">
        <v>3725</v>
      </c>
    </row>
    <row r="168" spans="1:12">
      <c r="A168" s="3444" t="s">
        <v>3417</v>
      </c>
      <c r="B168" s="3444">
        <v>1</v>
      </c>
      <c r="C168" s="3444">
        <v>9765.1400000000012</v>
      </c>
      <c r="D168" s="3446">
        <v>3866.38</v>
      </c>
      <c r="E168" s="3446">
        <v>5898.7600000000011</v>
      </c>
      <c r="F168" s="3447">
        <v>8.02</v>
      </c>
      <c r="G168" s="3447">
        <v>21.56</v>
      </c>
      <c r="H168" s="3448">
        <v>1</v>
      </c>
      <c r="I168" s="3444">
        <v>15</v>
      </c>
      <c r="J168" s="3445"/>
      <c r="K168" s="3445"/>
      <c r="L168" s="3445"/>
    </row>
    <row r="169" spans="1:12">
      <c r="A169" s="3444" t="s">
        <v>3409</v>
      </c>
      <c r="B169" s="3444">
        <v>0.65</v>
      </c>
      <c r="C169" s="3444">
        <v>10925.03</v>
      </c>
      <c r="D169" s="3446">
        <v>10925.03</v>
      </c>
      <c r="E169" s="3446">
        <v>0</v>
      </c>
      <c r="F169" s="3447"/>
      <c r="G169" s="3447">
        <v>2.7</v>
      </c>
      <c r="H169" s="3448">
        <v>0.17005076142131981</v>
      </c>
      <c r="I169" s="3444">
        <v>2.5499999999999998</v>
      </c>
      <c r="J169" s="3445"/>
      <c r="K169" s="3445"/>
      <c r="L169" s="3445"/>
    </row>
    <row r="170" spans="1:12">
      <c r="A170" s="3444" t="s">
        <v>3410</v>
      </c>
      <c r="B170" s="3444">
        <v>0.55000000000000004</v>
      </c>
      <c r="C170" s="3444">
        <v>10957.28</v>
      </c>
      <c r="D170" s="3446">
        <v>10957.28</v>
      </c>
      <c r="E170" s="3446">
        <v>0</v>
      </c>
      <c r="F170" s="3447"/>
      <c r="G170" s="3447">
        <v>2.5499999999999998</v>
      </c>
      <c r="H170" s="3448">
        <v>0.15736040609137056</v>
      </c>
      <c r="I170" s="3448">
        <v>2.36</v>
      </c>
      <c r="J170" s="3445"/>
      <c r="K170" s="3445"/>
      <c r="L170" s="3445"/>
    </row>
    <row r="171" spans="1:12">
      <c r="A171" s="3444" t="s">
        <v>3411</v>
      </c>
      <c r="B171" s="3444">
        <v>0.45</v>
      </c>
      <c r="C171" s="3446">
        <v>10095.84</v>
      </c>
      <c r="D171" s="3446">
        <v>3866.2</v>
      </c>
      <c r="E171" s="3446">
        <v>6229.64</v>
      </c>
      <c r="F171" s="3447"/>
      <c r="G171" s="3447">
        <v>10.26</v>
      </c>
      <c r="H171" s="3448">
        <v>0.55774111675126903</v>
      </c>
      <c r="I171" s="3444">
        <v>8.3699999999999992</v>
      </c>
      <c r="J171" s="3445"/>
      <c r="K171" s="3445"/>
      <c r="L171" s="3445"/>
    </row>
    <row r="172" spans="1:12">
      <c r="A172" s="3445"/>
      <c r="B172" s="3445"/>
      <c r="C172" s="3444">
        <v>41743.290000000008</v>
      </c>
      <c r="D172" s="3446">
        <v>29614.890000000003</v>
      </c>
      <c r="E172" s="3446">
        <v>12128.400000000001</v>
      </c>
      <c r="F172" s="3447"/>
      <c r="G172" s="3447">
        <v>6.09</v>
      </c>
      <c r="H172" s="3447"/>
      <c r="I172" s="3447">
        <v>4.8600000000000003</v>
      </c>
      <c r="J172" s="3445"/>
      <c r="K172" s="3445">
        <v>4.8600000000000003</v>
      </c>
      <c r="L172" s="3445">
        <v>11.59</v>
      </c>
    </row>
    <row r="173" spans="1:12">
      <c r="D173" s="2999"/>
      <c r="G173" s="2999"/>
    </row>
    <row r="174" spans="1:12" ht="14.25">
      <c r="A174" s="3442"/>
      <c r="B174" s="3442"/>
      <c r="C174" s="3443">
        <v>1078.23</v>
      </c>
      <c r="D174" s="3442"/>
      <c r="E174" s="3442"/>
      <c r="F174" s="3442"/>
      <c r="G174" s="3442"/>
      <c r="H174" s="3442"/>
      <c r="I174" s="3442"/>
      <c r="J174" s="3442"/>
      <c r="K174" s="3442"/>
      <c r="L174" s="3442"/>
    </row>
    <row r="175" spans="1:12">
      <c r="D175" s="2999"/>
      <c r="G175" s="2999"/>
    </row>
    <row r="177" spans="1:10">
      <c r="A177" s="3472"/>
      <c r="B177" s="3469" t="s">
        <v>3726</v>
      </c>
      <c r="C177" s="3470" t="s">
        <v>3727</v>
      </c>
      <c r="D177" s="3471" t="s">
        <v>3728</v>
      </c>
      <c r="E177" s="3465" t="s">
        <v>3729</v>
      </c>
      <c r="F177" s="3466" t="s">
        <v>3730</v>
      </c>
      <c r="G177" s="3467" t="s">
        <v>3731</v>
      </c>
      <c r="H177" s="3467" t="s">
        <v>3732</v>
      </c>
      <c r="I177" s="3468" t="s">
        <v>3733</v>
      </c>
      <c r="J177" s="3467" t="s">
        <v>3734</v>
      </c>
    </row>
    <row r="178" spans="1:10" s="3463" customFormat="1" ht="24">
      <c r="A178" s="3454" t="s">
        <v>3735</v>
      </c>
      <c r="B178" s="3451" t="s">
        <v>3736</v>
      </c>
      <c r="C178" s="3450" t="s">
        <v>3737</v>
      </c>
      <c r="D178" s="3449" t="s">
        <v>3738</v>
      </c>
      <c r="E178" s="3452" t="s">
        <v>3739</v>
      </c>
      <c r="F178" s="3461">
        <v>389</v>
      </c>
      <c r="G178" s="3464">
        <v>112404.79166666667</v>
      </c>
      <c r="H178" s="3464">
        <v>1348857.5</v>
      </c>
      <c r="I178" s="3441" t="s">
        <v>3411</v>
      </c>
      <c r="J178" s="3457">
        <v>9.5</v>
      </c>
    </row>
  </sheetData>
  <autoFilter ref="A1:S1">
    <sortState ref="A2:Q150">
      <sortCondition ref="C1"/>
    </sortState>
  </autoFilter>
  <phoneticPr fontId="2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4"/>
  <sheetViews>
    <sheetView tabSelected="1" workbookViewId="0">
      <pane xSplit="3" ySplit="1" topLeftCell="D14" activePane="bottomRight" state="frozen"/>
      <selection activeCell="F19" sqref="F19"/>
      <selection pane="topRight" activeCell="F19" sqref="F19"/>
      <selection pane="bottomLeft" activeCell="F19" sqref="F19"/>
      <selection pane="bottomRight" activeCell="B33" sqref="B33"/>
    </sheetView>
  </sheetViews>
  <sheetFormatPr defaultRowHeight="13.5"/>
  <cols>
    <col min="1" max="1" width="35" customWidth="1"/>
    <col min="2" max="3" width="9.875" bestFit="1" customWidth="1"/>
    <col min="4" max="4" width="12.5" customWidth="1"/>
    <col min="5" max="5" width="13.75" customWidth="1"/>
    <col min="6" max="6" width="14.375" customWidth="1"/>
    <col min="7" max="7" width="17.75" customWidth="1"/>
    <col min="8" max="8" width="15" customWidth="1"/>
    <col min="9" max="9" width="15.125" customWidth="1"/>
    <col min="10" max="11" width="12.125" customWidth="1"/>
  </cols>
  <sheetData>
    <row r="1" spans="1:10" ht="14.25">
      <c r="A1" s="3521" t="s">
        <v>2296</v>
      </c>
      <c r="B1" s="3522" t="s">
        <v>2297</v>
      </c>
      <c r="C1" s="3522" t="s">
        <v>2298</v>
      </c>
      <c r="D1" s="3524" t="s">
        <v>2299</v>
      </c>
      <c r="E1" s="3525"/>
      <c r="F1" s="3526" t="s">
        <v>3698</v>
      </c>
      <c r="G1" s="3527"/>
      <c r="H1" s="3521" t="s">
        <v>2301</v>
      </c>
      <c r="I1" s="3521"/>
    </row>
    <row r="2" spans="1:10" ht="14.25">
      <c r="A2" s="3521"/>
      <c r="B2" s="3523"/>
      <c r="C2" s="3523"/>
      <c r="D2" s="3426" t="s">
        <v>2302</v>
      </c>
      <c r="E2" s="3426" t="s">
        <v>2303</v>
      </c>
      <c r="F2" s="3426" t="s">
        <v>2302</v>
      </c>
      <c r="G2" s="3426" t="s">
        <v>2304</v>
      </c>
      <c r="H2" s="3426" t="s">
        <v>2302</v>
      </c>
      <c r="I2" s="3426" t="s">
        <v>2304</v>
      </c>
    </row>
    <row r="3" spans="1:10" ht="45.6" customHeight="1">
      <c r="A3" s="2497" t="s">
        <v>3697</v>
      </c>
      <c r="B3" s="3426">
        <f>'数据-汇总表'!E3</f>
        <v>44104.409999999996</v>
      </c>
      <c r="C3" s="3426">
        <f>'数据-汇总表'!D3</f>
        <v>10126.19</v>
      </c>
      <c r="D3" s="3426">
        <f ca="1">H3-F3</f>
        <v>148572</v>
      </c>
      <c r="E3" s="3426">
        <f ca="1">I3-G3</f>
        <v>33687</v>
      </c>
      <c r="F3" s="3426">
        <f ca="1">收益法商租!C13+收益法商自!C13+收益法1号楼!C13+收益法2号楼!C13</f>
        <v>18741</v>
      </c>
      <c r="G3" s="3426">
        <f ca="1">ROUND(F3/B3*10000,0)</f>
        <v>4249</v>
      </c>
      <c r="H3" s="3426">
        <f ca="1">结果表!G19</f>
        <v>167313</v>
      </c>
      <c r="I3" s="3426">
        <f ca="1">ROUND(H3/B3*10000,0)</f>
        <v>37936</v>
      </c>
    </row>
    <row r="4" spans="1:10" ht="40.15" customHeight="1">
      <c r="A4" s="2497" t="s">
        <v>3701</v>
      </c>
      <c r="B4" s="3436">
        <v>16569.82</v>
      </c>
      <c r="C4" s="3436">
        <v>3804.36</v>
      </c>
      <c r="D4" s="3426">
        <f ca="1">H4-F4</f>
        <v>44564</v>
      </c>
      <c r="E4" s="3426">
        <f ca="1">I4-G4</f>
        <v>26894</v>
      </c>
      <c r="F4" s="3436">
        <f ca="1">[2]收益法酒店!$C$13</f>
        <v>10450</v>
      </c>
      <c r="G4" s="3426">
        <f ca="1">ROUND(F4/B4*10000,0)</f>
        <v>6307</v>
      </c>
      <c r="H4" s="3436">
        <f ca="1">[2]结果表酒店!$H$118</f>
        <v>55014</v>
      </c>
      <c r="I4" s="3426">
        <f ca="1">ROUND(H4/B4*10000,0)</f>
        <v>33201</v>
      </c>
    </row>
    <row r="5" spans="1:10" ht="33" customHeight="1">
      <c r="A5" s="2497" t="s">
        <v>3699</v>
      </c>
      <c r="B5" s="3426">
        <v>16157.019999999999</v>
      </c>
      <c r="C5" s="3426">
        <v>3709.59</v>
      </c>
      <c r="D5" s="3426">
        <f t="shared" ref="D5:D6" ca="1" si="0">H5-F5</f>
        <v>52998</v>
      </c>
      <c r="E5" s="3426">
        <f t="shared" ref="E5:E6" ca="1" si="1">I5-G5</f>
        <v>32802</v>
      </c>
      <c r="F5" s="3426">
        <f ca="1">[2]收益法办租!$C$13+[2]收益法办自!$C$13</f>
        <v>6897</v>
      </c>
      <c r="G5" s="3426">
        <f t="shared" ref="G5:G6" ca="1" si="2">ROUND(F5/B5*10000,0)</f>
        <v>4269</v>
      </c>
      <c r="H5" s="3426">
        <f ca="1">[2]结果表办!$G$19</f>
        <v>59895</v>
      </c>
      <c r="I5" s="3426">
        <f t="shared" ref="I5:I6" ca="1" si="3">ROUND(H5/B5*10000,0)</f>
        <v>37071</v>
      </c>
    </row>
    <row r="6" spans="1:10" ht="31.9" customHeight="1">
      <c r="A6" s="2497" t="s">
        <v>3700</v>
      </c>
      <c r="B6" s="3426">
        <v>13156.989999999996</v>
      </c>
      <c r="C6" s="3426">
        <v>3020.79</v>
      </c>
      <c r="D6" s="3426">
        <f t="shared" ca="1" si="0"/>
        <v>5695</v>
      </c>
      <c r="E6" s="3426">
        <f t="shared" ca="1" si="1"/>
        <v>4329</v>
      </c>
      <c r="F6" s="3426">
        <f ca="1">[2]收益法车库!$C$13</f>
        <v>4926</v>
      </c>
      <c r="G6" s="3426">
        <f t="shared" ca="1" si="2"/>
        <v>3744</v>
      </c>
      <c r="H6" s="3436">
        <f ca="1">[2]结果表车!$H$118</f>
        <v>10621</v>
      </c>
      <c r="I6" s="3426">
        <f t="shared" ca="1" si="3"/>
        <v>8073</v>
      </c>
    </row>
    <row r="7" spans="1:10" ht="14.25">
      <c r="A7" s="2497"/>
      <c r="B7" s="3426">
        <f>SUM(B3:B6)</f>
        <v>89988.239999999991</v>
      </c>
      <c r="C7" s="3426">
        <f>SUM(C3:C6)</f>
        <v>20660.93</v>
      </c>
      <c r="D7" s="3518">
        <f ca="1">SUM(D3:D6)</f>
        <v>251829</v>
      </c>
      <c r="E7" s="3519"/>
      <c r="F7" s="3518">
        <f ca="1">SUM(F3:F6)</f>
        <v>41014</v>
      </c>
      <c r="G7" s="3519"/>
      <c r="H7" s="3518">
        <f ca="1">SUM(H3:H6)</f>
        <v>292843</v>
      </c>
      <c r="I7" s="3519"/>
    </row>
    <row r="8" spans="1:10" ht="14.25">
      <c r="A8" s="3521" t="s">
        <v>2305</v>
      </c>
      <c r="B8" s="3521"/>
      <c r="C8" s="3521"/>
      <c r="D8" s="3516" t="str">
        <f ca="1">NUMBERSTRING(INT(D7*10000),2)&amp;"元整"</f>
        <v>贰拾伍亿壹仟捌佰贰拾玖万元整</v>
      </c>
      <c r="E8" s="3517"/>
      <c r="F8" s="3516" t="str">
        <f ca="1">NUMBERSTRING(INT(F7*10000),2)&amp;"元整"</f>
        <v>肆亿壹仟零壹拾肆万元整</v>
      </c>
      <c r="G8" s="3517"/>
      <c r="H8" s="3516" t="str">
        <f ca="1">NUMBERSTRING(INT(H7*10000),2)&amp;"元整"</f>
        <v>贰拾玖亿贰仟捌佰肆拾叁万元整</v>
      </c>
      <c r="I8" s="3517"/>
    </row>
    <row r="11" spans="1:10">
      <c r="A11" s="3455" t="s">
        <v>3744</v>
      </c>
    </row>
    <row r="12" spans="1:10" ht="14.25">
      <c r="A12" s="3521" t="s">
        <v>2296</v>
      </c>
      <c r="B12" s="3522" t="s">
        <v>2297</v>
      </c>
      <c r="C12" s="3522" t="s">
        <v>2298</v>
      </c>
      <c r="D12" s="3524" t="s">
        <v>2299</v>
      </c>
      <c r="E12" s="3525"/>
      <c r="F12" s="3526" t="s">
        <v>3698</v>
      </c>
      <c r="G12" s="3527"/>
      <c r="H12" s="3521" t="s">
        <v>2301</v>
      </c>
      <c r="I12" s="3521"/>
    </row>
    <row r="13" spans="1:10" ht="14.25">
      <c r="A13" s="3521"/>
      <c r="B13" s="3523"/>
      <c r="C13" s="3523"/>
      <c r="D13" s="3436" t="s">
        <v>2302</v>
      </c>
      <c r="E13" s="3436" t="s">
        <v>2303</v>
      </c>
      <c r="F13" s="3436" t="s">
        <v>2302</v>
      </c>
      <c r="G13" s="3436" t="s">
        <v>2304</v>
      </c>
      <c r="H13" s="3436" t="s">
        <v>2302</v>
      </c>
      <c r="I13" s="3436" t="s">
        <v>2304</v>
      </c>
      <c r="J13" s="3453" t="s">
        <v>3743</v>
      </c>
    </row>
    <row r="14" spans="1:10" ht="27.75">
      <c r="A14" s="3459" t="s">
        <v>3740</v>
      </c>
      <c r="B14" s="3436">
        <f>'数据-基础表'!I19</f>
        <v>389</v>
      </c>
      <c r="C14" s="3436">
        <f>'数据-汇总表'!R22</f>
        <v>7.68</v>
      </c>
      <c r="D14" s="3436">
        <f t="shared" ref="D14:E16" ca="1" si="4">H14-F14</f>
        <v>1722</v>
      </c>
      <c r="E14" s="3436">
        <f t="shared" ca="1" si="4"/>
        <v>44268</v>
      </c>
      <c r="F14" s="3436">
        <f ca="1">收益法1号楼!C13</f>
        <v>166</v>
      </c>
      <c r="G14" s="3436">
        <f ca="1">ROUND(F14/B14*10000,0)</f>
        <v>4267</v>
      </c>
      <c r="H14" s="3436">
        <f ca="1">ROUND(H3*J14/J17,0)</f>
        <v>1888</v>
      </c>
      <c r="I14" s="3436">
        <f ca="1">ROUND(H14/B14*10000,0)</f>
        <v>48535</v>
      </c>
      <c r="J14">
        <f ca="1">'收益法商（汇总）'!B8</f>
        <v>1469</v>
      </c>
    </row>
    <row r="15" spans="1:10" ht="27.75">
      <c r="A15" s="3459" t="s">
        <v>3741</v>
      </c>
      <c r="B15" s="3436">
        <f>'数据-基础表'!I20</f>
        <v>31.96</v>
      </c>
      <c r="C15" s="3436">
        <f>'数据-汇总表'!R21</f>
        <v>93.42</v>
      </c>
      <c r="D15" s="3436">
        <f t="shared" ca="1" si="4"/>
        <v>258</v>
      </c>
      <c r="E15" s="3436">
        <f t="shared" ca="1" si="4"/>
        <v>80725</v>
      </c>
      <c r="F15" s="3436">
        <f ca="1">收益法2号楼!C13</f>
        <v>13</v>
      </c>
      <c r="G15" s="3436">
        <f ca="1">ROUND(F15/B15*10000,0)</f>
        <v>4068</v>
      </c>
      <c r="H15" s="3436">
        <f ca="1">ROUND(H3*J15/J17,0)</f>
        <v>271</v>
      </c>
      <c r="I15" s="3436">
        <f ca="1">ROUND(H15/B15*10000,0)</f>
        <v>84793</v>
      </c>
      <c r="J15">
        <f ca="1">'收益法商（汇总）'!B9</f>
        <v>211</v>
      </c>
    </row>
    <row r="16" spans="1:10" ht="27.75">
      <c r="A16" s="3459" t="s">
        <v>3742</v>
      </c>
      <c r="B16" s="3436">
        <f>'数据-基础表'!I21</f>
        <v>41743.289999999994</v>
      </c>
      <c r="C16" s="3436">
        <f>'数据-汇总表'!D3-结果表汇总!C14-结果表汇总!C15</f>
        <v>10025.09</v>
      </c>
      <c r="D16" s="3436">
        <f t="shared" ca="1" si="4"/>
        <v>146592</v>
      </c>
      <c r="E16" s="3436">
        <f t="shared" ca="1" si="4"/>
        <v>35117</v>
      </c>
      <c r="F16" s="3436">
        <f ca="1">收益法商租!C13+收益法商自!C13</f>
        <v>18562</v>
      </c>
      <c r="G16" s="3436">
        <f ca="1">ROUND(F16/B16*10000,0)</f>
        <v>4447</v>
      </c>
      <c r="H16" s="3436">
        <f ca="1">H3-H14-H15</f>
        <v>165154</v>
      </c>
      <c r="I16" s="3436">
        <f ca="1">ROUND(H16/B16*10000,0)</f>
        <v>39564</v>
      </c>
      <c r="J16">
        <f ca="1">'收益法商（汇总）'!B6+'收益法商（汇总）'!B7</f>
        <v>128525</v>
      </c>
    </row>
    <row r="17" spans="1:11">
      <c r="J17">
        <f ca="1">SUM(J14:J16)</f>
        <v>130205</v>
      </c>
    </row>
    <row r="19" spans="1:11">
      <c r="A19" s="3455" t="s">
        <v>3749</v>
      </c>
    </row>
    <row r="20" spans="1:11" ht="14.25">
      <c r="A20" s="3521" t="s">
        <v>2296</v>
      </c>
      <c r="B20" s="3522" t="s">
        <v>2297</v>
      </c>
      <c r="C20" s="3522" t="s">
        <v>2298</v>
      </c>
      <c r="D20" s="3524" t="s">
        <v>2299</v>
      </c>
      <c r="E20" s="3525"/>
      <c r="F20" s="3526" t="s">
        <v>3698</v>
      </c>
      <c r="G20" s="3527"/>
      <c r="H20" s="3521" t="s">
        <v>2301</v>
      </c>
      <c r="I20" s="3521"/>
    </row>
    <row r="21" spans="1:11" ht="14.25">
      <c r="A21" s="3521"/>
      <c r="B21" s="3523"/>
      <c r="C21" s="3523"/>
      <c r="D21" s="3436" t="s">
        <v>2302</v>
      </c>
      <c r="E21" s="3436" t="s">
        <v>2303</v>
      </c>
      <c r="F21" s="3436" t="s">
        <v>2302</v>
      </c>
      <c r="G21" s="3436" t="s">
        <v>2304</v>
      </c>
      <c r="H21" s="3436" t="s">
        <v>2302</v>
      </c>
      <c r="I21" s="3436" t="s">
        <v>2304</v>
      </c>
    </row>
    <row r="22" spans="1:11" ht="27.75">
      <c r="A22" s="3459" t="s">
        <v>3740</v>
      </c>
      <c r="B22" s="3436">
        <f>按楼清单!D161</f>
        <v>701.01</v>
      </c>
      <c r="C22" s="3436">
        <f>ROUND(B22/B6*C6,2)</f>
        <v>160.94999999999999</v>
      </c>
      <c r="D22" s="3436">
        <f ca="1">H22-F22</f>
        <v>304</v>
      </c>
      <c r="E22" s="3436">
        <f ca="1">I22-G22</f>
        <v>4329</v>
      </c>
      <c r="F22" s="3436">
        <f ca="1">ROUND(G22*B22/10000,0)</f>
        <v>262</v>
      </c>
      <c r="G22" s="3436">
        <f ca="1">G6</f>
        <v>3744</v>
      </c>
      <c r="H22" s="3436">
        <f ca="1">ROUND(I22*B22/10000,0)</f>
        <v>566</v>
      </c>
      <c r="I22" s="3436">
        <f ca="1">I6</f>
        <v>8073</v>
      </c>
    </row>
    <row r="23" spans="1:11" ht="27.75">
      <c r="A23" s="3459" t="s">
        <v>3742</v>
      </c>
      <c r="B23" s="3436">
        <f>B6-B22</f>
        <v>12455.979999999996</v>
      </c>
      <c r="C23" s="3436">
        <f>C6-C22</f>
        <v>2859.84</v>
      </c>
      <c r="D23" s="3436">
        <f ca="1">H23-F23</f>
        <v>5391</v>
      </c>
      <c r="E23" s="3436">
        <f ca="1">I23-G23</f>
        <v>4328</v>
      </c>
      <c r="F23" s="3436">
        <f ca="1">F6-F22</f>
        <v>4664</v>
      </c>
      <c r="G23" s="3436">
        <f ca="1">ROUND(F23/B23*10000,0)</f>
        <v>3744</v>
      </c>
      <c r="H23" s="3436">
        <f ca="1">H6-H22</f>
        <v>10055</v>
      </c>
      <c r="I23" s="3436">
        <f ca="1">ROUND(H23/B23*10000,0)</f>
        <v>8072</v>
      </c>
    </row>
    <row r="27" spans="1:11">
      <c r="A27" s="3455" t="s">
        <v>3750</v>
      </c>
    </row>
    <row r="28" spans="1:11" ht="14.25">
      <c r="A28" s="3521" t="s">
        <v>2296</v>
      </c>
      <c r="B28" s="3522" t="s">
        <v>2297</v>
      </c>
      <c r="C28" s="3522" t="s">
        <v>2298</v>
      </c>
      <c r="D28" s="3524" t="s">
        <v>2299</v>
      </c>
      <c r="E28" s="3525"/>
      <c r="F28" s="3526" t="s">
        <v>3698</v>
      </c>
      <c r="G28" s="3527"/>
      <c r="H28" s="3521" t="s">
        <v>2301</v>
      </c>
      <c r="I28" s="3521"/>
      <c r="J28" s="3520" t="s">
        <v>3762</v>
      </c>
      <c r="K28" s="3521"/>
    </row>
    <row r="29" spans="1:11" ht="14.25">
      <c r="A29" s="3521"/>
      <c r="B29" s="3523"/>
      <c r="C29" s="3523"/>
      <c r="D29" s="3436" t="s">
        <v>2302</v>
      </c>
      <c r="E29" s="3436" t="s">
        <v>2303</v>
      </c>
      <c r="F29" s="3436" t="s">
        <v>2302</v>
      </c>
      <c r="G29" s="3436" t="s">
        <v>2304</v>
      </c>
      <c r="H29" s="3436" t="s">
        <v>2302</v>
      </c>
      <c r="I29" s="3436" t="s">
        <v>2304</v>
      </c>
      <c r="J29" s="3440" t="s">
        <v>2302</v>
      </c>
      <c r="K29" s="3440" t="s">
        <v>2304</v>
      </c>
    </row>
    <row r="30" spans="1:11" ht="14.25">
      <c r="A30" s="3459" t="s">
        <v>3751</v>
      </c>
      <c r="B30" s="3436">
        <f>B14+B22+B4</f>
        <v>17659.829999999998</v>
      </c>
      <c r="C30" s="3436">
        <f>C14+C22+C4</f>
        <v>3972.9900000000002</v>
      </c>
      <c r="D30" s="3436">
        <f ca="1">H30-F30</f>
        <v>46590</v>
      </c>
      <c r="E30" s="3436">
        <f ca="1">I30-G30</f>
        <v>26382</v>
      </c>
      <c r="F30" s="3436">
        <f t="shared" ref="F30" ca="1" si="5">F14+F22+F4</f>
        <v>10878</v>
      </c>
      <c r="G30" s="3436">
        <f ca="1">ROUND(F30/B30*10000,0)</f>
        <v>6160</v>
      </c>
      <c r="H30" s="3436">
        <f ca="1">H14+H22+H4</f>
        <v>57468</v>
      </c>
      <c r="I30" s="3436">
        <f ca="1">ROUND(H30/B30*10000,0)</f>
        <v>32542</v>
      </c>
      <c r="J30" s="3436">
        <v>44336</v>
      </c>
      <c r="K30" s="3440">
        <f>ROUND(J30/B30*10000,0)</f>
        <v>25106</v>
      </c>
    </row>
    <row r="31" spans="1:11" ht="14.25">
      <c r="A31" s="3459" t="s">
        <v>3752</v>
      </c>
      <c r="B31" s="3436">
        <f>B15+B5</f>
        <v>16188.979999999998</v>
      </c>
      <c r="C31" s="3436">
        <f>C15+C5</f>
        <v>3803.01</v>
      </c>
      <c r="D31" s="3436">
        <f t="shared" ref="D31:D32" ca="1" si="6">H31-F31</f>
        <v>53256</v>
      </c>
      <c r="E31" s="3436">
        <f ca="1">I31-G31</f>
        <v>32897</v>
      </c>
      <c r="F31" s="3436">
        <f ca="1">F15+F5</f>
        <v>6910</v>
      </c>
      <c r="G31" s="3436">
        <f ca="1">ROUND(F31/B31*10000,0)</f>
        <v>4268</v>
      </c>
      <c r="H31" s="3436">
        <f ca="1">H15+H5</f>
        <v>60166</v>
      </c>
      <c r="I31" s="3436">
        <f ca="1">ROUND(H31/B31*10000,0)</f>
        <v>37165</v>
      </c>
      <c r="J31" s="3436">
        <v>44189</v>
      </c>
      <c r="K31" s="3440">
        <f t="shared" ref="K31:K32" si="7">ROUND(J31/B31*10000,0)</f>
        <v>27296</v>
      </c>
    </row>
    <row r="32" spans="1:11" ht="14.25">
      <c r="A32" s="3459" t="s">
        <v>3753</v>
      </c>
      <c r="B32" s="3436">
        <f>按楼清单!I152</f>
        <v>56139.43</v>
      </c>
      <c r="C32" s="3436">
        <f>C23+C16</f>
        <v>12884.93</v>
      </c>
      <c r="D32" s="3436">
        <f t="shared" ca="1" si="6"/>
        <v>151983</v>
      </c>
      <c r="E32" s="3436">
        <f ca="1">I32-G32</f>
        <v>27073</v>
      </c>
      <c r="F32" s="3436">
        <f ca="1">F23+F16</f>
        <v>23226</v>
      </c>
      <c r="G32" s="3436">
        <f ca="1">ROUND(F32/B32*10000,0)</f>
        <v>4137</v>
      </c>
      <c r="H32" s="3436">
        <f ca="1">H23+H16</f>
        <v>175209</v>
      </c>
      <c r="I32" s="3436">
        <f ca="1">ROUND(H32/B32*10000,0)</f>
        <v>31210</v>
      </c>
      <c r="J32" s="3436">
        <v>135519</v>
      </c>
      <c r="K32" s="3440">
        <f t="shared" si="7"/>
        <v>24140</v>
      </c>
    </row>
    <row r="33" spans="1:11" ht="14.25">
      <c r="A33" s="2497"/>
      <c r="B33" s="3436">
        <f>SUM(B30:B32)</f>
        <v>89988.239999999991</v>
      </c>
      <c r="C33" s="3440">
        <f>SUM(C30:C32)</f>
        <v>20660.93</v>
      </c>
      <c r="D33" s="3518">
        <f ca="1">SUM(D29:D32)</f>
        <v>251829</v>
      </c>
      <c r="E33" s="3519"/>
      <c r="F33" s="3518">
        <f ca="1">SUM(F29:F32)</f>
        <v>41014</v>
      </c>
      <c r="G33" s="3519"/>
      <c r="H33" s="3518">
        <f ca="1">SUM(H29:H32)</f>
        <v>292843</v>
      </c>
      <c r="I33" s="3519"/>
      <c r="J33" s="3518">
        <f>SUM(J29:J32)</f>
        <v>224044</v>
      </c>
      <c r="K33" s="3519"/>
    </row>
    <row r="34" spans="1:11" ht="14.25">
      <c r="A34" s="3521" t="s">
        <v>2305</v>
      </c>
      <c r="B34" s="3521"/>
      <c r="C34" s="3521"/>
      <c r="D34" s="3516" t="str">
        <f ca="1">NUMBERSTRING(INT(D33*10000),2)&amp;"元整"</f>
        <v>贰拾伍亿壹仟捌佰贰拾玖万元整</v>
      </c>
      <c r="E34" s="3517"/>
      <c r="F34" s="3516" t="str">
        <f ca="1">NUMBERSTRING(INT(F33*10000),2)&amp;"元整"</f>
        <v>肆亿壹仟零壹拾肆万元整</v>
      </c>
      <c r="G34" s="3517"/>
      <c r="H34" s="3516" t="str">
        <f ca="1">NUMBERSTRING(INT(H33*10000),2)&amp;"元整"</f>
        <v>贰拾玖亿贰仟捌佰肆拾叁万元整</v>
      </c>
      <c r="I34" s="3517"/>
      <c r="J34" s="3516" t="str">
        <f>NUMBERSTRING(INT(J33*10000),2)&amp;"元整"</f>
        <v>贰拾贰亿肆仟零肆拾肆万元整</v>
      </c>
      <c r="K34" s="3517"/>
    </row>
  </sheetData>
  <mergeCells count="41">
    <mergeCell ref="A34:C34"/>
    <mergeCell ref="D34:E34"/>
    <mergeCell ref="F34:G34"/>
    <mergeCell ref="H34:I34"/>
    <mergeCell ref="A28:A29"/>
    <mergeCell ref="B28:B29"/>
    <mergeCell ref="C28:C29"/>
    <mergeCell ref="D28:E28"/>
    <mergeCell ref="F28:G28"/>
    <mergeCell ref="C12:C13"/>
    <mergeCell ref="D12:E12"/>
    <mergeCell ref="F12:G12"/>
    <mergeCell ref="H28:I28"/>
    <mergeCell ref="D33:E33"/>
    <mergeCell ref="F33:G33"/>
    <mergeCell ref="H33:I33"/>
    <mergeCell ref="D7:E7"/>
    <mergeCell ref="F7:G7"/>
    <mergeCell ref="H7:I7"/>
    <mergeCell ref="H1:I1"/>
    <mergeCell ref="A1:A2"/>
    <mergeCell ref="B1:B2"/>
    <mergeCell ref="C1:C2"/>
    <mergeCell ref="D1:E1"/>
    <mergeCell ref="F1:G1"/>
    <mergeCell ref="J34:K34"/>
    <mergeCell ref="J33:K33"/>
    <mergeCell ref="J28:K28"/>
    <mergeCell ref="A8:C8"/>
    <mergeCell ref="D8:E8"/>
    <mergeCell ref="F8:G8"/>
    <mergeCell ref="H8:I8"/>
    <mergeCell ref="H12:I12"/>
    <mergeCell ref="A20:A21"/>
    <mergeCell ref="B20:B21"/>
    <mergeCell ref="C20:C21"/>
    <mergeCell ref="D20:E20"/>
    <mergeCell ref="F20:G20"/>
    <mergeCell ref="H20:I20"/>
    <mergeCell ref="A12:A13"/>
    <mergeCell ref="B12:B13"/>
  </mergeCells>
  <phoneticPr fontId="143" type="noConversion"/>
  <dataValidations count="4">
    <dataValidation type="list" allowBlank="1" showInputMessage="1" showErrorMessage="1" sqref="F1:G1 F12:G12 F20:G20 F28:G28">
      <formula1>"建筑物价值,在建建筑物价值,建筑物/在建建筑物价值"</formula1>
    </dataValidation>
    <dataValidation type="list" allowBlank="1" showInputMessage="1" showErrorMessage="1" sqref="D1:E1 D12:E12 D20:E20 D28:E28">
      <formula1>"出让国有建设用地使用权价值,划拨国有建设用地使用权价值"</formula1>
    </dataValidation>
    <dataValidation type="list" allowBlank="1" showInputMessage="1" showErrorMessage="1" sqref="C1:C2 C12:C13 C20:C21 C28:C29">
      <formula1>"土地面积,分摊土地面积,（分摊）土地面积"</formula1>
    </dataValidation>
    <dataValidation type="list" allowBlank="1" showInputMessage="1" showErrorMessage="1" sqref="B1:B2 B12:B13 B20:B21 B28:B29">
      <formula1>"建筑面积,规划建筑面积,（规划）建筑面积"</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7" sqref="B37:C38"/>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528" t="str">
        <f>IF(B10="北京市","北京市",C10)&amp;F10&amp;IF(结果表!G1="在建","出让国有建设用地使用权及在建建筑物",IF(结果表!G1="土地","出让国有建设用地使用权",))&amp;B9&amp;"预评估"</f>
        <v>北京市朝阳区广顺北大街16号院1、2、3号楼房地产抵押价值预评估</v>
      </c>
      <c r="C1" s="3529"/>
      <c r="D1" s="3529"/>
      <c r="E1" s="3529"/>
      <c r="F1" s="3529"/>
      <c r="G1" s="3529"/>
      <c r="H1" s="3529"/>
      <c r="I1" s="3530"/>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531"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532"/>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538" t="s">
        <v>3036</v>
      </c>
      <c r="C16" s="3539"/>
      <c r="D16" s="3540"/>
      <c r="E16" s="2060" t="s">
        <v>1789</v>
      </c>
      <c r="F16" s="3541" t="s">
        <v>3037</v>
      </c>
      <c r="G16" s="3542"/>
      <c r="H16" s="3542"/>
      <c r="I16" s="3543"/>
      <c r="J16" s="2008"/>
      <c r="K16" s="2057"/>
      <c r="L16" s="2058"/>
      <c r="M16" s="2058"/>
      <c r="N16" s="2059"/>
      <c r="O16" s="2058"/>
      <c r="P16" s="2059"/>
      <c r="Q16" s="2008"/>
      <c r="R16" s="2008"/>
    </row>
    <row r="17" spans="1:22" ht="18" customHeight="1">
      <c r="A17" s="2061" t="s">
        <v>1790</v>
      </c>
      <c r="B17" s="2014" t="s">
        <v>1791</v>
      </c>
      <c r="C17" s="1044">
        <f>'数据-汇总表'!E3</f>
        <v>44104.409999999996</v>
      </c>
      <c r="D17" s="2062" t="s">
        <v>1792</v>
      </c>
      <c r="E17" s="3544" t="s">
        <v>1793</v>
      </c>
      <c r="F17" s="3545"/>
      <c r="G17" s="3545"/>
      <c r="H17" s="3545"/>
      <c r="I17" s="3546"/>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10126.19</v>
      </c>
      <c r="D18" s="2065" t="s">
        <v>1792</v>
      </c>
      <c r="E18" s="3547" t="s">
        <v>1796</v>
      </c>
      <c r="F18" s="3548"/>
      <c r="G18" s="3548"/>
      <c r="H18" s="3548"/>
      <c r="I18" s="3549"/>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534" t="s">
        <v>1801</v>
      </c>
      <c r="C20" s="3535"/>
      <c r="D20" s="3536" t="s">
        <v>1802</v>
      </c>
      <c r="E20" s="3537"/>
      <c r="F20" s="2072" t="s">
        <v>1803</v>
      </c>
      <c r="G20" s="2021"/>
      <c r="H20" s="2021"/>
      <c r="I20" s="2021"/>
      <c r="J20" s="2021"/>
      <c r="K20" s="3533"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53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53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550"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550"/>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550"/>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551"/>
      <c r="B30" s="2014" t="s">
        <v>1820</v>
      </c>
      <c r="C30" s="3552"/>
      <c r="D30" s="3553"/>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554"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555"/>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555"/>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521" t="s">
        <v>1830</v>
      </c>
      <c r="T34" s="2109" t="str">
        <f>NUMBERSTRING(7-K34,1)&amp;"通"</f>
        <v>七通</v>
      </c>
      <c r="U34" s="2008"/>
      <c r="V34" s="2008"/>
    </row>
    <row r="35" spans="1:22" ht="18" customHeight="1">
      <c r="A35" s="2110"/>
      <c r="B35" s="3556" t="s">
        <v>1831</v>
      </c>
      <c r="C35" s="3556"/>
      <c r="D35" s="3556"/>
      <c r="E35" s="3556"/>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521"/>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7" sqref="E17"/>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3688</v>
      </c>
      <c r="C15" s="1994"/>
    </row>
    <row r="16" spans="1:23">
      <c r="A16" s="1993" t="s">
        <v>1752</v>
      </c>
      <c r="B16" s="1993" t="s">
        <v>756</v>
      </c>
      <c r="C16" s="1994"/>
    </row>
    <row r="17" spans="1:3">
      <c r="A17" s="1993" t="s">
        <v>1753</v>
      </c>
      <c r="B17" s="1996" t="s">
        <v>3716</v>
      </c>
      <c r="C17" s="1994"/>
    </row>
    <row r="18" spans="1:3">
      <c r="A18" s="1993" t="s">
        <v>1754</v>
      </c>
      <c r="B18" s="1993" t="s">
        <v>3718</v>
      </c>
      <c r="C18" s="1994"/>
    </row>
    <row r="19" spans="1:3">
      <c r="A19" s="1993" t="s">
        <v>1755</v>
      </c>
      <c r="B19" s="1993" t="s">
        <v>3647</v>
      </c>
      <c r="C19" s="1994"/>
    </row>
    <row r="20" spans="1:3">
      <c r="A20" s="1993" t="s">
        <v>1756</v>
      </c>
      <c r="B20" s="1993" t="s">
        <v>3629</v>
      </c>
      <c r="C20" s="1994"/>
    </row>
    <row r="21" spans="1:3">
      <c r="A21" s="1993" t="s">
        <v>1757</v>
      </c>
      <c r="B21" s="1993" t="s">
        <v>3630</v>
      </c>
      <c r="C21" s="1994"/>
    </row>
    <row r="22" spans="1:3">
      <c r="A22" s="1993" t="s">
        <v>1758</v>
      </c>
      <c r="B22" s="1993" t="s">
        <v>3649</v>
      </c>
      <c r="C22" s="1994"/>
    </row>
    <row r="23" spans="1:3">
      <c r="A23" s="1993" t="s">
        <v>1759</v>
      </c>
      <c r="B23" s="1993" t="s">
        <v>3681</v>
      </c>
      <c r="C23" s="1994"/>
    </row>
    <row r="24" spans="1:3">
      <c r="A24" s="1993" t="s">
        <v>1760</v>
      </c>
      <c r="B24" s="1996" t="s">
        <v>3682</v>
      </c>
      <c r="C24" s="1994"/>
    </row>
    <row r="25" spans="1:3">
      <c r="A25" s="1993" t="s">
        <v>1761</v>
      </c>
      <c r="B25" s="1993" t="s">
        <v>3684</v>
      </c>
      <c r="C25" s="1994"/>
    </row>
    <row r="26" spans="1:3">
      <c r="A26" s="1993" t="s">
        <v>1762</v>
      </c>
      <c r="B26" s="1993" t="s">
        <v>3686</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57"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57"/>
      <c r="B54" s="2001" t="s">
        <v>861</v>
      </c>
      <c r="C54" s="1998" t="s">
        <v>1270</v>
      </c>
    </row>
    <row r="55" spans="1:4">
      <c r="A55" s="3557"/>
      <c r="B55" s="2001" t="s">
        <v>862</v>
      </c>
      <c r="C55" s="1998" t="s">
        <v>1271</v>
      </c>
    </row>
    <row r="56" spans="1:4">
      <c r="A56" s="3557"/>
      <c r="B56" s="2001" t="s">
        <v>863</v>
      </c>
      <c r="C56" s="1998" t="s">
        <v>1275</v>
      </c>
    </row>
    <row r="57" spans="1:4">
      <c r="A57" s="3557"/>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H25" sqref="AH25"/>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2" width="9.5" style="2134" customWidth="1"/>
    <col min="13" max="13" width="13.125" style="2134" customWidth="1"/>
    <col min="14"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42164.249999999993</v>
      </c>
      <c r="J5" s="16">
        <f t="shared" si="0"/>
        <v>0</v>
      </c>
      <c r="K5" s="16">
        <f t="shared" si="0"/>
        <v>16157.019999999999</v>
      </c>
      <c r="L5" s="16">
        <f t="shared" si="0"/>
        <v>0</v>
      </c>
      <c r="M5" s="16">
        <f t="shared" si="0"/>
        <v>13156.989999999996</v>
      </c>
      <c r="N5" s="16">
        <f t="shared" si="0"/>
        <v>0</v>
      </c>
      <c r="O5" s="16">
        <f t="shared" si="0"/>
        <v>16569.820000000003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1940.16</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44104.409999999996</v>
      </c>
      <c r="BA5" s="18">
        <f t="shared" si="1"/>
        <v>42164.249999999993</v>
      </c>
      <c r="BB5" s="18">
        <f t="shared" si="1"/>
        <v>42164.249999999993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1940.16</v>
      </c>
      <c r="BM5" s="18">
        <f t="shared" si="1"/>
        <v>0</v>
      </c>
      <c r="BN5" s="18">
        <f t="shared" si="1"/>
        <v>0</v>
      </c>
      <c r="BO5" s="18">
        <f t="shared" si="1"/>
        <v>0</v>
      </c>
      <c r="BP5" s="18">
        <f t="shared" si="1"/>
        <v>0</v>
      </c>
      <c r="BQ5" s="18">
        <f t="shared" si="1"/>
        <v>0</v>
      </c>
      <c r="BR5" s="18">
        <f t="shared" si="1"/>
        <v>1940.16</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9680.74</v>
      </c>
      <c r="J6" s="16">
        <f t="shared" si="2"/>
        <v>0</v>
      </c>
      <c r="K6" s="16">
        <f t="shared" si="2"/>
        <v>3709.59</v>
      </c>
      <c r="L6" s="16">
        <f t="shared" si="2"/>
        <v>0</v>
      </c>
      <c r="M6" s="16">
        <f t="shared" si="2"/>
        <v>3020.79</v>
      </c>
      <c r="N6" s="16">
        <f t="shared" si="2"/>
        <v>0</v>
      </c>
      <c r="O6" s="16">
        <f t="shared" si="2"/>
        <v>3804.36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445.45</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10126.19</v>
      </c>
      <c r="AZ6" s="16" t="s">
        <v>3</v>
      </c>
      <c r="BA6" s="16">
        <f>ROUND($AY$6*BA5/$AZ$5,2)</f>
        <v>9680.74</v>
      </c>
      <c r="BB6" s="16">
        <f>ROUND($AY$6*BB5/$AZ$5,2)</f>
        <v>9680.74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445.45</v>
      </c>
      <c r="BM6" s="16">
        <f t="shared" si="5"/>
        <v>0</v>
      </c>
      <c r="BN6" s="16">
        <f t="shared" si="5"/>
        <v>0</v>
      </c>
      <c r="BO6" s="16">
        <f t="shared" si="5"/>
        <v>0</v>
      </c>
      <c r="BP6" s="16">
        <f t="shared" si="5"/>
        <v>0</v>
      </c>
      <c r="BQ6" s="16">
        <f t="shared" si="5"/>
        <v>0</v>
      </c>
      <c r="BR6" s="16">
        <f t="shared" si="5"/>
        <v>445.45</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3419</v>
      </c>
      <c r="N11" s="2178"/>
      <c r="O11" s="2177" t="s">
        <v>3634</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c r="D13" s="2188" t="s">
        <v>3095</v>
      </c>
      <c r="E13" s="16">
        <f>IF($C$3="是",ROUND($A$3*G13/$B$3,2),ROUND($A$3*(G13-AT13)/$B$3,2))</f>
        <v>0</v>
      </c>
      <c r="F13" s="32"/>
      <c r="G13" s="33">
        <f>H13+AC13+AT13</f>
        <v>0</v>
      </c>
      <c r="H13" s="20">
        <f>SUMIF(I$12:AB$12,"总值",I13:AB13)</f>
        <v>0</v>
      </c>
      <c r="I13" s="2953"/>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f t="shared" si="6"/>
        <v>0</v>
      </c>
      <c r="AY13" s="178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3420</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3421</v>
      </c>
      <c r="D15" s="2188" t="s">
        <v>3095</v>
      </c>
      <c r="E15" s="16">
        <f>IF($C$3="是",ROUND($A$3*G15/$B$3,2),ROUND($A$3*(G15-AT15)/$B$3,2))</f>
        <v>3020.79</v>
      </c>
      <c r="F15" s="32"/>
      <c r="G15" s="33">
        <f>H15+AC15+AT15</f>
        <v>13156.989999999996</v>
      </c>
      <c r="H15" s="20">
        <f>SUMIF(I$12:AB$12,"总值",I15:AB15)</f>
        <v>13156.989999999996</v>
      </c>
      <c r="I15" s="2953"/>
      <c r="J15" s="2953"/>
      <c r="K15" s="2953"/>
      <c r="L15" s="2953"/>
      <c r="M15" s="2953">
        <f>按楼清单!D161+按楼清单!D162</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3631</v>
      </c>
      <c r="D16" s="2188" t="s">
        <v>3095</v>
      </c>
      <c r="E16" s="16">
        <f>IF($C$3="是",ROUND($A$3*G16/$B$3,2),ROUND($A$3*(G16-AT16)/$B$3,2))</f>
        <v>3804.36</v>
      </c>
      <c r="F16" s="32"/>
      <c r="G16" s="33">
        <f>H16+AC16+AT16</f>
        <v>16569.820000000003</v>
      </c>
      <c r="H16" s="20">
        <f>SUMIF(I$12:AB$12,"总值",I16:AB16)</f>
        <v>16569.820000000003</v>
      </c>
      <c r="I16" s="2953"/>
      <c r="J16" s="2953"/>
      <c r="K16" s="2953"/>
      <c r="L16" s="2953"/>
      <c r="M16" s="2953"/>
      <c r="N16" s="2953"/>
      <c r="O16" s="2189">
        <f>按楼清单!D160</f>
        <v>16569.820000000003</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3633</v>
      </c>
      <c r="D17" s="2188" t="s">
        <v>3042</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c r="AM17" s="2190"/>
      <c r="AN17" s="2190">
        <f>抵押清单!B160</f>
        <v>1940.16</v>
      </c>
      <c r="AO17" s="2190"/>
      <c r="AP17" s="2190"/>
      <c r="AQ17" s="2190"/>
      <c r="AR17" s="2190"/>
      <c r="AS17" s="2190"/>
      <c r="AT17" s="2191"/>
      <c r="AU17" s="2192"/>
      <c r="AV17" s="11">
        <f t="shared" si="6"/>
        <v>0</v>
      </c>
      <c r="AW17" s="11">
        <f t="shared" si="6"/>
        <v>0</v>
      </c>
      <c r="AX17" s="11" t="str">
        <f t="shared" si="6"/>
        <v>自行车库</v>
      </c>
      <c r="AY17" s="1786">
        <f>ROUND($AY$6*AZ17/$AZ$5,2)</f>
        <v>445.45</v>
      </c>
      <c r="AZ17" s="16">
        <f>BA17+BL17</f>
        <v>1940.16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1940.16</v>
      </c>
      <c r="BM17" s="16">
        <f>IF($D17="是",AD17-AE17,0)</f>
        <v>0</v>
      </c>
      <c r="BN17" s="16">
        <f>IF($D17="是",AF17-AG17,0)</f>
        <v>0</v>
      </c>
      <c r="BO17" s="16">
        <f>IF($D17="是",AH17-AI17,0)</f>
        <v>0</v>
      </c>
      <c r="BP17" s="16">
        <f>IF($D17="是",AJ17-AK17,0)</f>
        <v>0</v>
      </c>
      <c r="BQ17" s="16">
        <f>IF($D17="是",AL17-AM17,0)</f>
        <v>0</v>
      </c>
      <c r="BR17" s="16">
        <f>IF($D17="是",AN17-AO17,0)</f>
        <v>1940.16</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tr">
        <f>按楼清单!C156</f>
        <v>商业1号楼</v>
      </c>
      <c r="D19" s="2188" t="s">
        <v>3042</v>
      </c>
      <c r="E19" s="35">
        <f t="shared" si="7"/>
        <v>89.31</v>
      </c>
      <c r="F19" s="36"/>
      <c r="G19" s="37">
        <f t="shared" si="8"/>
        <v>389</v>
      </c>
      <c r="H19" s="38">
        <f t="shared" si="9"/>
        <v>389</v>
      </c>
      <c r="I19" s="2953">
        <f>按楼清单!D156</f>
        <v>389</v>
      </c>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t="str">
        <f t="shared" si="13"/>
        <v>商业1号楼</v>
      </c>
      <c r="AY19" s="42">
        <f t="shared" si="14"/>
        <v>89.31</v>
      </c>
      <c r="AZ19" s="35">
        <f t="shared" si="15"/>
        <v>389</v>
      </c>
      <c r="BA19" s="35">
        <f t="shared" si="16"/>
        <v>389</v>
      </c>
      <c r="BB19" s="35">
        <f t="shared" si="17"/>
        <v>389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tr">
        <f>按楼清单!C157</f>
        <v>商业2号楼</v>
      </c>
      <c r="D20" s="2188" t="s">
        <v>3042</v>
      </c>
      <c r="E20" s="35">
        <f t="shared" si="7"/>
        <v>7.34</v>
      </c>
      <c r="F20" s="36"/>
      <c r="G20" s="37">
        <f t="shared" si="8"/>
        <v>31.96</v>
      </c>
      <c r="H20" s="38">
        <f t="shared" si="9"/>
        <v>31.96</v>
      </c>
      <c r="I20" s="2953">
        <f>按楼清单!D157</f>
        <v>31.96</v>
      </c>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t="str">
        <f t="shared" si="13"/>
        <v>商业2号楼</v>
      </c>
      <c r="AY20" s="42">
        <f t="shared" si="14"/>
        <v>7.34</v>
      </c>
      <c r="AZ20" s="35">
        <f t="shared" si="15"/>
        <v>31.96</v>
      </c>
      <c r="BA20" s="35">
        <f t="shared" si="16"/>
        <v>31.96</v>
      </c>
      <c r="BB20" s="35">
        <f t="shared" si="17"/>
        <v>31.96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tr">
        <f>按楼清单!C158</f>
        <v>商业3号楼</v>
      </c>
      <c r="D21" s="2188" t="s">
        <v>3042</v>
      </c>
      <c r="E21" s="35">
        <f t="shared" si="7"/>
        <v>9584.09</v>
      </c>
      <c r="F21" s="36"/>
      <c r="G21" s="37">
        <f t="shared" si="8"/>
        <v>41743.289999999994</v>
      </c>
      <c r="H21" s="38">
        <f t="shared" si="9"/>
        <v>41743.289999999994</v>
      </c>
      <c r="I21" s="2953">
        <f>按楼清单!D158</f>
        <v>41743.289999999994</v>
      </c>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t="str">
        <f t="shared" si="13"/>
        <v>商业3号楼</v>
      </c>
      <c r="AY21" s="42">
        <f t="shared" si="14"/>
        <v>9584.09</v>
      </c>
      <c r="AZ21" s="35">
        <f t="shared" si="15"/>
        <v>41743.289999999994</v>
      </c>
      <c r="BA21" s="35">
        <f t="shared" si="16"/>
        <v>41743.289999999994</v>
      </c>
      <c r="BB21" s="35">
        <f t="shared" si="17"/>
        <v>41743.289999999994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58" t="s">
        <v>0</v>
      </c>
      <c r="B1" s="3558" t="s">
        <v>4</v>
      </c>
      <c r="C1" s="3558" t="s">
        <v>5</v>
      </c>
      <c r="D1" s="3559" t="s">
        <v>53</v>
      </c>
      <c r="E1" s="3559" t="s">
        <v>54</v>
      </c>
      <c r="F1" s="3559"/>
      <c r="G1" s="3559"/>
      <c r="H1" s="3559"/>
      <c r="I1" s="3559"/>
      <c r="J1" s="3559"/>
      <c r="K1" s="3559"/>
      <c r="L1" s="3559"/>
      <c r="M1" s="3559"/>
    </row>
    <row r="2" spans="1:13" ht="27" customHeight="1">
      <c r="A2" s="3558"/>
      <c r="B2" s="3558"/>
      <c r="C2" s="3558"/>
      <c r="D2" s="3559"/>
      <c r="E2" s="3559" t="s">
        <v>37</v>
      </c>
      <c r="F2" s="3559" t="s">
        <v>38</v>
      </c>
      <c r="G2" s="3559"/>
      <c r="H2" s="3559"/>
      <c r="I2" s="3559"/>
      <c r="J2" s="3559" t="s">
        <v>39</v>
      </c>
      <c r="K2" s="3559"/>
      <c r="L2" s="3559"/>
      <c r="M2" s="3559"/>
    </row>
    <row r="3" spans="1:13" ht="28.5">
      <c r="A3" s="3558"/>
      <c r="B3" s="3558"/>
      <c r="C3" s="3558"/>
      <c r="D3" s="3559"/>
      <c r="E3" s="35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9" t="s">
        <v>55</v>
      </c>
      <c r="B9" s="3559"/>
      <c r="C9" s="35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69" t="s">
        <v>1927</v>
      </c>
      <c r="B2" s="3569"/>
      <c r="C2" s="3569"/>
      <c r="D2" s="957" t="s">
        <v>1903</v>
      </c>
      <c r="E2" s="2202" t="s">
        <v>1904</v>
      </c>
      <c r="F2" s="1373"/>
      <c r="G2" s="2203"/>
      <c r="H2" s="2204"/>
      <c r="I2" s="2205" t="s">
        <v>1928</v>
      </c>
      <c r="J2" s="1373"/>
      <c r="K2" s="1373"/>
      <c r="L2" s="1373"/>
      <c r="M2" s="1373"/>
      <c r="N2" s="1408"/>
      <c r="O2" s="1373"/>
      <c r="P2" s="1373"/>
    </row>
    <row r="3" spans="1:16" ht="15.75" thickBot="1">
      <c r="A3" s="3570" t="s">
        <v>1901</v>
      </c>
      <c r="B3" s="3570"/>
      <c r="C3" s="3570"/>
      <c r="D3" s="46">
        <f>'数据-基础表'!AY6</f>
        <v>10126.19</v>
      </c>
      <c r="E3" s="46">
        <f>'数据-基础表'!AZ5</f>
        <v>44104.409999999996</v>
      </c>
      <c r="F3" s="1373"/>
      <c r="G3" s="1380"/>
      <c r="H3" s="1229" t="s">
        <v>1902</v>
      </c>
      <c r="I3" s="55">
        <f>ROUND('数据-基础表'!B3/'数据-基础表'!A3,2)</f>
        <v>4.3600000000000003</v>
      </c>
      <c r="J3" s="1373"/>
      <c r="K3" s="1373"/>
      <c r="L3" s="1373"/>
      <c r="M3" s="1373"/>
      <c r="N3" s="1408"/>
      <c r="O3" s="1373"/>
      <c r="P3" s="1373"/>
    </row>
    <row r="4" spans="1:16" ht="15">
      <c r="A4" s="3571"/>
      <c r="B4" s="3572"/>
      <c r="C4" s="3573"/>
      <c r="D4" s="2206" t="s">
        <v>1903</v>
      </c>
      <c r="E4" s="2207" t="s">
        <v>1904</v>
      </c>
      <c r="F4" s="1373"/>
      <c r="G4" s="2208" t="s">
        <v>1929</v>
      </c>
      <c r="H4" s="1229" t="s">
        <v>1909</v>
      </c>
      <c r="I4" s="55">
        <f>ROUND(SUMIF('数据-基础表'!I9:AS9,"地上",'数据-基础表'!I5:AS5)/'数据-基础表'!A3,2)</f>
        <v>3.62</v>
      </c>
      <c r="J4" s="1373"/>
      <c r="K4" s="1373"/>
      <c r="L4" s="1373"/>
      <c r="M4" s="1373"/>
      <c r="N4" s="1408"/>
      <c r="O4" s="1373"/>
      <c r="P4" s="1373"/>
    </row>
    <row r="5" spans="1:16">
      <c r="A5" s="47" t="s">
        <v>1905</v>
      </c>
      <c r="B5" s="3574" t="s">
        <v>1906</v>
      </c>
      <c r="C5" s="3574"/>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74" t="s">
        <v>1907</v>
      </c>
      <c r="C6" s="3574"/>
      <c r="D6" s="48">
        <f>ROUND($D$3*E6/$E$3,2)</f>
        <v>10126.19</v>
      </c>
      <c r="E6" s="49">
        <f>E3-E5</f>
        <v>44104.409999999996</v>
      </c>
      <c r="F6" s="1373"/>
      <c r="G6" s="2210" t="s">
        <v>1908</v>
      </c>
      <c r="H6" s="1380" t="s">
        <v>1909</v>
      </c>
      <c r="I6" s="929">
        <f>ROUND(F31/D31,2)</f>
        <v>4.16</v>
      </c>
      <c r="J6" s="1373"/>
      <c r="K6" s="1373"/>
      <c r="L6" s="1373"/>
      <c r="M6" s="1373"/>
      <c r="N6" s="1373"/>
      <c r="O6" s="1373"/>
      <c r="P6" s="1373"/>
    </row>
    <row r="7" spans="1:16" ht="15">
      <c r="A7" s="3566"/>
      <c r="B7" s="3567"/>
      <c r="C7" s="3568"/>
      <c r="D7" s="2206" t="s">
        <v>1903</v>
      </c>
      <c r="E7" s="2211" t="s">
        <v>1910</v>
      </c>
      <c r="F7" s="1373"/>
      <c r="G7" s="2203" t="s">
        <v>1911</v>
      </c>
      <c r="H7" s="64"/>
      <c r="I7" s="419">
        <f>I6</f>
        <v>4.16</v>
      </c>
      <c r="J7" s="1373"/>
      <c r="K7" s="1373"/>
      <c r="L7" s="1373"/>
      <c r="M7" s="1373"/>
      <c r="N7" s="1373"/>
      <c r="O7" s="1373"/>
      <c r="P7" s="1373"/>
    </row>
    <row r="8" spans="1:16">
      <c r="A8" s="47" t="s">
        <v>1912</v>
      </c>
      <c r="B8" s="50" t="s">
        <v>1913</v>
      </c>
      <c r="C8" s="48" t="s">
        <v>1914</v>
      </c>
      <c r="D8" s="48">
        <f t="shared" ref="D8:D15" si="0">ROUND($D$3*E8/$E$3,2)</f>
        <v>9680.74</v>
      </c>
      <c r="E8" s="51">
        <f>SUMIF('数据-基础表'!BB10:BK10,"地上",'数据-基础表'!BB5:BK5)</f>
        <v>42164.249999999993</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9680.74</v>
      </c>
      <c r="E16" s="53">
        <f>SUM(E8:E15)</f>
        <v>42164.249999999993</v>
      </c>
      <c r="F16" s="1373"/>
      <c r="G16" s="2212"/>
      <c r="H16" s="2215" t="s">
        <v>1931</v>
      </c>
      <c r="I16" s="2216"/>
      <c r="J16" s="1373"/>
      <c r="K16" s="3563" t="s">
        <v>1931</v>
      </c>
      <c r="L16" s="3564"/>
      <c r="M16" s="3564"/>
      <c r="N16" s="3564"/>
      <c r="O16" s="3564"/>
      <c r="P16" s="3565"/>
    </row>
    <row r="17" spans="1:19" ht="15">
      <c r="A17" s="2217" t="s">
        <v>1932</v>
      </c>
      <c r="B17" s="2218" t="s">
        <v>1933</v>
      </c>
      <c r="C17" s="2219" t="s">
        <v>1934</v>
      </c>
      <c r="D17" s="2220" t="s">
        <v>1922</v>
      </c>
      <c r="E17" s="2221" t="s">
        <v>1923</v>
      </c>
      <c r="F17" s="2222"/>
      <c r="G17" s="2223"/>
      <c r="H17" s="2224" t="s">
        <v>1935</v>
      </c>
      <c r="I17" s="2225" t="s">
        <v>1920</v>
      </c>
      <c r="J17" s="1373"/>
      <c r="K17" s="3560" t="s">
        <v>1936</v>
      </c>
      <c r="L17" s="3561"/>
      <c r="M17" s="3562"/>
      <c r="N17" s="3560" t="s">
        <v>1937</v>
      </c>
      <c r="O17" s="3561"/>
      <c r="P17" s="3562"/>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3711</v>
      </c>
      <c r="D19" s="48">
        <f>ROUND($D$3*E19/$E$3,2)</f>
        <v>6799.46</v>
      </c>
      <c r="E19" s="56">
        <f t="shared" ref="E19:E26" si="1">SUM(F19:G19)</f>
        <v>29614.890000000003</v>
      </c>
      <c r="F19" s="57">
        <v>29614.890000000003</v>
      </c>
      <c r="G19" s="58"/>
      <c r="H19" s="719">
        <f>ROUND($D$3*I19/$E$3,2)</f>
        <v>312.87</v>
      </c>
      <c r="I19" s="51">
        <f t="shared" ref="I19:I26" si="2">IF($I$17="自定义",P19,M19)</f>
        <v>1362.71</v>
      </c>
      <c r="J19" s="1373"/>
      <c r="K19" s="1372">
        <f t="shared" ref="K19:K26" si="3">ROUND(E$28*E19/E$27,2)</f>
        <v>1362.71</v>
      </c>
      <c r="L19" s="1229">
        <f t="shared" ref="L19:L26" si="4">ROUND(IF(COUNTIF(C19,"*住宅*")&gt;0,E$29*E19/E$32,0),2)</f>
        <v>0</v>
      </c>
      <c r="M19" s="1384">
        <f>K19+L19</f>
        <v>1362.71</v>
      </c>
      <c r="N19" s="2235"/>
      <c r="O19" s="2236"/>
      <c r="P19" s="1384">
        <f>N19+O19</f>
        <v>0</v>
      </c>
      <c r="R19" s="1229">
        <f t="shared" ref="R19:S26" si="5">D19+H19</f>
        <v>7112.33</v>
      </c>
      <c r="S19" s="1230">
        <f t="shared" si="5"/>
        <v>30977.600000000002</v>
      </c>
    </row>
    <row r="20" spans="1:19">
      <c r="A20" s="2237"/>
      <c r="B20" s="50" t="s">
        <v>1949</v>
      </c>
      <c r="C20" s="2954" t="s">
        <v>3713</v>
      </c>
      <c r="D20" s="48">
        <f t="shared" ref="D20:D26" si="6">ROUND($D$3*E20/$E$3,2)</f>
        <v>2784.63</v>
      </c>
      <c r="E20" s="56">
        <f t="shared" si="1"/>
        <v>12128.399999999991</v>
      </c>
      <c r="F20" s="57">
        <f>'数据-基础表'!I21-'数据-汇总表'!F19</f>
        <v>12128.399999999991</v>
      </c>
      <c r="G20" s="58"/>
      <c r="H20" s="719">
        <f t="shared" ref="H20:H26" si="7">ROUND($D$3*I20/$E$3,2)</f>
        <v>128.13</v>
      </c>
      <c r="I20" s="51">
        <f t="shared" si="2"/>
        <v>558.08000000000004</v>
      </c>
      <c r="J20" s="1373"/>
      <c r="K20" s="1372">
        <f t="shared" si="3"/>
        <v>558.08000000000004</v>
      </c>
      <c r="L20" s="1229">
        <f t="shared" si="4"/>
        <v>0</v>
      </c>
      <c r="M20" s="1384">
        <f t="shared" ref="M20:M26" si="8">K20+L20</f>
        <v>558.08000000000004</v>
      </c>
      <c r="N20" s="2235"/>
      <c r="O20" s="2236"/>
      <c r="P20" s="1384">
        <f t="shared" ref="P20:P26" si="9">N20+O20</f>
        <v>0</v>
      </c>
      <c r="R20" s="1229">
        <f t="shared" si="5"/>
        <v>2912.76</v>
      </c>
      <c r="S20" s="1230">
        <f t="shared" si="5"/>
        <v>12686.47999999999</v>
      </c>
    </row>
    <row r="21" spans="1:19">
      <c r="A21" s="2237"/>
      <c r="B21" s="50" t="s">
        <v>1949</v>
      </c>
      <c r="C21" s="2954" t="s">
        <v>3714</v>
      </c>
      <c r="D21" s="48">
        <f t="shared" si="6"/>
        <v>89.31</v>
      </c>
      <c r="E21" s="56">
        <f t="shared" si="1"/>
        <v>389</v>
      </c>
      <c r="F21" s="57">
        <f>'数据-基础表'!I19</f>
        <v>389</v>
      </c>
      <c r="G21" s="58"/>
      <c r="H21" s="719">
        <f t="shared" si="7"/>
        <v>4.1100000000000003</v>
      </c>
      <c r="I21" s="51">
        <f t="shared" si="2"/>
        <v>17.899999999999999</v>
      </c>
      <c r="J21" s="1373"/>
      <c r="K21" s="1372">
        <f t="shared" si="3"/>
        <v>17.899999999999999</v>
      </c>
      <c r="L21" s="1229">
        <f t="shared" si="4"/>
        <v>0</v>
      </c>
      <c r="M21" s="1384">
        <f t="shared" si="8"/>
        <v>17.899999999999999</v>
      </c>
      <c r="N21" s="2235"/>
      <c r="O21" s="2236"/>
      <c r="P21" s="1384">
        <f t="shared" si="9"/>
        <v>0</v>
      </c>
      <c r="R21" s="1229">
        <f t="shared" si="5"/>
        <v>93.42</v>
      </c>
      <c r="S21" s="1230">
        <f t="shared" si="5"/>
        <v>406.9</v>
      </c>
    </row>
    <row r="22" spans="1:19">
      <c r="A22" s="2237"/>
      <c r="B22" s="50" t="s">
        <v>1949</v>
      </c>
      <c r="C22" s="2954" t="s">
        <v>3715</v>
      </c>
      <c r="D22" s="48">
        <f t="shared" si="6"/>
        <v>7.34</v>
      </c>
      <c r="E22" s="56">
        <f t="shared" si="1"/>
        <v>31.96</v>
      </c>
      <c r="F22" s="57">
        <f>'数据-基础表'!I20</f>
        <v>31.96</v>
      </c>
      <c r="G22" s="62"/>
      <c r="H22" s="719">
        <f t="shared" si="7"/>
        <v>0.34</v>
      </c>
      <c r="I22" s="51">
        <f t="shared" si="2"/>
        <v>1.47</v>
      </c>
      <c r="J22" s="1373"/>
      <c r="K22" s="1372">
        <f t="shared" si="3"/>
        <v>1.47</v>
      </c>
      <c r="L22" s="1229">
        <f t="shared" si="4"/>
        <v>0</v>
      </c>
      <c r="M22" s="1384">
        <f t="shared" si="8"/>
        <v>1.47</v>
      </c>
      <c r="N22" s="2235"/>
      <c r="O22" s="2236"/>
      <c r="P22" s="1384">
        <f t="shared" si="9"/>
        <v>0</v>
      </c>
      <c r="R22" s="1229">
        <f t="shared" si="5"/>
        <v>7.68</v>
      </c>
      <c r="S22" s="1230">
        <f t="shared" si="5"/>
        <v>33.43</v>
      </c>
    </row>
    <row r="23" spans="1:19">
      <c r="A23" s="2237"/>
      <c r="B23" s="50" t="s">
        <v>1949</v>
      </c>
      <c r="C23" s="2954"/>
      <c r="D23" s="48">
        <f>ROUND($D$3*E23/$E$3,2)</f>
        <v>0</v>
      </c>
      <c r="E23" s="56">
        <f>SUM(F23:G23)</f>
        <v>0</v>
      </c>
      <c r="F23" s="57"/>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c r="A24" s="2237"/>
      <c r="B24" s="50" t="s">
        <v>1949</v>
      </c>
      <c r="C24" s="2954"/>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9680.74</v>
      </c>
      <c r="E27" s="1375">
        <f>IF(SUM(E19:E26)='数据-基础表'!BA5,SUM(E19:E26),IF(F27="地上面积有误","面积有误","地下面积有误"))</f>
        <v>42164.249999999993</v>
      </c>
      <c r="F27" s="1374">
        <f>IF(SUM(F19:F26)=E8,SUM(F19:F26),"地上面积有误")</f>
        <v>42164.249999999993</v>
      </c>
      <c r="G27" s="1376">
        <f>SUM(G19:G26)</f>
        <v>0</v>
      </c>
      <c r="H27" s="1377">
        <f>SUM(H19:H26)</f>
        <v>445.45</v>
      </c>
      <c r="I27" s="1378">
        <f>SUM(I19:I26)</f>
        <v>1940.16</v>
      </c>
      <c r="J27" s="1373"/>
      <c r="K27" s="1381">
        <f>SUM(K19:K26)</f>
        <v>1940.16</v>
      </c>
      <c r="L27" s="1382">
        <f>SUM(L19:L26)</f>
        <v>0</v>
      </c>
      <c r="M27" s="1385">
        <f>SUM(M19:M26)</f>
        <v>1940.16</v>
      </c>
      <c r="N27" s="1381">
        <f t="shared" ref="N27:O27" si="10">SUM(N19:N26)</f>
        <v>0</v>
      </c>
      <c r="O27" s="1382">
        <f t="shared" si="10"/>
        <v>0</v>
      </c>
      <c r="P27" s="1383">
        <f>SUM(P19:P26)</f>
        <v>0</v>
      </c>
      <c r="R27" s="1231">
        <f>IF(SUM(R19:R26)=$D$3,SUM(R19:R26),SUM(R19:R26)&amp;"误差"&amp;ROUND(SUM(R19:R26)-$D$3,2))</f>
        <v>10126.19</v>
      </c>
      <c r="S27" s="1229">
        <f>IF(SUM(S19:S26)=$E$3,SUM(S19:S26),SUM(S19:S26)&amp;"误差"&amp;ROUND(SUM(S19:S26)-E3,2))</f>
        <v>44104.409999999996</v>
      </c>
    </row>
    <row r="28" spans="1:19">
      <c r="A28" s="2237"/>
      <c r="B28" s="50" t="s">
        <v>1951</v>
      </c>
      <c r="C28" s="1241" t="s">
        <v>1952</v>
      </c>
      <c r="D28" s="48">
        <f>ROUND($D$3*E28/$E$3,2)</f>
        <v>445.45</v>
      </c>
      <c r="E28" s="56">
        <f>SUM(F28:G28)</f>
        <v>1940.16</v>
      </c>
      <c r="F28" s="64">
        <f>'数据-基础表'!BQ5+'数据-基础表'!BS5</f>
        <v>0</v>
      </c>
      <c r="G28" s="65">
        <f>'数据-基础表'!BR5+'数据-基础表'!BT5</f>
        <v>1940.16</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445.45</v>
      </c>
      <c r="E30" s="1374">
        <f>SUM(E28:E29)</f>
        <v>1940.16</v>
      </c>
      <c r="F30" s="1374">
        <f>SUM(F28:F29)</f>
        <v>0</v>
      </c>
      <c r="G30" s="1376">
        <f>SUM(G28:G29)</f>
        <v>1940.16</v>
      </c>
      <c r="H30" s="1373"/>
      <c r="I30" s="1373"/>
      <c r="J30" s="1373"/>
      <c r="K30" s="1373"/>
      <c r="L30" s="1373"/>
      <c r="M30" s="1373"/>
      <c r="N30" s="1373"/>
      <c r="O30" s="1373"/>
      <c r="P30" s="1373"/>
    </row>
    <row r="31" spans="1:19" ht="15.75" thickBot="1">
      <c r="A31" s="2243"/>
      <c r="B31" s="2244"/>
      <c r="C31" s="997" t="s">
        <v>1954</v>
      </c>
      <c r="D31" s="725">
        <f>D27+D30</f>
        <v>10126.19</v>
      </c>
      <c r="E31" s="725">
        <f>E27+E30</f>
        <v>44104.409999999996</v>
      </c>
      <c r="F31" s="726">
        <f>F27+F30</f>
        <v>42164.249999999993</v>
      </c>
      <c r="G31" s="727">
        <f>G27+G30</f>
        <v>1940.16</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4"/>
  <sheetViews>
    <sheetView topLeftCell="A147" workbookViewId="0">
      <selection activeCell="L170" sqref="L170"/>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3429</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13">
      <c r="A161" s="2997" t="s">
        <v>3432</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3412</v>
      </c>
      <c r="C164" s="3000" t="s">
        <v>3413</v>
      </c>
      <c r="D164" s="3000" t="s">
        <v>3414</v>
      </c>
      <c r="E164" s="3000" t="s">
        <v>3418</v>
      </c>
      <c r="F164" s="3000" t="s">
        <v>3415</v>
      </c>
      <c r="G164" s="3000" t="s">
        <v>3416</v>
      </c>
      <c r="H164" s="3000" t="s">
        <v>3426</v>
      </c>
      <c r="I164" s="3000" t="s">
        <v>3430</v>
      </c>
      <c r="L164" s="2999" t="s">
        <v>3695</v>
      </c>
      <c r="M164" s="2999" t="s">
        <v>3696</v>
      </c>
    </row>
    <row r="165" spans="1:13">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3427</v>
      </c>
    </row>
    <row r="166" spans="1:13">
      <c r="A166" s="3000" t="s">
        <v>3409</v>
      </c>
      <c r="B166" s="3000">
        <v>0.65</v>
      </c>
      <c r="C166" s="3000">
        <f>B154</f>
        <v>10925.03</v>
      </c>
      <c r="D166" s="3001">
        <v>11050</v>
      </c>
      <c r="E166" s="3001">
        <v>0</v>
      </c>
      <c r="F166" s="3003">
        <v>731009.43125000002</v>
      </c>
      <c r="G166" s="3003">
        <v>2.2051566553544495</v>
      </c>
      <c r="H166" s="3003"/>
      <c r="I166" s="3003">
        <f>$I$165*B166</f>
        <v>8.4500000000000011</v>
      </c>
      <c r="J166" s="2999" t="s">
        <v>3424</v>
      </c>
    </row>
    <row r="167" spans="1:13">
      <c r="A167" s="3000" t="s">
        <v>3410</v>
      </c>
      <c r="B167" s="3000">
        <v>0.55000000000000004</v>
      </c>
      <c r="C167" s="3000">
        <f>B155</f>
        <v>10957.28</v>
      </c>
      <c r="D167" s="3001">
        <v>10989.5</v>
      </c>
      <c r="E167" s="3001">
        <v>0</v>
      </c>
      <c r="F167" s="3003">
        <v>663600.43124999991</v>
      </c>
      <c r="G167" s="3003">
        <v>2.0128317371126982</v>
      </c>
      <c r="H167" s="3003"/>
      <c r="I167" s="3003">
        <f>$I$165*B167</f>
        <v>7.15</v>
      </c>
      <c r="J167" s="2999" t="s">
        <v>3428</v>
      </c>
    </row>
    <row r="168" spans="1:13">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3425</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B172" s="2999">
        <f>ROUND(SUMPRODUCT(C165:C168,B165:B168)/SUM(C165:C168),2)</f>
        <v>0.65</v>
      </c>
      <c r="D172" s="2999"/>
      <c r="G172" s="2999"/>
    </row>
    <row r="173" spans="1:13">
      <c r="B173" s="2999">
        <f ca="1">结果表!G20</f>
        <v>37936</v>
      </c>
    </row>
    <row r="174" spans="1:13">
      <c r="B174" s="2999">
        <f ca="1">B173/B172</f>
        <v>58363.076923076922</v>
      </c>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1" sqref="H21:H22"/>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13"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0.5">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商业3号楼出租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29614.890000000003</v>
      </c>
      <c r="L6" s="798">
        <v>3500</v>
      </c>
      <c r="M6" s="75">
        <f t="shared" ref="M6:M14" si="0">ROUND(K6*L6/10000,0)</f>
        <v>10365</v>
      </c>
      <c r="N6" s="796">
        <f>ROUND(1-(2020-2008)/60,2)</f>
        <v>0.8</v>
      </c>
      <c r="O6" s="75" t="str">
        <f>IF($N$5="成新度","——",ROUND(M6*N6,0))</f>
        <v>——</v>
      </c>
      <c r="P6" s="76" t="str">
        <f>IF($N$5="成新度","——",M6-O6)</f>
        <v>——</v>
      </c>
      <c r="Q6" s="799">
        <v>0.25</v>
      </c>
      <c r="R6" s="77">
        <f ca="1">SUMIF('数据-汇总表'!C$19:C$33,A6,'数据-汇总表'!R$19:R$27)</f>
        <v>7112.33</v>
      </c>
      <c r="S6" s="54">
        <f>IF('数据-汇总表'!$I$17="按面积比例",SUMIF('数据-汇总表'!C$19:C$33,A6,'数据-汇总表'!K$19:K$33),SUMIF('数据-汇总表'!C$19:C$33,A6,'数据-汇总表'!N$19:N$33))</f>
        <v>1362.71</v>
      </c>
      <c r="T6" s="1424">
        <f>ROUND($L$14*S6/10000,0)</f>
        <v>0</v>
      </c>
      <c r="U6" s="3408">
        <v>6.09</v>
      </c>
      <c r="V6" s="3409">
        <v>0</v>
      </c>
      <c r="W6" s="3409">
        <v>0</v>
      </c>
      <c r="X6" s="3410"/>
      <c r="Y6" s="3411">
        <f>N6</f>
        <v>0.8</v>
      </c>
      <c r="Z6" s="3422">
        <f>ROUND(4.86*(1+AA6)^AF6,2)</f>
        <v>6.16</v>
      </c>
      <c r="AA6" s="3412">
        <v>0.03</v>
      </c>
      <c r="AB6" s="3412">
        <v>0.05</v>
      </c>
      <c r="AC6" s="3410"/>
      <c r="AD6" s="796">
        <f>ROUND(1-(2028-2008)/60,2)</f>
        <v>0.67</v>
      </c>
      <c r="AE6" s="1244">
        <f ca="1">IF(AN6="",0,SUMIF(INDIRECT("'"&amp;AN6&amp;"'"&amp;"!E:E"),$AE$5,INDIRECT("'"&amp;AN6&amp;"'"&amp;"!F:F")))</f>
        <v>23.21</v>
      </c>
      <c r="AF6" s="3414">
        <v>8.02</v>
      </c>
      <c r="AG6" s="147">
        <f ca="1">IF(AF6="",0,AE6-AF6)</f>
        <v>15.190000000000001</v>
      </c>
      <c r="AH6" s="2955">
        <f>K6</f>
        <v>29614.890000000003</v>
      </c>
      <c r="AI6" s="85">
        <v>365</v>
      </c>
      <c r="AJ6" s="86"/>
      <c r="AK6" s="87">
        <v>1.4999999999999999E-2</v>
      </c>
      <c r="AL6" s="88">
        <v>1.5E-3</v>
      </c>
      <c r="AM6" s="89">
        <v>0.03</v>
      </c>
      <c r="AN6" s="2283" t="s">
        <v>3679</v>
      </c>
      <c r="AO6" s="55">
        <f ca="1">SUMIF(INDIRECT("'"&amp;AN6&amp;"'"&amp;"!A:A"),"总价",INDIRECT("'"&amp;AN6&amp;"'"&amp;"!B:B"))</f>
        <v>66814</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商业3号楼自用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12128.399999999991</v>
      </c>
      <c r="L7" s="798">
        <f>L6</f>
        <v>3500</v>
      </c>
      <c r="M7" s="75">
        <f t="shared" si="0"/>
        <v>4245</v>
      </c>
      <c r="N7" s="796">
        <f>N6</f>
        <v>0.8</v>
      </c>
      <c r="O7" s="75" t="str">
        <f t="shared" ref="O7:O14" si="3">IF($N$5="成新度","——",ROUND(M7*N7,0))</f>
        <v>——</v>
      </c>
      <c r="P7" s="76" t="str">
        <f t="shared" ref="P7:P14" si="4">IF($N$5="成新度","——",M7-O7)</f>
        <v>——</v>
      </c>
      <c r="Q7" s="799">
        <v>0.25</v>
      </c>
      <c r="R7" s="77">
        <f ca="1">SUMIF('数据-汇总表'!C$19:C$33,A7,'数据-汇总表'!R$19:R$27)</f>
        <v>2912.76</v>
      </c>
      <c r="S7" s="54">
        <f>IF('数据-汇总表'!$I$17="按面积比例",SUMIF('数据-汇总表'!C$19:C$33,A7,'数据-汇总表'!K$19:K$33),SUMIF('数据-汇总表'!C$19:C$33,A7,'数据-汇总表'!N$19:N$33))</f>
        <v>558.08000000000004</v>
      </c>
      <c r="T7" s="1424">
        <f t="shared" ref="T7:T13" si="5">ROUND($L$14*S7/10000,0)</f>
        <v>0</v>
      </c>
      <c r="U7" s="3421">
        <v>11.59</v>
      </c>
      <c r="V7" s="79">
        <v>0.03</v>
      </c>
      <c r="W7" s="79">
        <v>0.05</v>
      </c>
      <c r="X7" s="1243"/>
      <c r="Y7" s="80">
        <f t="shared" ref="Y7:Y8" si="6">N7</f>
        <v>0.8</v>
      </c>
      <c r="Z7" s="81"/>
      <c r="AA7" s="74"/>
      <c r="AB7" s="74"/>
      <c r="AC7" s="1243"/>
      <c r="AD7" s="82"/>
      <c r="AE7" s="1244">
        <f t="shared" ref="AE7:AE13" ca="1" si="7">IF(AN7="",0,SUMIF(INDIRECT("'"&amp;AN7&amp;"'"&amp;"!E:E"),$AE$5,INDIRECT("'"&amp;AN7&amp;"'"&amp;"!F:F")))</f>
        <v>23.21</v>
      </c>
      <c r="AF7" s="3401"/>
      <c r="AG7" s="147">
        <f t="shared" ref="AG7:AG13" si="8">IF(AF7="",0,AE7-AF7)</f>
        <v>0</v>
      </c>
      <c r="AH7" s="2955">
        <f t="shared" ref="AH7:AH9" si="9">K7</f>
        <v>12128.399999999991</v>
      </c>
      <c r="AI7" s="85">
        <v>365</v>
      </c>
      <c r="AJ7" s="86"/>
      <c r="AK7" s="87">
        <v>1.4999999999999999E-2</v>
      </c>
      <c r="AL7" s="88">
        <f>AL6</f>
        <v>1.5E-3</v>
      </c>
      <c r="AM7" s="89">
        <v>0.03</v>
      </c>
      <c r="AN7" s="2283" t="s">
        <v>3680</v>
      </c>
      <c r="AO7" s="55">
        <f t="shared" ref="AO7:AO13" ca="1" si="10">SUMIF(INDIRECT("'"&amp;AN7&amp;"'"&amp;"!A:A"),"总价",INDIRECT("'"&amp;AN7&amp;"'"&amp;"!B:B"))</f>
        <v>61711</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商业1号楼出租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0.80600000000000005</v>
      </c>
      <c r="H8" s="797">
        <v>5.5E-2</v>
      </c>
      <c r="I8" s="797">
        <v>0.06</v>
      </c>
      <c r="J8" s="74">
        <v>8.5000000000000006E-2</v>
      </c>
      <c r="K8" s="1233">
        <f>SUMIF('数据-汇总表'!C$19:C$33,A8,'数据-汇总表'!E$19:E$33)</f>
        <v>389</v>
      </c>
      <c r="L8" s="798">
        <f>L6</f>
        <v>3500</v>
      </c>
      <c r="M8" s="75">
        <f>ROUND(K8*L8/10000,0)</f>
        <v>136</v>
      </c>
      <c r="N8" s="796">
        <f>N6</f>
        <v>0.8</v>
      </c>
      <c r="O8" s="75" t="str">
        <f t="shared" si="3"/>
        <v>——</v>
      </c>
      <c r="P8" s="76" t="str">
        <f t="shared" si="4"/>
        <v>——</v>
      </c>
      <c r="Q8" s="799">
        <v>0.2</v>
      </c>
      <c r="R8" s="77">
        <f ca="1">SUMIF('数据-汇总表'!C$19:C$33,A8,'数据-汇总表'!R$19:R$27)</f>
        <v>93.42</v>
      </c>
      <c r="S8" s="54">
        <f>IF('数据-汇总表'!$I$17="按面积比例",SUMIF('数据-汇总表'!C$19:C$33,A8,'数据-汇总表'!K$19:K$33),SUMIF('数据-汇总表'!C$19:C$33,A8,'数据-汇总表'!N$19:N$33))</f>
        <v>17.899999999999999</v>
      </c>
      <c r="T8" s="1424">
        <f t="shared" si="5"/>
        <v>0</v>
      </c>
      <c r="U8" s="3413">
        <v>9.5</v>
      </c>
      <c r="V8" s="3409">
        <v>0</v>
      </c>
      <c r="W8" s="3409">
        <v>0</v>
      </c>
      <c r="X8" s="1243"/>
      <c r="Y8" s="80">
        <f t="shared" si="6"/>
        <v>0.8</v>
      </c>
      <c r="Z8" s="3422">
        <f>ROUND(8.37*(1+AA8)^AF8,2)</f>
        <v>9.57</v>
      </c>
      <c r="AA8" s="3412">
        <v>0.03</v>
      </c>
      <c r="AB8" s="3412">
        <v>0.05</v>
      </c>
      <c r="AC8" s="1243"/>
      <c r="AD8" s="796">
        <f>ROUND(1-(2024-2008)/60,2)</f>
        <v>0.73</v>
      </c>
      <c r="AE8" s="1244">
        <f t="shared" ca="1" si="7"/>
        <v>23.21</v>
      </c>
      <c r="AF8" s="3401">
        <v>4.53</v>
      </c>
      <c r="AG8" s="147">
        <f t="shared" ca="1" si="8"/>
        <v>18.68</v>
      </c>
      <c r="AH8" s="2955">
        <f t="shared" si="9"/>
        <v>389</v>
      </c>
      <c r="AI8" s="85">
        <v>365</v>
      </c>
      <c r="AJ8" s="86"/>
      <c r="AK8" s="87">
        <v>1.4999999999999999E-2</v>
      </c>
      <c r="AL8" s="88">
        <f>AL7</f>
        <v>1.5E-3</v>
      </c>
      <c r="AM8" s="89">
        <v>0.03</v>
      </c>
      <c r="AN8" s="2283" t="s">
        <v>3716</v>
      </c>
      <c r="AO8" s="55">
        <f t="shared" ca="1" si="10"/>
        <v>1469</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商业2号楼自用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0.80600000000000005</v>
      </c>
      <c r="H9" s="797">
        <v>5.5E-2</v>
      </c>
      <c r="I9" s="797">
        <v>0.06</v>
      </c>
      <c r="J9" s="74">
        <v>8.5000000000000006E-2</v>
      </c>
      <c r="K9" s="1233">
        <f>SUMIF('数据-汇总表'!C$19:C$33,A9,'数据-汇总表'!E$19:E$33)</f>
        <v>31.96</v>
      </c>
      <c r="L9" s="798">
        <f>L7</f>
        <v>3500</v>
      </c>
      <c r="M9" s="75">
        <f t="shared" si="0"/>
        <v>11</v>
      </c>
      <c r="N9" s="796">
        <f>N8</f>
        <v>0.8</v>
      </c>
      <c r="O9" s="75" t="str">
        <f t="shared" si="3"/>
        <v>——</v>
      </c>
      <c r="P9" s="76" t="str">
        <f t="shared" si="4"/>
        <v>——</v>
      </c>
      <c r="Q9" s="90">
        <v>0.2</v>
      </c>
      <c r="R9" s="77">
        <f ca="1">SUMIF('数据-汇总表'!C$19:C$33,A9,'数据-汇总表'!R$19:R$27)</f>
        <v>7.68</v>
      </c>
      <c r="S9" s="54">
        <f>IF('数据-汇总表'!$I$17="按面积比例",SUMIF('数据-汇总表'!C$19:C$33,A9,'数据-汇总表'!K$19:K$33),SUMIF('数据-汇总表'!C$19:C$33,A9,'数据-汇总表'!N$19:N$33))</f>
        <v>1.47</v>
      </c>
      <c r="T9" s="1424">
        <f t="shared" si="5"/>
        <v>0</v>
      </c>
      <c r="U9" s="78">
        <v>15</v>
      </c>
      <c r="V9" s="79">
        <v>0.03</v>
      </c>
      <c r="W9" s="79">
        <v>0.05</v>
      </c>
      <c r="X9" s="1243"/>
      <c r="Y9" s="80">
        <f>Y8</f>
        <v>0.8</v>
      </c>
      <c r="Z9" s="81"/>
      <c r="AA9" s="74"/>
      <c r="AB9" s="74"/>
      <c r="AC9" s="1243"/>
      <c r="AD9" s="82"/>
      <c r="AE9" s="1244">
        <f t="shared" ca="1" si="7"/>
        <v>23.21</v>
      </c>
      <c r="AF9" s="1784"/>
      <c r="AG9" s="147">
        <f t="shared" si="8"/>
        <v>0</v>
      </c>
      <c r="AH9" s="2955">
        <f t="shared" si="9"/>
        <v>31.96</v>
      </c>
      <c r="AI9" s="85">
        <v>365</v>
      </c>
      <c r="AJ9" s="86"/>
      <c r="AK9" s="87">
        <v>1.4999999999999999E-2</v>
      </c>
      <c r="AL9" s="88">
        <f>AL8</f>
        <v>1.5E-3</v>
      </c>
      <c r="AM9" s="89">
        <v>0.03</v>
      </c>
      <c r="AN9" s="2283" t="s">
        <v>3717</v>
      </c>
      <c r="AO9" s="55">
        <f t="shared" ca="1" si="10"/>
        <v>211</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f>'数据-汇总表'!C23</f>
        <v>0</v>
      </c>
      <c r="B10" s="2281" t="str">
        <f t="shared" si="1"/>
        <v/>
      </c>
      <c r="C10" s="2282" t="s">
        <v>3419</v>
      </c>
      <c r="D10" s="1041">
        <f>SUMIF(项目基本情况!D$12:I$12,C10,项目基本情况!D$14:I$14)</f>
        <v>50</v>
      </c>
      <c r="E10" s="1038" t="str">
        <f>IF(B10="","",SUMIF(项目基本情况!D$12:I$12,C10,项目基本情况!D$13:I$13))</f>
        <v/>
      </c>
      <c r="F10" s="72">
        <f>SUMIF(项目基本情况!D$12:I$12,C10,项目基本情况!D$15:I$15)</f>
        <v>33.21</v>
      </c>
      <c r="G10" s="73">
        <f t="shared" si="2"/>
        <v>0</v>
      </c>
      <c r="H10" s="797"/>
      <c r="I10" s="797"/>
      <c r="J10" s="74"/>
      <c r="K10" s="1233">
        <f>SUMIF('数据-汇总表'!C$19:C$33,A10,'数据-汇总表'!E$19:E$33)</f>
        <v>0</v>
      </c>
      <c r="L10" s="798"/>
      <c r="M10" s="75">
        <f t="shared" si="0"/>
        <v>0</v>
      </c>
      <c r="N10" s="796"/>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c r="V10" s="801"/>
      <c r="W10" s="801"/>
      <c r="X10" s="1243"/>
      <c r="Y10" s="80">
        <f>Y9</f>
        <v>0.8</v>
      </c>
      <c r="Z10" s="81"/>
      <c r="AA10" s="74"/>
      <c r="AB10" s="74"/>
      <c r="AC10" s="1243"/>
      <c r="AD10" s="82"/>
      <c r="AE10" s="1244">
        <f t="shared" ca="1" si="7"/>
        <v>0</v>
      </c>
      <c r="AF10" s="1784"/>
      <c r="AG10" s="147">
        <f t="shared" si="8"/>
        <v>0</v>
      </c>
      <c r="AH10" s="2955"/>
      <c r="AI10" s="85"/>
      <c r="AJ10" s="86"/>
      <c r="AK10" s="87"/>
      <c r="AL10" s="88"/>
      <c r="AM10" s="89"/>
      <c r="AN10" s="2283"/>
      <c r="AO10" s="55" t="e">
        <f t="shared" ca="1" si="10"/>
        <v>#REF!</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f>'数据-汇总表'!C24</f>
        <v>0</v>
      </c>
      <c r="B11" s="2281" t="str">
        <f t="shared" si="1"/>
        <v/>
      </c>
      <c r="C11" s="2282" t="s">
        <v>1366</v>
      </c>
      <c r="D11" s="1041">
        <f>SUMIF(项目基本情况!D$12:I$12,C11,项目基本情况!D$14:I$14)</f>
        <v>40</v>
      </c>
      <c r="E11" s="1038" t="str">
        <f>IF(B11="","",SUMIF(项目基本情况!D$12:I$12,C11,项目基本情况!D$13:I$13))</f>
        <v/>
      </c>
      <c r="F11" s="72">
        <f>SUMIF(项目基本情况!D$12:I$12,C11,项目基本情况!D$15:I$15)</f>
        <v>23.21</v>
      </c>
      <c r="G11" s="73">
        <f t="shared" si="2"/>
        <v>0</v>
      </c>
      <c r="H11" s="797"/>
      <c r="I11" s="797"/>
      <c r="J11" s="74"/>
      <c r="K11" s="1233">
        <f>SUMIF('数据-汇总表'!C$19:C$33,A11,'数据-汇总表'!E$19:E$33)</f>
        <v>0</v>
      </c>
      <c r="L11" s="798"/>
      <c r="M11" s="75">
        <f t="shared" si="0"/>
        <v>0</v>
      </c>
      <c r="N11" s="796"/>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c r="V11" s="79"/>
      <c r="W11" s="79"/>
      <c r="X11" s="1243"/>
      <c r="Y11" s="80">
        <f>Y10</f>
        <v>0.8</v>
      </c>
      <c r="Z11" s="93"/>
      <c r="AA11" s="74"/>
      <c r="AB11" s="74"/>
      <c r="AC11" s="1243"/>
      <c r="AD11" s="82"/>
      <c r="AE11" s="1244">
        <f t="shared" ca="1" si="7"/>
        <v>0</v>
      </c>
      <c r="AF11" s="1784"/>
      <c r="AG11" s="147">
        <f t="shared" si="8"/>
        <v>0</v>
      </c>
      <c r="AH11" s="2955"/>
      <c r="AI11" s="85"/>
      <c r="AJ11" s="86"/>
      <c r="AK11" s="87"/>
      <c r="AL11" s="88"/>
      <c r="AM11" s="89"/>
      <c r="AN11" s="2283"/>
      <c r="AO11" s="55" t="e">
        <f t="shared" ca="1" si="10"/>
        <v>#REF!</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1940.16</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44104.409999999996</v>
      </c>
      <c r="L16" s="102">
        <f>ROUND(M16*10000/SUM(K6:K14),0)</f>
        <v>3346</v>
      </c>
      <c r="M16" s="102">
        <f>SUM(M6:M14)</f>
        <v>14757</v>
      </c>
      <c r="N16" s="103">
        <f>ROUND(SUMPRODUCT(M6:M14,N6:N14)/M16,3)</f>
        <v>0.8</v>
      </c>
      <c r="O16" s="102">
        <f>SUM(O6:O14)</f>
        <v>0</v>
      </c>
      <c r="P16" s="102">
        <f>SUM(P6:P14)</f>
        <v>0</v>
      </c>
      <c r="Q16" s="104">
        <f>ROUND(SUMPRODUCT(Q6:Q13,K6:K13)/SUMPRODUCT((Q6:Q13&gt;0)*(K6:K13)),2)</f>
        <v>0.25</v>
      </c>
      <c r="R16" s="1237">
        <f ca="1">SUM(R6:R13)</f>
        <v>10126.19</v>
      </c>
      <c r="S16" s="105">
        <f>SUM(S6:S13)</f>
        <v>1940.16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 ca="1">成本法!C10</f>
        <v>882</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73" t="str">
        <f>项目基本情况!B1</f>
        <v>北京市朝阳区广顺北大街16号院1、2、3号楼房地产抵押价值预评估</v>
      </c>
      <c r="C37" s="3473"/>
      <c r="D37" s="3473"/>
      <c r="E37" s="3473"/>
      <c r="F37" s="3473"/>
      <c r="G37" s="3473"/>
      <c r="H37" s="3473"/>
      <c r="I37" s="3473"/>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75" t="s">
        <v>2072</v>
      </c>
      <c r="B1" s="3576"/>
      <c r="C1" s="3576"/>
      <c r="D1" s="3576"/>
      <c r="E1" s="3576"/>
      <c r="F1" s="3576"/>
      <c r="G1" s="3576"/>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3437</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3623</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3439</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3438</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3061</v>
      </c>
      <c r="D8" s="2348"/>
      <c r="E8" s="2348"/>
      <c r="F8" s="1116"/>
      <c r="G8" s="1116"/>
      <c r="H8" s="2341"/>
      <c r="I8" s="2341"/>
      <c r="J8" s="2341"/>
      <c r="K8" s="2341"/>
      <c r="L8" s="2341"/>
      <c r="M8" s="2341"/>
      <c r="N8" s="2341"/>
      <c r="O8" s="2341"/>
      <c r="P8" s="2341"/>
      <c r="Q8" s="2341"/>
      <c r="R8" s="2341"/>
    </row>
    <row r="9" spans="1:29" ht="54">
      <c r="A9" s="430"/>
      <c r="B9" s="1775" t="s">
        <v>2090</v>
      </c>
      <c r="C9" s="2959" t="s">
        <v>3440</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3441</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3062</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2" sqref="G22"/>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7">
        <f>B14+B15+B16+B17</f>
        <v>89988.239999999991</v>
      </c>
      <c r="C1" s="1722"/>
      <c r="D1" s="1722"/>
      <c r="E1" s="1722"/>
      <c r="F1" s="1722"/>
      <c r="G1" s="1720"/>
    </row>
    <row r="2" spans="1:10" ht="16.5">
      <c r="A2" s="1723" t="s">
        <v>1342</v>
      </c>
      <c r="B2" s="1723">
        <f>C14+C15+C16+C17</f>
        <v>20660.93</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f ca="1">D14+D15+D16+D17</f>
        <v>292843</v>
      </c>
      <c r="C5" s="1723">
        <f ca="1">ROUND(B5*10000/$B$1,0)</f>
        <v>32542</v>
      </c>
      <c r="D5" s="1723">
        <f ca="1">ROUND(B5*10000/$B$2,0)</f>
        <v>141738</v>
      </c>
      <c r="E5" s="1722"/>
      <c r="F5" s="1720"/>
      <c r="G5" s="1720"/>
    </row>
    <row r="6" spans="1:10" ht="16.5">
      <c r="A6" s="1723" t="s">
        <v>1345</v>
      </c>
      <c r="B6" s="1723">
        <f ca="1">G14+G15+G16+G17</f>
        <v>292843</v>
      </c>
      <c r="C6" s="1723">
        <f ca="1">ROUND(B6*10000/$B$1,0)</f>
        <v>32542</v>
      </c>
      <c r="D6" s="1723">
        <f ca="1">ROUND(B6*10000/$B$2,0)</f>
        <v>141738</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44104.409999999996</v>
      </c>
      <c r="C14" s="1721">
        <f>结果表!C118</f>
        <v>10126.19</v>
      </c>
      <c r="D14" s="1721">
        <f ca="1">结果表!H118</f>
        <v>167313</v>
      </c>
      <c r="E14" s="1721">
        <f ca="1">ROUND(D14*10000/B14,0)</f>
        <v>37936</v>
      </c>
      <c r="F14" s="1721">
        <f ca="1">ROUND(D14*10000/C14,0)</f>
        <v>165228</v>
      </c>
      <c r="G14" s="1721">
        <f ca="1">结果表!D122</f>
        <v>167313</v>
      </c>
      <c r="H14" s="1721" t="str">
        <f>结果表!D124</f>
        <v>——</v>
      </c>
      <c r="I14" s="1721"/>
      <c r="J14" s="1720"/>
    </row>
    <row r="15" spans="1:10" ht="16.5">
      <c r="A15" s="1719" t="s">
        <v>1338</v>
      </c>
      <c r="B15" s="3424">
        <f>结果表汇总!B4</f>
        <v>16569.82</v>
      </c>
      <c r="C15" s="3424">
        <f>结果表汇总!C4</f>
        <v>3804.36</v>
      </c>
      <c r="D15" s="3424">
        <f ca="1">结果表汇总!H4</f>
        <v>55014</v>
      </c>
      <c r="E15" s="1721">
        <f t="shared" ref="E15:E23" ca="1" si="0">ROUND(D15*10000/B15,0)</f>
        <v>33201</v>
      </c>
      <c r="F15" s="1721">
        <f t="shared" ref="F15:F23" ca="1" si="1">ROUND(D15*10000/C15,0)</f>
        <v>144608</v>
      </c>
      <c r="G15" s="3425">
        <f ca="1">D15</f>
        <v>55014</v>
      </c>
      <c r="H15" s="1727"/>
      <c r="I15" s="1726"/>
      <c r="J15" s="1720"/>
    </row>
    <row r="16" spans="1:10" ht="16.5">
      <c r="A16" s="1719" t="s">
        <v>1337</v>
      </c>
      <c r="B16" s="3424">
        <f>结果表汇总!B5</f>
        <v>16157.019999999999</v>
      </c>
      <c r="C16" s="3424">
        <f>结果表汇总!C5</f>
        <v>3709.59</v>
      </c>
      <c r="D16" s="3424">
        <f ca="1">结果表汇总!H5</f>
        <v>59895</v>
      </c>
      <c r="E16" s="1721">
        <f t="shared" ca="1" si="0"/>
        <v>37071</v>
      </c>
      <c r="F16" s="1721">
        <f t="shared" ca="1" si="1"/>
        <v>161460</v>
      </c>
      <c r="G16" s="3425">
        <f t="shared" ref="G16:G17" ca="1" si="2">D16</f>
        <v>59895</v>
      </c>
      <c r="H16" s="1727"/>
      <c r="I16" s="1726"/>
    </row>
    <row r="17" spans="1:9" ht="16.5">
      <c r="A17" s="1719" t="s">
        <v>1336</v>
      </c>
      <c r="B17" s="3424">
        <f>结果表汇总!B6</f>
        <v>13156.989999999996</v>
      </c>
      <c r="C17" s="3424">
        <f>结果表汇总!C6</f>
        <v>3020.79</v>
      </c>
      <c r="D17" s="3424">
        <f ca="1">结果表汇总!H6</f>
        <v>10621</v>
      </c>
      <c r="E17" s="1721">
        <f t="shared" ca="1" si="0"/>
        <v>8073</v>
      </c>
      <c r="F17" s="1721">
        <f t="shared" ca="1" si="1"/>
        <v>35160</v>
      </c>
      <c r="G17" s="3425">
        <f t="shared" ca="1" si="2"/>
        <v>10621</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77" t="s">
        <v>3153</v>
      </c>
      <c r="B1" s="3577" t="s">
        <v>3154</v>
      </c>
      <c r="C1" s="3577" t="s">
        <v>3155</v>
      </c>
      <c r="D1" s="3577" t="s">
        <v>3156</v>
      </c>
      <c r="E1" s="3577" t="s">
        <v>3157</v>
      </c>
      <c r="F1" s="3577"/>
      <c r="G1" s="3577" t="s">
        <v>3158</v>
      </c>
      <c r="H1" s="3577"/>
      <c r="I1" s="3577" t="s">
        <v>3159</v>
      </c>
      <c r="J1" s="3577"/>
    </row>
    <row r="2" spans="1:11">
      <c r="A2" s="3577"/>
      <c r="B2" s="3577"/>
      <c r="C2" s="3577"/>
      <c r="D2" s="3577"/>
      <c r="E2" s="2981" t="s">
        <v>3160</v>
      </c>
      <c r="F2" s="2981" t="s">
        <v>3161</v>
      </c>
      <c r="G2" s="2981" t="s">
        <v>3162</v>
      </c>
      <c r="H2" s="2981" t="s">
        <v>3161</v>
      </c>
      <c r="I2" s="2981" t="s">
        <v>3162</v>
      </c>
      <c r="J2" s="2981" t="s">
        <v>3161</v>
      </c>
    </row>
    <row r="3" spans="1:11" ht="12.75">
      <c r="A3" s="2957" t="s">
        <v>3103</v>
      </c>
      <c r="B3" s="2957" t="s">
        <v>3163</v>
      </c>
      <c r="C3" s="2982">
        <v>60</v>
      </c>
      <c r="D3" s="2957">
        <v>5.69</v>
      </c>
      <c r="E3" s="2983">
        <f ca="1">I3-G3</f>
        <v>3140</v>
      </c>
      <c r="F3" s="2983">
        <f ca="1">J3-H3</f>
        <v>-330994</v>
      </c>
      <c r="G3" s="2983">
        <f ca="1">ROUND(I3*$K$3,0)</f>
        <v>2288</v>
      </c>
      <c r="H3" s="2983">
        <f ca="1">ROUND(G3/C3*10000,0)</f>
        <v>381333</v>
      </c>
      <c r="I3" s="2983">
        <f>典型户型修正!S24</f>
        <v>5428</v>
      </c>
      <c r="J3" s="2983">
        <f>典型户型修正!R24</f>
        <v>50339</v>
      </c>
      <c r="K3" s="2980">
        <f ca="1">收益法商租!C13/收益法商租!C40</f>
        <v>0.42149739124867963</v>
      </c>
    </row>
    <row r="4" spans="1:11" ht="12.75">
      <c r="A4" s="2957" t="s">
        <v>3164</v>
      </c>
      <c r="B4" s="2957" t="s">
        <v>3163</v>
      </c>
      <c r="C4" s="2982">
        <v>238.29</v>
      </c>
      <c r="D4" s="2957">
        <v>22.6</v>
      </c>
      <c r="E4" s="2983">
        <f t="shared" ref="E4:F55" ca="1" si="0">I4-G4</f>
        <v>4204</v>
      </c>
      <c r="F4" s="2983">
        <f t="shared" ca="1" si="0"/>
        <v>-78202</v>
      </c>
      <c r="G4" s="2983">
        <f t="shared" ref="G4:G14" ca="1" si="1">ROUND(I4*$K$3,0)</f>
        <v>3063</v>
      </c>
      <c r="H4" s="2983">
        <f t="shared" ref="H4:H13" ca="1" si="2">ROUND(G4/C4*10000,0)</f>
        <v>128541</v>
      </c>
      <c r="I4" s="2983">
        <f>典型户型修正!S25</f>
        <v>7267</v>
      </c>
      <c r="J4" s="2983">
        <f>典型户型修正!R25</f>
        <v>50339</v>
      </c>
    </row>
    <row r="5" spans="1:11" ht="12.75">
      <c r="A5" s="2957" t="s">
        <v>3104</v>
      </c>
      <c r="B5" s="2957" t="s">
        <v>3163</v>
      </c>
      <c r="C5" s="2982">
        <v>57.27</v>
      </c>
      <c r="D5" s="2957">
        <v>5.43</v>
      </c>
      <c r="E5" s="2983">
        <f t="shared" ca="1" si="0"/>
        <v>4204</v>
      </c>
      <c r="F5" s="2983">
        <f t="shared" ca="1" si="0"/>
        <v>-484496</v>
      </c>
      <c r="G5" s="2983">
        <f t="shared" ca="1" si="1"/>
        <v>3063</v>
      </c>
      <c r="H5" s="2983">
        <f t="shared" ca="1" si="2"/>
        <v>534835</v>
      </c>
      <c r="I5" s="2983">
        <f>典型户型修正!S26</f>
        <v>7267</v>
      </c>
      <c r="J5" s="2983">
        <f>典型户型修正!R26</f>
        <v>50339</v>
      </c>
    </row>
    <row r="6" spans="1:11" ht="12.75">
      <c r="A6" s="2957" t="s">
        <v>3105</v>
      </c>
      <c r="B6" s="2957" t="s">
        <v>3163</v>
      </c>
      <c r="C6" s="2982">
        <v>114.92</v>
      </c>
      <c r="D6" s="2957">
        <v>10.91</v>
      </c>
      <c r="E6" s="2983">
        <f t="shared" ca="1" si="0"/>
        <v>4204</v>
      </c>
      <c r="F6" s="2983">
        <f t="shared" ca="1" si="0"/>
        <v>-216194</v>
      </c>
      <c r="G6" s="2983">
        <f t="shared" ca="1" si="1"/>
        <v>3063</v>
      </c>
      <c r="H6" s="2983">
        <f t="shared" ca="1" si="2"/>
        <v>266533</v>
      </c>
      <c r="I6" s="2983">
        <f>典型户型修正!S27</f>
        <v>7267</v>
      </c>
      <c r="J6" s="2983">
        <f>典型户型修正!R27</f>
        <v>50339</v>
      </c>
    </row>
    <row r="7" spans="1:11" ht="12.75">
      <c r="A7" s="2957" t="s">
        <v>3106</v>
      </c>
      <c r="B7" s="2957" t="s">
        <v>3163</v>
      </c>
      <c r="C7" s="2982">
        <v>74.16</v>
      </c>
      <c r="D7" s="2957">
        <v>7.03</v>
      </c>
      <c r="E7" s="2983">
        <f t="shared" ca="1" si="0"/>
        <v>4204</v>
      </c>
      <c r="F7" s="2983">
        <f t="shared" ca="1" si="0"/>
        <v>-362687</v>
      </c>
      <c r="G7" s="2983">
        <f t="shared" ca="1" si="1"/>
        <v>3063</v>
      </c>
      <c r="H7" s="2983">
        <f t="shared" ca="1" si="2"/>
        <v>413026</v>
      </c>
      <c r="I7" s="2983">
        <f>典型户型修正!S28</f>
        <v>7267</v>
      </c>
      <c r="J7" s="2983">
        <f>典型户型修正!R28</f>
        <v>50339</v>
      </c>
    </row>
    <row r="8" spans="1:11" ht="12.75">
      <c r="A8" s="2957" t="s">
        <v>3107</v>
      </c>
      <c r="B8" s="2957" t="s">
        <v>3163</v>
      </c>
      <c r="C8" s="2982">
        <v>142.44999999999999</v>
      </c>
      <c r="D8" s="2957">
        <v>13.52</v>
      </c>
      <c r="E8" s="2983">
        <f t="shared" ca="1" si="0"/>
        <v>4204</v>
      </c>
      <c r="F8" s="2983">
        <f t="shared" ca="1" si="0"/>
        <v>-164684</v>
      </c>
      <c r="G8" s="2983">
        <f t="shared" ca="1" si="1"/>
        <v>3063</v>
      </c>
      <c r="H8" s="2983">
        <f t="shared" ca="1" si="2"/>
        <v>215023</v>
      </c>
      <c r="I8" s="2983">
        <f>典型户型修正!S29</f>
        <v>7267</v>
      </c>
      <c r="J8" s="2983">
        <f>典型户型修正!R29</f>
        <v>50339</v>
      </c>
    </row>
    <row r="9" spans="1:11" ht="12.75">
      <c r="A9" s="2957" t="s">
        <v>3108</v>
      </c>
      <c r="B9" s="2957" t="s">
        <v>3163</v>
      </c>
      <c r="C9" s="2982">
        <v>238.29</v>
      </c>
      <c r="D9" s="2957">
        <v>22.6</v>
      </c>
      <c r="E9" s="2983">
        <f t="shared" ca="1" si="0"/>
        <v>4204</v>
      </c>
      <c r="F9" s="2983">
        <f t="shared" ca="1" si="0"/>
        <v>-78202</v>
      </c>
      <c r="G9" s="2983">
        <f t="shared" ca="1" si="1"/>
        <v>3063</v>
      </c>
      <c r="H9" s="2983">
        <f t="shared" ca="1" si="2"/>
        <v>128541</v>
      </c>
      <c r="I9" s="2983">
        <f>典型户型修正!S30</f>
        <v>7267</v>
      </c>
      <c r="J9" s="2983">
        <f>典型户型修正!R30</f>
        <v>50339</v>
      </c>
    </row>
    <row r="10" spans="1:11" ht="12.75">
      <c r="A10" s="2957" t="s">
        <v>3109</v>
      </c>
      <c r="B10" s="2957" t="s">
        <v>3163</v>
      </c>
      <c r="C10" s="2982">
        <v>149.43</v>
      </c>
      <c r="D10" s="2957">
        <v>14.18</v>
      </c>
      <c r="E10" s="2983">
        <f t="shared" ca="1" si="0"/>
        <v>4204</v>
      </c>
      <c r="F10" s="2983">
        <f t="shared" ca="1" si="0"/>
        <v>-154640</v>
      </c>
      <c r="G10" s="2983">
        <f t="shared" ca="1" si="1"/>
        <v>3063</v>
      </c>
      <c r="H10" s="2983">
        <f t="shared" ca="1" si="2"/>
        <v>204979</v>
      </c>
      <c r="I10" s="2983">
        <f>典型户型修正!S31</f>
        <v>7267</v>
      </c>
      <c r="J10" s="2983">
        <f>典型户型修正!R31</f>
        <v>50339</v>
      </c>
    </row>
    <row r="11" spans="1:11" ht="12.75">
      <c r="A11" s="2957" t="s">
        <v>3110</v>
      </c>
      <c r="B11" s="2957" t="s">
        <v>3163</v>
      </c>
      <c r="C11" s="2982">
        <v>84.25</v>
      </c>
      <c r="D11" s="2957">
        <v>7.99</v>
      </c>
      <c r="E11" s="2983">
        <f t="shared" ca="1" si="0"/>
        <v>4204</v>
      </c>
      <c r="F11" s="2983">
        <f t="shared" ca="1" si="0"/>
        <v>-313222</v>
      </c>
      <c r="G11" s="2983">
        <f t="shared" ca="1" si="1"/>
        <v>3063</v>
      </c>
      <c r="H11" s="2983">
        <f t="shared" ca="1" si="2"/>
        <v>363561</v>
      </c>
      <c r="I11" s="2983">
        <f>典型户型修正!S32</f>
        <v>7267</v>
      </c>
      <c r="J11" s="2983">
        <f>典型户型修正!R32</f>
        <v>50339</v>
      </c>
    </row>
    <row r="12" spans="1:11" ht="12.75">
      <c r="A12" s="2957" t="s">
        <v>3111</v>
      </c>
      <c r="B12" s="2957" t="s">
        <v>3163</v>
      </c>
      <c r="C12" s="2982">
        <v>2160.11</v>
      </c>
      <c r="D12" s="2957">
        <v>204.91</v>
      </c>
      <c r="E12" s="2983">
        <f t="shared" ca="1" si="0"/>
        <v>3153</v>
      </c>
      <c r="F12" s="2983">
        <f t="shared" ca="1" si="0"/>
        <v>27116</v>
      </c>
      <c r="G12" s="2983">
        <f t="shared" ca="1" si="1"/>
        <v>2298</v>
      </c>
      <c r="H12" s="2983">
        <f t="shared" ca="1" si="2"/>
        <v>10638</v>
      </c>
      <c r="I12" s="2983">
        <f>典型户型修正!S33</f>
        <v>5451</v>
      </c>
      <c r="J12" s="2983">
        <f>典型户型修正!R33</f>
        <v>37754</v>
      </c>
    </row>
    <row r="13" spans="1:11" ht="12.75">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2.75">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2.75">
      <c r="A15" s="3580" t="s">
        <v>3165</v>
      </c>
      <c r="B15" s="3581"/>
      <c r="C15" s="2984">
        <f>SUM(C3:C14)</f>
        <v>4510.37</v>
      </c>
      <c r="D15" s="2984">
        <f t="shared" ref="D15" si="3">SUM(D3:D14)</f>
        <v>427.85</v>
      </c>
      <c r="E15" s="2985">
        <f ca="1">SUM(E3:E14)</f>
        <v>39925</v>
      </c>
      <c r="F15" s="2985">
        <f ca="1">J15-H15</f>
        <v>88518</v>
      </c>
      <c r="G15" s="2985">
        <f ca="1">SUM(G3:G14)</f>
        <v>29090</v>
      </c>
      <c r="H15" s="2985">
        <f ca="1">ROUND(G15/C15*10000,0)</f>
        <v>64496</v>
      </c>
      <c r="I15" s="2985">
        <f>SUM(I3:I14)</f>
        <v>69015</v>
      </c>
      <c r="J15" s="2985">
        <f>ROUND(I15/C15*10000,0)</f>
        <v>153014</v>
      </c>
      <c r="K15" s="2986">
        <f ca="1">G15+E15</f>
        <v>69015</v>
      </c>
    </row>
    <row r="16" spans="1:11" ht="12.75">
      <c r="A16" s="2957" t="str">
        <f>面积表!G14</f>
        <v>-1</v>
      </c>
      <c r="B16" s="2957" t="s">
        <v>3166</v>
      </c>
      <c r="C16" s="2982">
        <f>面积表!I14</f>
        <v>701.01</v>
      </c>
      <c r="D16" s="2957" t="str">
        <f>面积表!H14</f>
        <v>地下车库</v>
      </c>
      <c r="E16" s="2983" t="e">
        <f t="shared" ca="1" si="0"/>
        <v>#N/A</v>
      </c>
      <c r="F16" s="2983" t="e">
        <f t="shared" ca="1" si="0"/>
        <v>#N/A</v>
      </c>
      <c r="G16" s="2983" t="e">
        <f ca="1">ROUND(I16*$K$16,0)</f>
        <v>#N/A</v>
      </c>
      <c r="H16" s="2983" t="e">
        <f ca="1">ROUND(G16/C16*10000,0)</f>
        <v>#N/A</v>
      </c>
      <c r="I16" s="2983">
        <f>典型户型修正办!S24</f>
        <v>628</v>
      </c>
      <c r="J16" s="2983">
        <f>典型户型修正办!R24</f>
        <v>39114</v>
      </c>
      <c r="K16" s="2980" t="e">
        <f ca="1">收益法办自!C13/收益法办自!C40</f>
        <v>#N/A</v>
      </c>
    </row>
    <row r="17" spans="1:10" ht="12.75">
      <c r="A17" s="2975" t="str">
        <f>面积表!G15</f>
        <v>1</v>
      </c>
      <c r="B17" s="2975" t="s">
        <v>3166</v>
      </c>
      <c r="C17" s="2982">
        <f>面积表!I15</f>
        <v>31.96</v>
      </c>
      <c r="D17" s="2975" t="str">
        <f>面积表!H15</f>
        <v>商业综合</v>
      </c>
      <c r="E17" s="2983" t="e">
        <f t="shared" ca="1" si="0"/>
        <v>#N/A</v>
      </c>
      <c r="F17" s="2983" t="e">
        <f t="shared" ca="1" si="0"/>
        <v>#N/A</v>
      </c>
      <c r="G17" s="2983" t="e">
        <f t="shared" ref="G17:G52" ca="1" si="4">ROUND(I17*$K$16,0)</f>
        <v>#N/A</v>
      </c>
      <c r="H17" s="2983" t="e">
        <f t="shared" ref="H17:H52" ca="1" si="5">ROUND(G17/C17*10000,0)</f>
        <v>#N/A</v>
      </c>
      <c r="I17" s="2983">
        <f>典型户型修正办!S25</f>
        <v>595</v>
      </c>
      <c r="J17" s="2983">
        <f>典型户型修正办!R25</f>
        <v>39114</v>
      </c>
    </row>
    <row r="18" spans="1:10" ht="12.75">
      <c r="A18" s="2975" t="str">
        <f>面积表!G16</f>
        <v>5</v>
      </c>
      <c r="B18" s="2975" t="s">
        <v>3166</v>
      </c>
      <c r="C18" s="2982">
        <f>面积表!I16</f>
        <v>160.65</v>
      </c>
      <c r="D18" s="2975" t="str">
        <f>面积表!H16</f>
        <v>商业综合</v>
      </c>
      <c r="E18" s="2983" t="e">
        <f t="shared" ca="1" si="0"/>
        <v>#N/A</v>
      </c>
      <c r="F18" s="2983" t="e">
        <f t="shared" ca="1" si="0"/>
        <v>#N/A</v>
      </c>
      <c r="G18" s="2983" t="e">
        <f t="shared" ca="1" si="4"/>
        <v>#N/A</v>
      </c>
      <c r="H18" s="2983" t="e">
        <f t="shared" ca="1" si="5"/>
        <v>#N/A</v>
      </c>
      <c r="I18" s="2983">
        <f>典型户型修正办!S26</f>
        <v>595</v>
      </c>
      <c r="J18" s="2983">
        <f>典型户型修正办!R26</f>
        <v>39114</v>
      </c>
    </row>
    <row r="19" spans="1:10" ht="12.75">
      <c r="A19" s="2975" t="str">
        <f>面积表!G17</f>
        <v>5</v>
      </c>
      <c r="B19" s="2975" t="s">
        <v>3166</v>
      </c>
      <c r="C19" s="2982">
        <f>面积表!I17</f>
        <v>152</v>
      </c>
      <c r="D19" s="2975" t="str">
        <f>面积表!H17</f>
        <v>商业综合</v>
      </c>
      <c r="E19" s="2983" t="e">
        <f t="shared" ca="1" si="0"/>
        <v>#N/A</v>
      </c>
      <c r="F19" s="2983" t="e">
        <f t="shared" ca="1" si="0"/>
        <v>#N/A</v>
      </c>
      <c r="G19" s="2983" t="e">
        <f t="shared" ca="1" si="4"/>
        <v>#N/A</v>
      </c>
      <c r="H19" s="2983" t="e">
        <f t="shared" ca="1" si="5"/>
        <v>#N/A</v>
      </c>
      <c r="I19" s="2983">
        <f>典型户型修正办!S27</f>
        <v>595</v>
      </c>
      <c r="J19" s="2983">
        <f>典型户型修正办!R27</f>
        <v>39114</v>
      </c>
    </row>
    <row r="20" spans="1:10" ht="12.75">
      <c r="A20" s="2975" t="str">
        <f>面积表!G18</f>
        <v>5</v>
      </c>
      <c r="B20" s="2975" t="s">
        <v>3166</v>
      </c>
      <c r="C20" s="2982">
        <f>面积表!I18</f>
        <v>152</v>
      </c>
      <c r="D20" s="2975" t="str">
        <f>面积表!H18</f>
        <v>商业综合</v>
      </c>
      <c r="E20" s="2983" t="e">
        <f t="shared" ca="1" si="0"/>
        <v>#N/A</v>
      </c>
      <c r="F20" s="2983" t="e">
        <f t="shared" ca="1" si="0"/>
        <v>#N/A</v>
      </c>
      <c r="G20" s="2983" t="e">
        <f t="shared" ca="1" si="4"/>
        <v>#N/A</v>
      </c>
      <c r="H20" s="2983" t="e">
        <f t="shared" ca="1" si="5"/>
        <v>#N/A</v>
      </c>
      <c r="I20" s="2983">
        <f>典型户型修正办!S28</f>
        <v>595</v>
      </c>
      <c r="J20" s="2983">
        <f>典型户型修正办!R28</f>
        <v>39114</v>
      </c>
    </row>
    <row r="21" spans="1:10" ht="12.75">
      <c r="A21" s="2975" t="str">
        <f>面积表!G19</f>
        <v>5</v>
      </c>
      <c r="B21" s="2975" t="s">
        <v>3166</v>
      </c>
      <c r="C21" s="2982">
        <f>面积表!I19</f>
        <v>152</v>
      </c>
      <c r="D21" s="2975" t="str">
        <f>面积表!H19</f>
        <v>商业综合</v>
      </c>
      <c r="E21" s="2983" t="e">
        <f t="shared" ca="1" si="0"/>
        <v>#N/A</v>
      </c>
      <c r="F21" s="2983" t="e">
        <f t="shared" ca="1" si="0"/>
        <v>#N/A</v>
      </c>
      <c r="G21" s="2983" t="e">
        <f t="shared" ca="1" si="4"/>
        <v>#N/A</v>
      </c>
      <c r="H21" s="2983" t="e">
        <f t="shared" ca="1" si="5"/>
        <v>#N/A</v>
      </c>
      <c r="I21" s="2983">
        <f>典型户型修正办!S29</f>
        <v>815</v>
      </c>
      <c r="J21" s="2983">
        <f>典型户型修正办!R29</f>
        <v>39114</v>
      </c>
    </row>
    <row r="22" spans="1:10" ht="12.75">
      <c r="A22" s="2975" t="str">
        <f>面积表!G20</f>
        <v>5</v>
      </c>
      <c r="B22" s="2975" t="s">
        <v>3166</v>
      </c>
      <c r="C22" s="2982">
        <f>面积表!I20</f>
        <v>152</v>
      </c>
      <c r="D22" s="2975" t="str">
        <f>面积表!H20</f>
        <v>商业综合</v>
      </c>
      <c r="E22" s="2983" t="e">
        <f t="shared" ca="1" si="0"/>
        <v>#N/A</v>
      </c>
      <c r="F22" s="2983" t="e">
        <f t="shared" ca="1" si="0"/>
        <v>#N/A</v>
      </c>
      <c r="G22" s="2983" t="e">
        <f t="shared" ca="1" si="4"/>
        <v>#N/A</v>
      </c>
      <c r="H22" s="2983" t="e">
        <f t="shared" ca="1" si="5"/>
        <v>#N/A</v>
      </c>
      <c r="I22" s="2983">
        <f>典型户型修正办!S30</f>
        <v>872</v>
      </c>
      <c r="J22" s="2983">
        <f>典型户型修正办!R30</f>
        <v>39114</v>
      </c>
    </row>
    <row r="23" spans="1:10" ht="12.75">
      <c r="A23" s="2975" t="str">
        <f>面积表!G21</f>
        <v>5</v>
      </c>
      <c r="B23" s="2975" t="s">
        <v>3166</v>
      </c>
      <c r="C23" s="2982">
        <f>面积表!I21</f>
        <v>208.31</v>
      </c>
      <c r="D23" s="2975" t="str">
        <f>面积表!H21</f>
        <v>商业综合</v>
      </c>
      <c r="E23" s="2983" t="e">
        <f t="shared" ca="1" si="0"/>
        <v>#N/A</v>
      </c>
      <c r="F23" s="2983" t="e">
        <f t="shared" ca="1" si="0"/>
        <v>#N/A</v>
      </c>
      <c r="G23" s="2983" t="e">
        <f t="shared" ca="1" si="4"/>
        <v>#N/A</v>
      </c>
      <c r="H23" s="2983" t="e">
        <f t="shared" ca="1" si="5"/>
        <v>#N/A</v>
      </c>
      <c r="I23" s="2983">
        <f>典型户型修正办!S31</f>
        <v>595</v>
      </c>
      <c r="J23" s="2983">
        <f>典型户型修正办!R31</f>
        <v>39114</v>
      </c>
    </row>
    <row r="24" spans="1:10" ht="12.75">
      <c r="A24" s="2975" t="str">
        <f>面积表!G22</f>
        <v>5</v>
      </c>
      <c r="B24" s="2975" t="s">
        <v>3166</v>
      </c>
      <c r="C24" s="2982">
        <f>面积表!I22</f>
        <v>222.93</v>
      </c>
      <c r="D24" s="2975" t="str">
        <f>面积表!H22</f>
        <v>商业综合</v>
      </c>
      <c r="E24" s="2983" t="e">
        <f t="shared" ca="1" si="0"/>
        <v>#N/A</v>
      </c>
      <c r="F24" s="2983" t="e">
        <f t="shared" ca="1" si="0"/>
        <v>#N/A</v>
      </c>
      <c r="G24" s="2983" t="e">
        <f t="shared" ca="1" si="4"/>
        <v>#N/A</v>
      </c>
      <c r="H24" s="2983" t="e">
        <f t="shared" ca="1" si="5"/>
        <v>#N/A</v>
      </c>
      <c r="I24" s="2983">
        <f>典型户型修正办!S32</f>
        <v>457</v>
      </c>
      <c r="J24" s="2983">
        <f>典型户型修正办!R32</f>
        <v>39114</v>
      </c>
    </row>
    <row r="25" spans="1:10" ht="12.75">
      <c r="A25" s="2975" t="str">
        <f>面积表!G23</f>
        <v>5</v>
      </c>
      <c r="B25" s="2975" t="s">
        <v>3166</v>
      </c>
      <c r="C25" s="2982">
        <f>面积表!I23</f>
        <v>152.03</v>
      </c>
      <c r="D25" s="2975" t="str">
        <f>面积表!H23</f>
        <v>商业综合</v>
      </c>
      <c r="E25" s="2983" t="e">
        <f t="shared" ca="1" si="0"/>
        <v>#N/A</v>
      </c>
      <c r="F25" s="2983" t="e">
        <f t="shared" ca="1" si="0"/>
        <v>#N/A</v>
      </c>
      <c r="G25" s="2983" t="e">
        <f t="shared" ca="1" si="4"/>
        <v>#N/A</v>
      </c>
      <c r="H25" s="2983" t="e">
        <f t="shared" ca="1" si="5"/>
        <v>#N/A</v>
      </c>
      <c r="I25" s="2983">
        <f>典型户型修正办!S33</f>
        <v>654</v>
      </c>
      <c r="J25" s="2983">
        <f>典型户型修正办!R33</f>
        <v>40679</v>
      </c>
    </row>
    <row r="26" spans="1:10" ht="12.75">
      <c r="A26" s="2975" t="str">
        <f>面积表!G24</f>
        <v>5</v>
      </c>
      <c r="B26" s="2975" t="s">
        <v>3166</v>
      </c>
      <c r="C26" s="2982">
        <f>面积表!I24</f>
        <v>116.9</v>
      </c>
      <c r="D26" s="2975" t="str">
        <f>面积表!H24</f>
        <v>商业综合</v>
      </c>
      <c r="E26" s="2983" t="e">
        <f t="shared" ca="1" si="0"/>
        <v>#N/A</v>
      </c>
      <c r="F26" s="2983" t="e">
        <f t="shared" ca="1" si="0"/>
        <v>#N/A</v>
      </c>
      <c r="G26" s="2983" t="e">
        <f t="shared" ca="1" si="4"/>
        <v>#N/A</v>
      </c>
      <c r="H26" s="2983" t="e">
        <f t="shared" ca="1" si="5"/>
        <v>#N/A</v>
      </c>
      <c r="I26" s="2983">
        <f>典型户型修正办!S34</f>
        <v>618</v>
      </c>
      <c r="J26" s="2983">
        <f>典型户型修正办!R34</f>
        <v>40679</v>
      </c>
    </row>
    <row r="27" spans="1:10" ht="12.75">
      <c r="A27" s="2975" t="str">
        <f>面积表!G25</f>
        <v>6</v>
      </c>
      <c r="B27" s="2975" t="s">
        <v>3166</v>
      </c>
      <c r="C27" s="2982">
        <f>面积表!I25</f>
        <v>160.65</v>
      </c>
      <c r="D27" s="2975" t="str">
        <f>面积表!H25</f>
        <v>商业综合</v>
      </c>
      <c r="E27" s="2983" t="e">
        <f t="shared" ca="1" si="0"/>
        <v>#N/A</v>
      </c>
      <c r="F27" s="2983" t="e">
        <f t="shared" ca="1" si="0"/>
        <v>#N/A</v>
      </c>
      <c r="G27" s="2983" t="e">
        <f t="shared" ca="1" si="4"/>
        <v>#N/A</v>
      </c>
      <c r="H27" s="2983" t="e">
        <f t="shared" ca="1" si="5"/>
        <v>#N/A</v>
      </c>
      <c r="I27" s="2983">
        <f>典型户型修正办!S35</f>
        <v>618</v>
      </c>
      <c r="J27" s="2983">
        <f>典型户型修正办!R35</f>
        <v>40679</v>
      </c>
    </row>
    <row r="28" spans="1:10" ht="12.75">
      <c r="A28" s="2975" t="str">
        <f>面积表!G26</f>
        <v>6</v>
      </c>
      <c r="B28" s="2975" t="s">
        <v>3166</v>
      </c>
      <c r="C28" s="2982">
        <f>面积表!I26</f>
        <v>152</v>
      </c>
      <c r="D28" s="2975" t="str">
        <f>面积表!H26</f>
        <v>商业综合</v>
      </c>
      <c r="E28" s="2983" t="e">
        <f t="shared" ca="1" si="0"/>
        <v>#N/A</v>
      </c>
      <c r="F28" s="2983" t="e">
        <f t="shared" ca="1" si="0"/>
        <v>#N/A</v>
      </c>
      <c r="G28" s="2983" t="e">
        <f t="shared" ca="1" si="4"/>
        <v>#N/A</v>
      </c>
      <c r="H28" s="2983" t="e">
        <f t="shared" ca="1" si="5"/>
        <v>#N/A</v>
      </c>
      <c r="I28" s="2983">
        <f>典型户型修正办!S36</f>
        <v>618</v>
      </c>
      <c r="J28" s="2983">
        <f>典型户型修正办!R36</f>
        <v>40679</v>
      </c>
    </row>
    <row r="29" spans="1:10" ht="12.75">
      <c r="A29" s="2975" t="str">
        <f>面积表!G27</f>
        <v>6</v>
      </c>
      <c r="B29" s="2975" t="s">
        <v>3166</v>
      </c>
      <c r="C29" s="2982">
        <f>面积表!I27</f>
        <v>152</v>
      </c>
      <c r="D29" s="2975" t="str">
        <f>面积表!H27</f>
        <v>商业综合</v>
      </c>
      <c r="E29" s="2983" t="e">
        <f t="shared" ca="1" si="0"/>
        <v>#N/A</v>
      </c>
      <c r="F29" s="2983" t="e">
        <f t="shared" ca="1" si="0"/>
        <v>#N/A</v>
      </c>
      <c r="G29" s="2983" t="e">
        <f t="shared" ca="1" si="4"/>
        <v>#N/A</v>
      </c>
      <c r="H29" s="2983" t="e">
        <f t="shared" ca="1" si="5"/>
        <v>#N/A</v>
      </c>
      <c r="I29" s="2983">
        <f>典型户型修正办!S37</f>
        <v>618</v>
      </c>
      <c r="J29" s="2983">
        <f>典型户型修正办!R37</f>
        <v>40679</v>
      </c>
    </row>
    <row r="30" spans="1:10" ht="12.75">
      <c r="A30" s="2975" t="str">
        <f>面积表!G28</f>
        <v>6</v>
      </c>
      <c r="B30" s="2975" t="s">
        <v>3166</v>
      </c>
      <c r="C30" s="2982">
        <f>面积表!I28</f>
        <v>152</v>
      </c>
      <c r="D30" s="2975" t="str">
        <f>面积表!H28</f>
        <v>商业综合</v>
      </c>
      <c r="E30" s="2983" t="e">
        <f t="shared" ca="1" si="0"/>
        <v>#N/A</v>
      </c>
      <c r="F30" s="2983" t="e">
        <f t="shared" ca="1" si="0"/>
        <v>#N/A</v>
      </c>
      <c r="G30" s="2983" t="e">
        <f t="shared" ca="1" si="4"/>
        <v>#N/A</v>
      </c>
      <c r="H30" s="2983" t="e">
        <f t="shared" ca="1" si="5"/>
        <v>#N/A</v>
      </c>
      <c r="I30" s="2983">
        <f>典型户型修正办!S38</f>
        <v>847</v>
      </c>
      <c r="J30" s="2983">
        <f>典型户型修正办!R38</f>
        <v>40679</v>
      </c>
    </row>
    <row r="31" spans="1:10" ht="12.75">
      <c r="A31" s="2975" t="str">
        <f>面积表!G29</f>
        <v>6</v>
      </c>
      <c r="B31" s="2975" t="s">
        <v>3166</v>
      </c>
      <c r="C31" s="2982">
        <f>面积表!I29</f>
        <v>152</v>
      </c>
      <c r="D31" s="2975" t="str">
        <f>面积表!H29</f>
        <v>商业综合</v>
      </c>
      <c r="E31" s="2983" t="e">
        <f t="shared" ca="1" si="0"/>
        <v>#N/A</v>
      </c>
      <c r="F31" s="2983" t="e">
        <f t="shared" ca="1" si="0"/>
        <v>#N/A</v>
      </c>
      <c r="G31" s="2983" t="e">
        <f t="shared" ca="1" si="4"/>
        <v>#N/A</v>
      </c>
      <c r="H31" s="2983" t="e">
        <f t="shared" ca="1" si="5"/>
        <v>#N/A</v>
      </c>
      <c r="I31" s="2983">
        <f>典型户型修正办!S39</f>
        <v>907</v>
      </c>
      <c r="J31" s="2983">
        <f>典型户型修正办!R39</f>
        <v>40679</v>
      </c>
    </row>
    <row r="32" spans="1:10" ht="12.75">
      <c r="A32" s="2975" t="str">
        <f>面积表!G30</f>
        <v>6</v>
      </c>
      <c r="B32" s="2975" t="s">
        <v>3166</v>
      </c>
      <c r="C32" s="2982">
        <f>面积表!I30</f>
        <v>208.31</v>
      </c>
      <c r="D32" s="2975" t="str">
        <f>面积表!H30</f>
        <v>商业综合</v>
      </c>
      <c r="E32" s="2983" t="e">
        <f t="shared" ca="1" si="0"/>
        <v>#N/A</v>
      </c>
      <c r="F32" s="2983" t="e">
        <f t="shared" ca="1" si="0"/>
        <v>#N/A</v>
      </c>
      <c r="G32" s="2983" t="e">
        <f t="shared" ca="1" si="4"/>
        <v>#N/A</v>
      </c>
      <c r="H32" s="2983" t="e">
        <f t="shared" ca="1" si="5"/>
        <v>#N/A</v>
      </c>
      <c r="I32" s="2983">
        <f>典型户型修正办!S40</f>
        <v>618</v>
      </c>
      <c r="J32" s="2983">
        <f>典型户型修正办!R40</f>
        <v>40679</v>
      </c>
    </row>
    <row r="33" spans="1:10" ht="12.75">
      <c r="A33" s="2975" t="str">
        <f>面积表!G31</f>
        <v>6</v>
      </c>
      <c r="B33" s="2975" t="s">
        <v>3166</v>
      </c>
      <c r="C33" s="2982">
        <f>面积表!I31</f>
        <v>222.93</v>
      </c>
      <c r="D33" s="2975" t="str">
        <f>面积表!H31</f>
        <v>商业综合</v>
      </c>
      <c r="E33" s="2983" t="e">
        <f t="shared" ca="1" si="0"/>
        <v>#N/A</v>
      </c>
      <c r="F33" s="2983" t="e">
        <f t="shared" ca="1" si="0"/>
        <v>#N/A</v>
      </c>
      <c r="G33" s="2983" t="e">
        <f t="shared" ca="1" si="4"/>
        <v>#N/A</v>
      </c>
      <c r="H33" s="2983" t="e">
        <f t="shared" ca="1" si="5"/>
        <v>#N/A</v>
      </c>
      <c r="I33" s="2983">
        <f>典型户型修正办!S41</f>
        <v>476</v>
      </c>
      <c r="J33" s="2983">
        <f>典型户型修正办!R41</f>
        <v>40679</v>
      </c>
    </row>
    <row r="34" spans="1:10" ht="12.75">
      <c r="A34" s="2975" t="str">
        <f>面积表!G32</f>
        <v>6</v>
      </c>
      <c r="B34" s="2975" t="s">
        <v>3166</v>
      </c>
      <c r="C34" s="2982">
        <f>面积表!I32</f>
        <v>152.03</v>
      </c>
      <c r="D34" s="2975" t="str">
        <f>面积表!H32</f>
        <v>商业综合</v>
      </c>
      <c r="E34" s="2983" t="e">
        <f t="shared" ca="1" si="0"/>
        <v>#N/A</v>
      </c>
      <c r="F34" s="2983" t="e">
        <f t="shared" ca="1" si="0"/>
        <v>#N/A</v>
      </c>
      <c r="G34" s="2983" t="e">
        <f t="shared" ca="1" si="4"/>
        <v>#N/A</v>
      </c>
      <c r="H34" s="2983" t="e">
        <f t="shared" ca="1" si="5"/>
        <v>#N/A</v>
      </c>
      <c r="I34" s="2983">
        <f>典型户型修正办!S42</f>
        <v>654</v>
      </c>
      <c r="J34" s="2983">
        <f>典型户型修正办!R42</f>
        <v>40679</v>
      </c>
    </row>
    <row r="35" spans="1:10" ht="12.75">
      <c r="A35" s="2975" t="str">
        <f>面积表!G33</f>
        <v>6</v>
      </c>
      <c r="B35" s="2975" t="s">
        <v>3166</v>
      </c>
      <c r="C35" s="2982">
        <f>面积表!I33</f>
        <v>116.9</v>
      </c>
      <c r="D35" s="2975" t="str">
        <f>面积表!H33</f>
        <v>商业综合</v>
      </c>
      <c r="E35" s="2983" t="e">
        <f t="shared" ca="1" si="0"/>
        <v>#N/A</v>
      </c>
      <c r="F35" s="2983" t="e">
        <f t="shared" ca="1" si="0"/>
        <v>#N/A</v>
      </c>
      <c r="G35" s="2983" t="e">
        <f t="shared" ca="1" si="4"/>
        <v>#N/A</v>
      </c>
      <c r="H35" s="2983" t="e">
        <f t="shared" ca="1" si="5"/>
        <v>#N/A</v>
      </c>
      <c r="I35" s="2983">
        <f>典型户型修正办!S43</f>
        <v>618</v>
      </c>
      <c r="J35" s="2983">
        <f>典型户型修正办!R43</f>
        <v>40679</v>
      </c>
    </row>
    <row r="36" spans="1:10" ht="12.75">
      <c r="A36" s="2975" t="str">
        <f>面积表!G34</f>
        <v>7</v>
      </c>
      <c r="B36" s="2975" t="s">
        <v>3166</v>
      </c>
      <c r="C36" s="2982">
        <f>面积表!I34</f>
        <v>160.65</v>
      </c>
      <c r="D36" s="2975" t="str">
        <f>面积表!H34</f>
        <v>商业综合</v>
      </c>
      <c r="E36" s="2983" t="e">
        <f t="shared" ca="1" si="0"/>
        <v>#N/A</v>
      </c>
      <c r="F36" s="2983" t="e">
        <f t="shared" ca="1" si="0"/>
        <v>#N/A</v>
      </c>
      <c r="G36" s="2983" t="e">
        <f t="shared" ca="1" si="4"/>
        <v>#N/A</v>
      </c>
      <c r="H36" s="2983" t="e">
        <f t="shared" ca="1" si="5"/>
        <v>#N/A</v>
      </c>
      <c r="I36" s="2983">
        <f>典型户型修正办!S44</f>
        <v>618</v>
      </c>
      <c r="J36" s="2983">
        <f>典型户型修正办!R44</f>
        <v>40679</v>
      </c>
    </row>
    <row r="37" spans="1:10" ht="12.75">
      <c r="A37" s="2975" t="str">
        <f>面积表!G35</f>
        <v>7</v>
      </c>
      <c r="B37" s="2975" t="s">
        <v>3166</v>
      </c>
      <c r="C37" s="2982">
        <f>面积表!I35</f>
        <v>152</v>
      </c>
      <c r="D37" s="2975" t="str">
        <f>面积表!H35</f>
        <v>商业综合</v>
      </c>
      <c r="E37" s="2983" t="e">
        <f t="shared" ca="1" si="0"/>
        <v>#N/A</v>
      </c>
      <c r="F37" s="2983" t="e">
        <f t="shared" ca="1" si="0"/>
        <v>#N/A</v>
      </c>
      <c r="G37" s="2983" t="e">
        <f t="shared" ca="1" si="4"/>
        <v>#N/A</v>
      </c>
      <c r="H37" s="2983" t="e">
        <f t="shared" ca="1" si="5"/>
        <v>#N/A</v>
      </c>
      <c r="I37" s="2983">
        <f>典型户型修正办!S45</f>
        <v>618</v>
      </c>
      <c r="J37" s="2983">
        <f>典型户型修正办!R45</f>
        <v>40679</v>
      </c>
    </row>
    <row r="38" spans="1:10" ht="12.75">
      <c r="A38" s="2975" t="str">
        <f>面积表!G36</f>
        <v>7</v>
      </c>
      <c r="B38" s="2975" t="s">
        <v>3166</v>
      </c>
      <c r="C38" s="2982">
        <f>面积表!I36</f>
        <v>152</v>
      </c>
      <c r="D38" s="2975" t="str">
        <f>面积表!H36</f>
        <v>商业综合</v>
      </c>
      <c r="E38" s="2983" t="e">
        <f t="shared" ca="1" si="0"/>
        <v>#N/A</v>
      </c>
      <c r="F38" s="2983" t="e">
        <f t="shared" ca="1" si="0"/>
        <v>#N/A</v>
      </c>
      <c r="G38" s="2983" t="e">
        <f t="shared" ca="1" si="4"/>
        <v>#N/A</v>
      </c>
      <c r="H38" s="2983" t="e">
        <f t="shared" ca="1" si="5"/>
        <v>#N/A</v>
      </c>
      <c r="I38" s="2983">
        <f>典型户型修正办!S46</f>
        <v>618</v>
      </c>
      <c r="J38" s="2983">
        <f>典型户型修正办!R46</f>
        <v>40679</v>
      </c>
    </row>
    <row r="39" spans="1:10" ht="12.75">
      <c r="A39" s="2975" t="str">
        <f>面积表!G37</f>
        <v>7</v>
      </c>
      <c r="B39" s="2975" t="s">
        <v>3166</v>
      </c>
      <c r="C39" s="2982">
        <f>面积表!I37</f>
        <v>152</v>
      </c>
      <c r="D39" s="2975" t="str">
        <f>面积表!H37</f>
        <v>商业综合</v>
      </c>
      <c r="E39" s="2983" t="e">
        <f t="shared" ca="1" si="0"/>
        <v>#N/A</v>
      </c>
      <c r="F39" s="2983" t="e">
        <f t="shared" ca="1" si="0"/>
        <v>#N/A</v>
      </c>
      <c r="G39" s="2983" t="e">
        <f t="shared" ca="1" si="4"/>
        <v>#N/A</v>
      </c>
      <c r="H39" s="2983" t="e">
        <f t="shared" ca="1" si="5"/>
        <v>#N/A</v>
      </c>
      <c r="I39" s="2983">
        <f>典型户型修正办!S47</f>
        <v>847</v>
      </c>
      <c r="J39" s="2983">
        <f>典型户型修正办!R47</f>
        <v>40679</v>
      </c>
    </row>
    <row r="40" spans="1:10" ht="12.75">
      <c r="A40" s="2975" t="str">
        <f>面积表!G38</f>
        <v>7</v>
      </c>
      <c r="B40" s="2975" t="s">
        <v>3166</v>
      </c>
      <c r="C40" s="2982">
        <f>面积表!I38</f>
        <v>152</v>
      </c>
      <c r="D40" s="2975" t="str">
        <f>面积表!H38</f>
        <v>商业综合</v>
      </c>
      <c r="E40" s="2983" t="e">
        <f t="shared" ca="1" si="0"/>
        <v>#N/A</v>
      </c>
      <c r="F40" s="2983" t="e">
        <f t="shared" ca="1" si="0"/>
        <v>#N/A</v>
      </c>
      <c r="G40" s="2983" t="e">
        <f t="shared" ca="1" si="4"/>
        <v>#N/A</v>
      </c>
      <c r="H40" s="2983" t="e">
        <f t="shared" ca="1" si="5"/>
        <v>#N/A</v>
      </c>
      <c r="I40" s="2983">
        <f>典型户型修正办!S48</f>
        <v>907</v>
      </c>
      <c r="J40" s="2983">
        <f>典型户型修正办!R48</f>
        <v>40679</v>
      </c>
    </row>
    <row r="41" spans="1:10" ht="12.75">
      <c r="A41" s="2975" t="str">
        <f>面积表!G39</f>
        <v>7</v>
      </c>
      <c r="B41" s="2975" t="s">
        <v>3166</v>
      </c>
      <c r="C41" s="2982">
        <f>面积表!I39</f>
        <v>208.31</v>
      </c>
      <c r="D41" s="2975" t="str">
        <f>面积表!H39</f>
        <v>商业综合</v>
      </c>
      <c r="E41" s="2983" t="e">
        <f t="shared" ca="1" si="0"/>
        <v>#N/A</v>
      </c>
      <c r="F41" s="2983" t="e">
        <f t="shared" ca="1" si="0"/>
        <v>#N/A</v>
      </c>
      <c r="G41" s="2983" t="e">
        <f t="shared" ca="1" si="4"/>
        <v>#N/A</v>
      </c>
      <c r="H41" s="2983" t="e">
        <f t="shared" ca="1" si="5"/>
        <v>#N/A</v>
      </c>
      <c r="I41" s="2983">
        <f>典型户型修正办!S49</f>
        <v>618</v>
      </c>
      <c r="J41" s="2983">
        <f>典型户型修正办!R49</f>
        <v>40679</v>
      </c>
    </row>
    <row r="42" spans="1:10" ht="12.75">
      <c r="A42" s="2975" t="str">
        <f>面积表!G40</f>
        <v>7</v>
      </c>
      <c r="B42" s="2975" t="s">
        <v>3166</v>
      </c>
      <c r="C42" s="2982">
        <f>面积表!I40</f>
        <v>222.93</v>
      </c>
      <c r="D42" s="2975" t="str">
        <f>面积表!H40</f>
        <v>商业综合</v>
      </c>
      <c r="E42" s="2983" t="e">
        <f t="shared" ca="1" si="0"/>
        <v>#N/A</v>
      </c>
      <c r="F42" s="2983" t="e">
        <f t="shared" ca="1" si="0"/>
        <v>#N/A</v>
      </c>
      <c r="G42" s="2983" t="e">
        <f t="shared" ca="1" si="4"/>
        <v>#N/A</v>
      </c>
      <c r="H42" s="2983" t="e">
        <f t="shared" ca="1" si="5"/>
        <v>#N/A</v>
      </c>
      <c r="I42" s="2983">
        <f>典型户型修正办!S50</f>
        <v>476</v>
      </c>
      <c r="J42" s="2983">
        <f>典型户型修正办!R50</f>
        <v>40679</v>
      </c>
    </row>
    <row r="43" spans="1:10" ht="12.75">
      <c r="A43" s="2975" t="str">
        <f>面积表!G41</f>
        <v>7</v>
      </c>
      <c r="B43" s="2975" t="s">
        <v>3166</v>
      </c>
      <c r="C43" s="2982">
        <f>面积表!I41</f>
        <v>152.03</v>
      </c>
      <c r="D43" s="2975" t="str">
        <f>面积表!H41</f>
        <v>商业综合</v>
      </c>
      <c r="E43" s="2983" t="e">
        <f t="shared" ca="1" si="0"/>
        <v>#N/A</v>
      </c>
      <c r="F43" s="2983" t="e">
        <f t="shared" ca="1" si="0"/>
        <v>#N/A</v>
      </c>
      <c r="G43" s="2983" t="e">
        <f t="shared" ca="1" si="4"/>
        <v>#N/A</v>
      </c>
      <c r="H43" s="2983" t="e">
        <f t="shared" ca="1" si="5"/>
        <v>#N/A</v>
      </c>
      <c r="I43" s="2983">
        <f>典型户型修正办!S51</f>
        <v>654</v>
      </c>
      <c r="J43" s="2983">
        <f>典型户型修正办!R51</f>
        <v>40679</v>
      </c>
    </row>
    <row r="44" spans="1:10" ht="12.75">
      <c r="A44" s="2975" t="str">
        <f>面积表!G42</f>
        <v>7</v>
      </c>
      <c r="B44" s="2975" t="s">
        <v>3166</v>
      </c>
      <c r="C44" s="2982">
        <f>面积表!I42</f>
        <v>116.9</v>
      </c>
      <c r="D44" s="2975" t="str">
        <f>面积表!H42</f>
        <v>商业综合</v>
      </c>
      <c r="E44" s="2983" t="e">
        <f t="shared" ca="1" si="0"/>
        <v>#N/A</v>
      </c>
      <c r="F44" s="2983" t="e">
        <f t="shared" ca="1" si="0"/>
        <v>#N/A</v>
      </c>
      <c r="G44" s="2983" t="e">
        <f t="shared" ca="1" si="4"/>
        <v>#N/A</v>
      </c>
      <c r="H44" s="2983" t="e">
        <f t="shared" ca="1" si="5"/>
        <v>#N/A</v>
      </c>
      <c r="I44" s="2983">
        <f>典型户型修正办!S52</f>
        <v>618</v>
      </c>
      <c r="J44" s="2983">
        <f>典型户型修正办!R52</f>
        <v>40679</v>
      </c>
    </row>
    <row r="45" spans="1:10" ht="12.75">
      <c r="A45" s="2975" t="str">
        <f>面积表!G43</f>
        <v>8</v>
      </c>
      <c r="B45" s="2975" t="s">
        <v>3166</v>
      </c>
      <c r="C45" s="2982">
        <f>面积表!I43</f>
        <v>160.65</v>
      </c>
      <c r="D45" s="2975" t="str">
        <f>面积表!H43</f>
        <v>商业综合</v>
      </c>
      <c r="E45" s="2983" t="e">
        <f t="shared" ca="1" si="0"/>
        <v>#N/A</v>
      </c>
      <c r="F45" s="2983" t="e">
        <f t="shared" ca="1" si="0"/>
        <v>#N/A</v>
      </c>
      <c r="G45" s="2983" t="e">
        <f t="shared" ca="1" si="4"/>
        <v>#N/A</v>
      </c>
      <c r="H45" s="2983" t="e">
        <f t="shared" ca="1" si="5"/>
        <v>#N/A</v>
      </c>
      <c r="I45" s="2983">
        <f>典型户型修正办!S53</f>
        <v>618</v>
      </c>
      <c r="J45" s="2983">
        <f>典型户型修正办!R53</f>
        <v>40679</v>
      </c>
    </row>
    <row r="46" spans="1:10" ht="12.75">
      <c r="A46" s="2975" t="str">
        <f>面积表!G44</f>
        <v>8</v>
      </c>
      <c r="B46" s="2975" t="s">
        <v>3166</v>
      </c>
      <c r="C46" s="2982">
        <f>面积表!I44</f>
        <v>152</v>
      </c>
      <c r="D46" s="2975" t="str">
        <f>面积表!H44</f>
        <v>商业综合</v>
      </c>
      <c r="E46" s="2983" t="e">
        <f t="shared" ca="1" si="0"/>
        <v>#N/A</v>
      </c>
      <c r="F46" s="2983" t="e">
        <f t="shared" ca="1" si="0"/>
        <v>#N/A</v>
      </c>
      <c r="G46" s="2983" t="e">
        <f t="shared" ca="1" si="4"/>
        <v>#N/A</v>
      </c>
      <c r="H46" s="2983" t="e">
        <f t="shared" ca="1" si="5"/>
        <v>#N/A</v>
      </c>
      <c r="I46" s="2983">
        <f>典型户型修正办!S54</f>
        <v>618</v>
      </c>
      <c r="J46" s="2983">
        <f>典型户型修正办!R54</f>
        <v>40679</v>
      </c>
    </row>
    <row r="47" spans="1:10" ht="12.75">
      <c r="A47" s="2975" t="str">
        <f>面积表!G45</f>
        <v>8</v>
      </c>
      <c r="B47" s="2975" t="s">
        <v>3166</v>
      </c>
      <c r="C47" s="2982">
        <f>面积表!I45</f>
        <v>152</v>
      </c>
      <c r="D47" s="2975" t="str">
        <f>面积表!H45</f>
        <v>商业综合</v>
      </c>
      <c r="E47" s="2983" t="e">
        <f t="shared" ca="1" si="0"/>
        <v>#N/A</v>
      </c>
      <c r="F47" s="2983" t="e">
        <f t="shared" ca="1" si="0"/>
        <v>#N/A</v>
      </c>
      <c r="G47" s="2983" t="e">
        <f t="shared" ca="1" si="4"/>
        <v>#N/A</v>
      </c>
      <c r="H47" s="2983" t="e">
        <f t="shared" ca="1" si="5"/>
        <v>#N/A</v>
      </c>
      <c r="I47" s="2983">
        <f>典型户型修正办!S55</f>
        <v>618</v>
      </c>
      <c r="J47" s="2983">
        <f>典型户型修正办!R55</f>
        <v>40679</v>
      </c>
    </row>
    <row r="48" spans="1:10" ht="12.75">
      <c r="A48" s="2975" t="str">
        <f>面积表!G46</f>
        <v>8</v>
      </c>
      <c r="B48" s="2975" t="s">
        <v>3166</v>
      </c>
      <c r="C48" s="2982">
        <f>面积表!I46</f>
        <v>152</v>
      </c>
      <c r="D48" s="2975" t="str">
        <f>面积表!H46</f>
        <v>商业综合</v>
      </c>
      <c r="E48" s="2983" t="e">
        <f t="shared" ca="1" si="0"/>
        <v>#N/A</v>
      </c>
      <c r="F48" s="2983" t="e">
        <f t="shared" ca="1" si="0"/>
        <v>#N/A</v>
      </c>
      <c r="G48" s="2983" t="e">
        <f t="shared" ca="1" si="4"/>
        <v>#N/A</v>
      </c>
      <c r="H48" s="2983" t="e">
        <f t="shared" ca="1" si="5"/>
        <v>#N/A</v>
      </c>
      <c r="I48" s="2983">
        <f>典型户型修正办!S56</f>
        <v>847</v>
      </c>
      <c r="J48" s="2983">
        <f>典型户型修正办!R56</f>
        <v>40679</v>
      </c>
    </row>
    <row r="49" spans="1:11" ht="12.75">
      <c r="A49" s="2975" t="str">
        <f>面积表!G47</f>
        <v>8</v>
      </c>
      <c r="B49" s="2975" t="s">
        <v>3166</v>
      </c>
      <c r="C49" s="2982">
        <f>面积表!I47</f>
        <v>152</v>
      </c>
      <c r="D49" s="2975" t="str">
        <f>面积表!H47</f>
        <v>商业综合</v>
      </c>
      <c r="E49" s="2983" t="e">
        <f t="shared" ca="1" si="0"/>
        <v>#N/A</v>
      </c>
      <c r="F49" s="2983" t="e">
        <f t="shared" ca="1" si="0"/>
        <v>#N/A</v>
      </c>
      <c r="G49" s="2983" t="e">
        <f t="shared" ca="1" si="4"/>
        <v>#N/A</v>
      </c>
      <c r="H49" s="2983" t="e">
        <f t="shared" ca="1" si="5"/>
        <v>#N/A</v>
      </c>
      <c r="I49" s="2983">
        <f>典型户型修正办!S57</f>
        <v>907</v>
      </c>
      <c r="J49" s="2983">
        <f>典型户型修正办!R57</f>
        <v>40679</v>
      </c>
    </row>
    <row r="50" spans="1:11" ht="12.75">
      <c r="A50" s="2975" t="str">
        <f>面积表!G48</f>
        <v>8</v>
      </c>
      <c r="B50" s="2975" t="s">
        <v>3166</v>
      </c>
      <c r="C50" s="2982">
        <f>面积表!I48</f>
        <v>208.31</v>
      </c>
      <c r="D50" s="2975" t="str">
        <f>面积表!H48</f>
        <v>商业综合</v>
      </c>
      <c r="E50" s="2983" t="e">
        <f t="shared" ca="1" si="0"/>
        <v>#N/A</v>
      </c>
      <c r="F50" s="2983" t="e">
        <f t="shared" ca="1" si="0"/>
        <v>#N/A</v>
      </c>
      <c r="G50" s="2983" t="e">
        <f t="shared" ca="1" si="4"/>
        <v>#N/A</v>
      </c>
      <c r="H50" s="2983" t="e">
        <f t="shared" ca="1" si="5"/>
        <v>#N/A</v>
      </c>
      <c r="I50" s="2983">
        <f>典型户型修正办!S58</f>
        <v>618</v>
      </c>
      <c r="J50" s="2983">
        <f>典型户型修正办!R58</f>
        <v>40679</v>
      </c>
    </row>
    <row r="51" spans="1:11" ht="12.75">
      <c r="A51" s="2975" t="str">
        <f>面积表!G49</f>
        <v>8</v>
      </c>
      <c r="B51" s="2975" t="s">
        <v>3166</v>
      </c>
      <c r="C51" s="2982">
        <f>面积表!I49</f>
        <v>222.93</v>
      </c>
      <c r="D51" s="2975" t="str">
        <f>面积表!H49</f>
        <v>商业综合</v>
      </c>
      <c r="E51" s="2983" t="e">
        <f t="shared" ca="1" si="0"/>
        <v>#N/A</v>
      </c>
      <c r="F51" s="2983" t="e">
        <f t="shared" ca="1" si="0"/>
        <v>#N/A</v>
      </c>
      <c r="G51" s="2983" t="e">
        <f t="shared" ca="1" si="4"/>
        <v>#N/A</v>
      </c>
      <c r="H51" s="2983" t="e">
        <f t="shared" ca="1" si="5"/>
        <v>#N/A</v>
      </c>
      <c r="I51" s="2983">
        <f>典型户型修正办!S59</f>
        <v>476</v>
      </c>
      <c r="J51" s="2983">
        <f>典型户型修正办!R59</f>
        <v>40679</v>
      </c>
    </row>
    <row r="52" spans="1:11" ht="12.75">
      <c r="A52" s="2975" t="str">
        <f>面积表!G50</f>
        <v>8</v>
      </c>
      <c r="B52" s="2975" t="s">
        <v>3166</v>
      </c>
      <c r="C52" s="2982">
        <f>面积表!I50</f>
        <v>152.03</v>
      </c>
      <c r="D52" s="2975" t="str">
        <f>面积表!H50</f>
        <v>商业综合</v>
      </c>
      <c r="E52" s="2983" t="e">
        <f t="shared" ca="1" si="0"/>
        <v>#N/A</v>
      </c>
      <c r="F52" s="2983" t="e">
        <f t="shared" ca="1" si="0"/>
        <v>#N/A</v>
      </c>
      <c r="G52" s="2983" t="e">
        <f t="shared" ca="1" si="4"/>
        <v>#N/A</v>
      </c>
      <c r="H52" s="2983" t="e">
        <f t="shared" ca="1" si="5"/>
        <v>#N/A</v>
      </c>
      <c r="I52" s="2983">
        <f>典型户型修正办!S60</f>
        <v>654</v>
      </c>
      <c r="J52" s="2983">
        <f>典型户型修正办!R60</f>
        <v>40679</v>
      </c>
    </row>
    <row r="53" spans="1:11" s="2986" customFormat="1" ht="12.75">
      <c r="A53" s="3580" t="s">
        <v>3167</v>
      </c>
      <c r="B53" s="3581"/>
      <c r="C53" s="2984">
        <f>SUM(C16:C52)</f>
        <v>6491.35</v>
      </c>
      <c r="D53" s="2984">
        <f>SUM(D16:D52)</f>
        <v>0</v>
      </c>
      <c r="E53" s="2985" t="e">
        <f ca="1">SUM(E16:E52)</f>
        <v>#N/A</v>
      </c>
      <c r="F53" s="2985" t="e">
        <f t="shared" ca="1" si="0"/>
        <v>#N/A</v>
      </c>
      <c r="G53" s="2985" t="e">
        <f ca="1">SUM(G16:G52)</f>
        <v>#N/A</v>
      </c>
      <c r="H53" s="2985" t="e">
        <f ca="1">ROUND(G53/C53*10000,0)</f>
        <v>#N/A</v>
      </c>
      <c r="I53" s="2985">
        <f>SUM(I16:I52)</f>
        <v>24323</v>
      </c>
      <c r="J53" s="2985">
        <f>ROUND(I53/C53*10000,0)</f>
        <v>37470</v>
      </c>
      <c r="K53" s="2986" t="e">
        <f ca="1">G53+E53</f>
        <v>#N/A</v>
      </c>
    </row>
    <row r="54" spans="1:11" ht="12.75">
      <c r="A54" s="2957" t="s">
        <v>3151</v>
      </c>
      <c r="B54" s="2957" t="s">
        <v>3168</v>
      </c>
      <c r="C54" s="2982">
        <v>1949.34</v>
      </c>
      <c r="D54" s="2957">
        <v>184.92</v>
      </c>
      <c r="E54" s="2983" t="e">
        <f t="shared" ca="1" si="0"/>
        <v>#N/A</v>
      </c>
      <c r="F54" s="2983" t="e">
        <f t="shared" ca="1" si="0"/>
        <v>#N/A</v>
      </c>
      <c r="G54" s="2983" t="e">
        <f ca="1">ROUND(I54*$K$54,0)</f>
        <v>#N/A</v>
      </c>
      <c r="H54" s="2983" t="e">
        <f ca="1">ROUND(G54/C54*10000,0)</f>
        <v>#N/A</v>
      </c>
      <c r="I54" s="2983" t="e">
        <f ca="1">ROUND(J54*C54/10000,0)</f>
        <v>#N/A</v>
      </c>
      <c r="J54" s="2983" t="e">
        <f ca="1">结果表酒店!G20</f>
        <v>#N/A</v>
      </c>
      <c r="K54" s="2980" t="e">
        <f ca="1">收益法酒店!C13/收益法酒店!C40</f>
        <v>#N/A</v>
      </c>
    </row>
    <row r="55" spans="1:11" ht="12.75">
      <c r="A55" s="2957" t="s">
        <v>3152</v>
      </c>
      <c r="B55" s="2957" t="s">
        <v>3169</v>
      </c>
      <c r="C55" s="2982">
        <v>153.44999999999999</v>
      </c>
      <c r="D55" s="2957">
        <v>14.56</v>
      </c>
      <c r="E55" s="2983" t="e">
        <f t="shared" ca="1" si="0"/>
        <v>#N/A</v>
      </c>
      <c r="F55" s="2983" t="e">
        <f t="shared" ca="1" si="0"/>
        <v>#N/A</v>
      </c>
      <c r="G55" s="2983" t="e">
        <f ca="1">ROUND(I55*$K$54,0)</f>
        <v>#N/A</v>
      </c>
      <c r="H55" s="2983" t="e">
        <f ca="1">H54</f>
        <v>#N/A</v>
      </c>
      <c r="I55" s="2983" t="e">
        <f ca="1">结果表酒店!G19-I54</f>
        <v>#N/A</v>
      </c>
      <c r="J55" s="2983" t="e">
        <f ca="1">J54</f>
        <v>#N/A</v>
      </c>
    </row>
    <row r="56" spans="1:11" s="2986" customFormat="1" ht="12.75">
      <c r="A56" s="3580" t="s">
        <v>3170</v>
      </c>
      <c r="B56" s="3581"/>
      <c r="C56" s="2984">
        <f>SUM(C54:C55)</f>
        <v>2102.79</v>
      </c>
      <c r="D56" s="2984">
        <f>SUM(D54:D55)</f>
        <v>199.48</v>
      </c>
      <c r="E56" s="2985" t="e">
        <f ca="1">SUM(E54:E55)</f>
        <v>#N/A</v>
      </c>
      <c r="F56" s="2985" t="e">
        <f ca="1">F55</f>
        <v>#N/A</v>
      </c>
      <c r="G56" s="2985" t="e">
        <f ca="1">SUM(G54:G55)</f>
        <v>#N/A</v>
      </c>
      <c r="H56" s="2985" t="e">
        <f ca="1">H55</f>
        <v>#N/A</v>
      </c>
      <c r="I56" s="2985" t="e">
        <f ca="1">SUM(I54:I55)</f>
        <v>#N/A</v>
      </c>
      <c r="J56" s="2985" t="e">
        <f ca="1">J55</f>
        <v>#N/A</v>
      </c>
      <c r="K56" s="2986" t="e">
        <f ca="1">G56+E56</f>
        <v>#N/A</v>
      </c>
    </row>
    <row r="57" spans="1:11" s="2986" customFormat="1" ht="12.75">
      <c r="A57" s="3582" t="s">
        <v>3171</v>
      </c>
      <c r="B57" s="3583"/>
      <c r="C57" s="2984">
        <f>C56+C53+C15</f>
        <v>13104.509999999998</v>
      </c>
      <c r="D57" s="2984">
        <f>D56+D53+D15</f>
        <v>627.33000000000004</v>
      </c>
      <c r="E57" s="3584" t="e">
        <f ca="1">E56+E53+E15</f>
        <v>#N/A</v>
      </c>
      <c r="F57" s="3584"/>
      <c r="G57" s="3584" t="e">
        <f ca="1">G56+G53+G15</f>
        <v>#N/A</v>
      </c>
      <c r="H57" s="3584"/>
      <c r="I57" s="3584" t="e">
        <f ca="1">I56+I53+I15</f>
        <v>#N/A</v>
      </c>
      <c r="J57" s="3584"/>
    </row>
    <row r="58" spans="1:11" ht="12.75">
      <c r="A58" s="2987"/>
      <c r="B58" s="2987"/>
      <c r="C58" s="2988"/>
      <c r="D58" s="2989"/>
      <c r="E58" s="3578" t="e">
        <f ca="1">E57*10000</f>
        <v>#N/A</v>
      </c>
      <c r="F58" s="3578"/>
      <c r="G58" s="3578" t="e">
        <f ca="1">G57*10000</f>
        <v>#N/A</v>
      </c>
      <c r="H58" s="3578"/>
      <c r="I58" s="3578" t="e">
        <f ca="1">I57*10000</f>
        <v>#N/A</v>
      </c>
      <c r="J58" s="3578"/>
    </row>
    <row r="59" spans="1:11">
      <c r="A59" s="3579" t="s">
        <v>3172</v>
      </c>
      <c r="B59" s="3579"/>
      <c r="C59" s="3579"/>
      <c r="D59" s="3579"/>
      <c r="E59" s="3579"/>
      <c r="F59" s="3579"/>
      <c r="G59" s="3579"/>
      <c r="H59" s="3579"/>
      <c r="I59" s="3579"/>
      <c r="J59" s="3579"/>
    </row>
    <row r="60" spans="1:11">
      <c r="C60" s="2980">
        <f>[3]汉威!$C$62</f>
        <v>41487.209999999985</v>
      </c>
    </row>
    <row r="61" spans="1:11">
      <c r="C61" s="2990">
        <f>C57-C60</f>
        <v>-28382.699999999986</v>
      </c>
    </row>
  </sheetData>
  <mergeCells count="18">
    <mergeCell ref="D1:D2"/>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65" zoomScaleNormal="100" zoomScaleSheetLayoutView="100" zoomScalePageLayoutView="80" workbookViewId="0">
      <selection activeCell="I91" sqref="I91"/>
    </sheetView>
  </sheetViews>
  <sheetFormatPr defaultColWidth="12.625" defaultRowHeight="21.75" customHeight="1"/>
  <cols>
    <col min="1" max="2" width="12.625" style="2395"/>
    <col min="3" max="4" width="12.625" style="2395" customWidth="1"/>
    <col min="5" max="7" width="12.625" style="2395"/>
    <col min="8" max="8" width="16" style="2395" customWidth="1"/>
    <col min="9"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2.75">
      <c r="A3" s="3651" t="s">
        <v>2107</v>
      </c>
      <c r="B3" s="3652"/>
      <c r="C3" s="3652"/>
      <c r="D3" s="3652"/>
      <c r="E3" s="3652"/>
      <c r="F3" s="3652"/>
      <c r="G3" s="3652"/>
      <c r="H3" s="3652"/>
      <c r="I3" s="3652"/>
    </row>
    <row r="4" spans="1:12" ht="14.25">
      <c r="A4" s="2396" t="s">
        <v>2108</v>
      </c>
      <c r="B4" s="2397" t="s">
        <v>2109</v>
      </c>
      <c r="C4" s="2398" t="s">
        <v>3693</v>
      </c>
      <c r="D4" s="2398" t="s">
        <v>3685</v>
      </c>
      <c r="E4" s="3635" t="s">
        <v>2110</v>
      </c>
      <c r="F4" s="3645"/>
      <c r="G4" s="3645"/>
      <c r="H4" s="3645"/>
      <c r="I4" s="3636"/>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626" t="s">
        <v>2111</v>
      </c>
      <c r="B5" s="3521">
        <v>25</v>
      </c>
      <c r="C5" s="3653"/>
      <c r="D5" s="3641"/>
      <c r="E5" s="140" t="s">
        <v>2112</v>
      </c>
      <c r="F5" s="2400"/>
      <c r="G5" s="2400"/>
      <c r="H5" s="2400"/>
      <c r="I5" s="1811"/>
    </row>
    <row r="6" spans="1:12" ht="12.75">
      <c r="A6" s="3626"/>
      <c r="B6" s="3521"/>
      <c r="C6" s="3655"/>
      <c r="D6" s="3641"/>
      <c r="E6" s="140" t="s">
        <v>2113</v>
      </c>
      <c r="F6" s="2400"/>
      <c r="G6" s="2400"/>
      <c r="H6" s="2400"/>
      <c r="I6" s="1811"/>
    </row>
    <row r="7" spans="1:12" ht="12.75">
      <c r="A7" s="3626"/>
      <c r="B7" s="3521"/>
      <c r="C7" s="3654"/>
      <c r="D7" s="3641"/>
      <c r="E7" s="140" t="s">
        <v>2114</v>
      </c>
      <c r="F7" s="2400"/>
      <c r="G7" s="2400"/>
      <c r="H7" s="2400"/>
      <c r="I7" s="1811"/>
    </row>
    <row r="8" spans="1:12" ht="12.75">
      <c r="A8" s="3626" t="s">
        <v>2115</v>
      </c>
      <c r="B8" s="3521">
        <v>15</v>
      </c>
      <c r="C8" s="3653"/>
      <c r="D8" s="3641"/>
      <c r="E8" s="140" t="s">
        <v>2116</v>
      </c>
      <c r="F8" s="2400"/>
      <c r="G8" s="2400"/>
      <c r="H8" s="2400"/>
      <c r="I8" s="1811"/>
    </row>
    <row r="9" spans="1:12" ht="12.75">
      <c r="A9" s="3626"/>
      <c r="B9" s="3521"/>
      <c r="C9" s="3654"/>
      <c r="D9" s="3641"/>
      <c r="E9" s="140" t="s">
        <v>2117</v>
      </c>
      <c r="F9" s="2400"/>
      <c r="G9" s="2400"/>
      <c r="H9" s="2400"/>
      <c r="I9" s="1811"/>
    </row>
    <row r="10" spans="1:12" ht="12.75">
      <c r="A10" s="3626" t="s">
        <v>2118</v>
      </c>
      <c r="B10" s="3521">
        <v>15</v>
      </c>
      <c r="C10" s="3653"/>
      <c r="D10" s="3641"/>
      <c r="E10" s="140" t="s">
        <v>2119</v>
      </c>
      <c r="F10" s="2400"/>
      <c r="G10" s="2400"/>
      <c r="H10" s="2400"/>
      <c r="I10" s="1811"/>
    </row>
    <row r="11" spans="1:12" ht="12.75">
      <c r="A11" s="3626"/>
      <c r="B11" s="3521"/>
      <c r="C11" s="3654"/>
      <c r="D11" s="3641"/>
      <c r="E11" s="140" t="s">
        <v>2120</v>
      </c>
      <c r="F11" s="2400"/>
      <c r="G11" s="2400"/>
      <c r="H11" s="2400"/>
      <c r="I11" s="1811"/>
    </row>
    <row r="12" spans="1:12" ht="12.75">
      <c r="A12" s="3626" t="s">
        <v>2121</v>
      </c>
      <c r="B12" s="3521">
        <v>15</v>
      </c>
      <c r="C12" s="3653"/>
      <c r="D12" s="3641"/>
      <c r="E12" s="140" t="s">
        <v>2122</v>
      </c>
      <c r="F12" s="2400"/>
      <c r="G12" s="2400"/>
      <c r="H12" s="2400"/>
      <c r="I12" s="1811"/>
    </row>
    <row r="13" spans="1:12" ht="12.75">
      <c r="A13" s="3626"/>
      <c r="B13" s="3521"/>
      <c r="C13" s="3654"/>
      <c r="D13" s="3641"/>
      <c r="E13" s="140" t="s">
        <v>2123</v>
      </c>
      <c r="F13" s="2400"/>
      <c r="G13" s="2400"/>
      <c r="H13" s="2400"/>
      <c r="I13" s="1811"/>
    </row>
    <row r="14" spans="1:12" ht="12.75" customHeight="1">
      <c r="A14" s="3626" t="s">
        <v>2124</v>
      </c>
      <c r="B14" s="3521">
        <v>30</v>
      </c>
      <c r="C14" s="3653">
        <v>45</v>
      </c>
      <c r="D14" s="3641">
        <v>55</v>
      </c>
      <c r="E14" s="140" t="s">
        <v>2125</v>
      </c>
      <c r="F14" s="2400"/>
      <c r="G14" s="2400"/>
      <c r="H14" s="2400"/>
      <c r="I14" s="1811"/>
    </row>
    <row r="15" spans="1:12" ht="12.75" customHeight="1">
      <c r="A15" s="3626"/>
      <c r="B15" s="3521"/>
      <c r="C15" s="3655"/>
      <c r="D15" s="3641"/>
      <c r="E15" s="140" t="s">
        <v>2126</v>
      </c>
      <c r="F15" s="2400"/>
      <c r="G15" s="2400"/>
      <c r="H15" s="2400"/>
      <c r="I15" s="1811"/>
    </row>
    <row r="16" spans="1:12" ht="12.75" customHeight="1">
      <c r="A16" s="3626"/>
      <c r="B16" s="3521"/>
      <c r="C16" s="3654"/>
      <c r="D16" s="3641"/>
      <c r="E16" s="140" t="s">
        <v>2127</v>
      </c>
      <c r="F16" s="2400"/>
      <c r="G16" s="2400"/>
      <c r="H16" s="2400"/>
      <c r="I16" s="1811"/>
    </row>
    <row r="17" spans="1:35" ht="15">
      <c r="A17" s="2401" t="s">
        <v>2128</v>
      </c>
      <c r="B17" s="64"/>
      <c r="C17" s="141">
        <f>SUM(C5:C16)</f>
        <v>45</v>
      </c>
      <c r="D17" s="141">
        <f>SUM(D5:D16)</f>
        <v>55</v>
      </c>
      <c r="E17" s="138"/>
      <c r="F17" s="138"/>
      <c r="G17" s="138"/>
      <c r="H17" s="138"/>
      <c r="I17" s="138"/>
      <c r="K17" s="2399"/>
      <c r="L17" s="2402" t="s">
        <v>2129</v>
      </c>
      <c r="M17" s="2402" t="s">
        <v>2130</v>
      </c>
    </row>
    <row r="18" spans="1:35" ht="15.75" thickBot="1">
      <c r="A18" s="2403" t="s">
        <v>2131</v>
      </c>
      <c r="B18" s="2404"/>
      <c r="C18" s="142">
        <f>ROUND(C17/SUM(C17:D17),2)</f>
        <v>0.45</v>
      </c>
      <c r="D18" s="142">
        <f>1-C18</f>
        <v>0.55000000000000004</v>
      </c>
      <c r="E18" s="138"/>
      <c r="F18" s="138"/>
      <c r="G18" s="138"/>
      <c r="H18" s="138"/>
      <c r="I18" s="138"/>
      <c r="K18" s="2399" t="s">
        <v>2132</v>
      </c>
      <c r="L18" s="2399">
        <f>IF(C1="",'数据-汇总表'!E3,SUMIF(项目类型,C1,'数据-汇总表'!E17:E26)+SUMIF(项目类型,C1,'数据-汇总表'!I17:I26))</f>
        <v>44104.409999999996</v>
      </c>
      <c r="M18" s="2399">
        <f>IF(C1="",'数据-汇总表'!E3,SUMIF(项目类型,C1,'数据-汇总表'!E17:E26))</f>
        <v>44104.409999999996</v>
      </c>
    </row>
    <row r="19" spans="1:35" ht="15">
      <c r="A19" s="2405" t="s">
        <v>2133</v>
      </c>
      <c r="B19" s="2406" t="s">
        <v>2134</v>
      </c>
      <c r="C19" s="143">
        <f ca="1">SUMIF(INDIRECT("'"&amp;C4&amp;"'"&amp;"!A:A"),结果表!B19,INDIRECT("'"&amp;C4&amp;"'"&amp;"!B:B"))</f>
        <v>212668</v>
      </c>
      <c r="D19" s="144">
        <f ca="1">SUMIF(INDIRECT("'"&amp;D4&amp;"'"&amp;"!A:A"),结果表!B19,INDIRECT("'"&amp;D4&amp;"'"&amp;"!B:B"))</f>
        <v>130205</v>
      </c>
      <c r="E19" s="2405" t="s">
        <v>2135</v>
      </c>
      <c r="F19" s="2406" t="s">
        <v>2134</v>
      </c>
      <c r="G19" s="145">
        <f ca="1">ROUND(C19*$C$18+D19*$D$18,0)</f>
        <v>167313</v>
      </c>
      <c r="H19" s="2407" t="s">
        <v>2136</v>
      </c>
      <c r="I19" s="138"/>
      <c r="K19" s="2399" t="s">
        <v>2137</v>
      </c>
      <c r="L19" s="2399">
        <f>IF(C1="",'数据-汇总表'!D3,SUMIF(项目类型,C1,'数据-汇总表'!D17:D26)+SUMIF(项目类型,C1,'数据-汇总表'!H17:H27))</f>
        <v>10126.19</v>
      </c>
      <c r="M19" s="2399">
        <f>IF(C1="",'数据-汇总表'!D3,SUMIF(项目类型,C1,'数据-汇总表'!D17:D26))</f>
        <v>10126.19</v>
      </c>
    </row>
    <row r="20" spans="1:35" ht="15">
      <c r="A20" s="2408"/>
      <c r="B20" s="1229" t="s">
        <v>2138</v>
      </c>
      <c r="C20" s="146">
        <f ca="1">SUMIF(INDIRECT("'"&amp;C4&amp;"'"&amp;"!A:A"),结果表!B20,INDIRECT("'"&amp;C4&amp;"'"&amp;"!B:B"))</f>
        <v>48219</v>
      </c>
      <c r="D20" s="147">
        <f ca="1">SUMIF(INDIRECT("'"&amp;D4&amp;"'"&amp;"!A:A"),结果表!B20,INDIRECT("'"&amp;D4&amp;"'"&amp;"!B:B"))</f>
        <v>29522</v>
      </c>
      <c r="E20" s="2408"/>
      <c r="F20" s="1229" t="s">
        <v>2138</v>
      </c>
      <c r="G20" s="148">
        <f ca="1">ROUND(C20*$C$18+D20*$D$18,0)</f>
        <v>37936</v>
      </c>
      <c r="H20" s="970" t="s">
        <v>2139</v>
      </c>
      <c r="I20" s="138"/>
    </row>
    <row r="21" spans="1:35" ht="15" customHeight="1" thickBot="1">
      <c r="A21" s="990"/>
      <c r="B21" s="2409" t="s">
        <v>2140</v>
      </c>
      <c r="C21" s="784">
        <f ca="1">ROUND(C19*10000/L19,0)</f>
        <v>210018</v>
      </c>
      <c r="D21" s="785">
        <f ca="1">ROUND(D19*10000/L19,0)</f>
        <v>128582</v>
      </c>
      <c r="E21" s="990"/>
      <c r="F21" s="2409" t="s">
        <v>2140</v>
      </c>
      <c r="G21" s="149">
        <f ca="1">ROUND(G19*10000/L19,0)</f>
        <v>165228</v>
      </c>
      <c r="H21" s="2410" t="s">
        <v>2139</v>
      </c>
      <c r="I21" s="138"/>
    </row>
    <row r="22" spans="1:35" ht="15" thickBot="1">
      <c r="A22" s="2255" t="s">
        <v>2141</v>
      </c>
      <c r="B22" s="2411"/>
      <c r="C22" s="2412"/>
      <c r="D22" s="786">
        <f ca="1">IF(C19&lt;D19,D19/C19-1,C19/D19-1)</f>
        <v>0.63333205330056441</v>
      </c>
      <c r="E22" s="138"/>
      <c r="F22" s="138"/>
      <c r="G22" s="138"/>
      <c r="H22" s="138"/>
      <c r="I22" s="138"/>
    </row>
    <row r="23" spans="1:35" ht="13.5" thickBot="1">
      <c r="A23" s="2389"/>
      <c r="B23" s="2389"/>
      <c r="C23" s="2389"/>
      <c r="D23" s="2389"/>
      <c r="E23" s="138"/>
      <c r="F23" s="138"/>
      <c r="G23" s="138"/>
      <c r="H23" s="138"/>
      <c r="I23" s="138"/>
    </row>
    <row r="24" spans="1:35" ht="14.25">
      <c r="A24" s="3662" t="s">
        <v>2142</v>
      </c>
      <c r="B24" s="2406" t="s">
        <v>2134</v>
      </c>
      <c r="C24" s="145">
        <f>IF(B30=0,0,D30)</f>
        <v>0</v>
      </c>
      <c r="D24" s="2413"/>
      <c r="E24" s="138"/>
      <c r="F24" s="138"/>
      <c r="G24" s="138"/>
      <c r="H24" s="138"/>
      <c r="I24" s="138"/>
    </row>
    <row r="25" spans="1:35" ht="14.25">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167313</v>
      </c>
      <c r="D32" s="2420" t="s">
        <v>2149</v>
      </c>
      <c r="E32" s="138"/>
      <c r="F32" s="138"/>
      <c r="G32" s="138"/>
      <c r="H32" s="138"/>
      <c r="I32" s="138"/>
    </row>
    <row r="33" spans="1:15" ht="15">
      <c r="A33" s="947" t="s">
        <v>2150</v>
      </c>
      <c r="B33" s="2421"/>
      <c r="C33" s="2422" t="s">
        <v>3670</v>
      </c>
      <c r="D33" s="2423" t="s">
        <v>3048</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642" t="s">
        <v>2156</v>
      </c>
      <c r="B36" s="2432" t="s">
        <v>2157</v>
      </c>
      <c r="C36" s="154"/>
      <c r="D36" s="2433"/>
      <c r="E36" s="2434"/>
      <c r="F36" s="2435"/>
      <c r="G36" s="138"/>
      <c r="H36" s="138"/>
      <c r="I36" s="138"/>
    </row>
    <row r="37" spans="1:15" ht="15.75" thickBot="1">
      <c r="A37" s="3643"/>
      <c r="B37" s="2241" t="s">
        <v>2158</v>
      </c>
      <c r="C37" s="156"/>
      <c r="D37" s="1373"/>
      <c r="E37" s="1373"/>
      <c r="F37" s="2435"/>
      <c r="G37" s="138"/>
      <c r="H37" s="138"/>
      <c r="I37" s="138"/>
    </row>
    <row r="38" spans="1:15" ht="15.75" thickBot="1">
      <c r="A38" s="3644"/>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f ca="1">结果表汇总!H32</f>
        <v>175209</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1789">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1789">
        <v>2</v>
      </c>
      <c r="K47" s="3587" t="s">
        <v>2181</v>
      </c>
      <c r="L47" s="3587"/>
      <c r="M47" s="3589">
        <f>'数据-取费表'!B2</f>
        <v>43836</v>
      </c>
      <c r="N47" s="3589"/>
      <c r="O47" s="3589"/>
    </row>
    <row r="48" spans="1:15" ht="25.5">
      <c r="A48" s="3646" t="s">
        <v>2182</v>
      </c>
      <c r="B48" s="3647"/>
      <c r="C48" s="3647"/>
      <c r="D48" s="140">
        <f ca="1">IF(H48="情况1",0,IF(H48="情况2",D52,IF(H48="情况3",D53,IF(H48="情况4",D54))))</f>
        <v>9344</v>
      </c>
      <c r="E48" s="1778" t="str">
        <f>IF(H48="情况4","(销售额-原购置价)×税（费）率","销售额×税（费）率")</f>
        <v>销售额×税（费）率</v>
      </c>
      <c r="F48" s="175">
        <f>IF(H48="情况1","免征",'数据-取费表'!B41)</f>
        <v>5.6000000000000001E-2</v>
      </c>
      <c r="G48" s="2452" t="s">
        <v>2183</v>
      </c>
      <c r="H48" s="2453" t="s">
        <v>3673</v>
      </c>
      <c r="I48" s="2451"/>
      <c r="J48" s="1789">
        <v>3</v>
      </c>
      <c r="K48" s="3587" t="s">
        <v>2185</v>
      </c>
      <c r="L48" s="3587"/>
      <c r="M48" s="3590">
        <f ca="1">D45</f>
        <v>175209</v>
      </c>
      <c r="N48" s="3590"/>
      <c r="O48" s="3590"/>
    </row>
    <row r="49" spans="1:35" ht="25.5" customHeight="1">
      <c r="A49" s="176" t="s">
        <v>2186</v>
      </c>
      <c r="B49" s="3629" t="s">
        <v>2187</v>
      </c>
      <c r="C49" s="3629"/>
      <c r="D49" s="177">
        <v>0</v>
      </c>
      <c r="E49" s="23" t="s">
        <v>2188</v>
      </c>
      <c r="F49" s="28" t="s">
        <v>34</v>
      </c>
      <c r="G49" s="3610"/>
      <c r="H49" s="138"/>
      <c r="I49" s="2454"/>
      <c r="J49" s="1789">
        <v>4</v>
      </c>
      <c r="K49" s="3587" t="str">
        <f>IF(项目基本情况!E8="房地产抵押价值","房地产抵押价值","抵押担保权已注销时的房地产抵押价值")</f>
        <v>房地产抵押价值</v>
      </c>
      <c r="L49" s="3587"/>
      <c r="M49" s="3590">
        <f ca="1">M48</f>
        <v>175209</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2455" t="s">
        <v>2192</v>
      </c>
      <c r="K51" s="3587" t="s">
        <v>2193</v>
      </c>
      <c r="L51" s="3587"/>
      <c r="M51" s="2455" t="s">
        <v>2194</v>
      </c>
      <c r="N51" s="2455" t="s">
        <v>2195</v>
      </c>
      <c r="O51" s="2455" t="s">
        <v>2196</v>
      </c>
    </row>
    <row r="52" spans="1:35" ht="24" customHeight="1">
      <c r="A52" s="183" t="s">
        <v>2197</v>
      </c>
      <c r="B52" s="3629" t="s">
        <v>2198</v>
      </c>
      <c r="C52" s="3629"/>
      <c r="D52" s="182">
        <f ca="1">ROUND(D45*'数据-取费表'!B41/(1+'数据-取费表'!C42),0)</f>
        <v>9344</v>
      </c>
      <c r="E52" s="11" t="s">
        <v>2199</v>
      </c>
      <c r="F52" s="184">
        <f>'数据-取费表'!B41</f>
        <v>5.6000000000000001E-2</v>
      </c>
      <c r="G52" s="2456"/>
      <c r="H52" s="138"/>
      <c r="I52" s="2454"/>
      <c r="J52" s="1789">
        <v>1</v>
      </c>
      <c r="K52" s="3604" t="s">
        <v>2200</v>
      </c>
      <c r="L52" s="3604"/>
      <c r="M52" s="1731">
        <f ca="1">D48</f>
        <v>9344</v>
      </c>
      <c r="N52" s="1789" t="str">
        <f>E48</f>
        <v>销售额×税（费）率</v>
      </c>
      <c r="O52" s="1732">
        <f>F48</f>
        <v>5.6000000000000001E-2</v>
      </c>
    </row>
    <row r="53" spans="1:35" ht="12" customHeight="1">
      <c r="A53" s="183" t="s">
        <v>2201</v>
      </c>
      <c r="B53" s="3630" t="s">
        <v>2202</v>
      </c>
      <c r="C53" s="3631"/>
      <c r="D53" s="182">
        <f ca="1">ROUND(D45*'数据-取费表'!B41/(1+'数据-取费表'!C42),0)</f>
        <v>9344</v>
      </c>
      <c r="E53" s="11" t="s">
        <v>2199</v>
      </c>
      <c r="F53" s="184">
        <f>'数据-取费表'!B41</f>
        <v>5.6000000000000001E-2</v>
      </c>
      <c r="G53" s="2456"/>
      <c r="H53" s="138"/>
      <c r="I53" s="2454"/>
      <c r="J53" s="1789">
        <v>2</v>
      </c>
      <c r="K53" s="3604" t="s">
        <v>2203</v>
      </c>
      <c r="L53" s="3604"/>
      <c r="M53" s="1731">
        <f t="shared" ref="M53:O54" ca="1" si="0">D55</f>
        <v>88</v>
      </c>
      <c r="N53" s="1789" t="str">
        <f t="shared" si="0"/>
        <v>销售额×税（费）率</v>
      </c>
      <c r="O53" s="1732">
        <f t="shared" si="0"/>
        <v>5.0000000000000001E-4</v>
      </c>
    </row>
    <row r="54" spans="1:35" ht="12" customHeight="1">
      <c r="A54" s="183" t="s">
        <v>2204</v>
      </c>
      <c r="B54" s="3630" t="s">
        <v>2205</v>
      </c>
      <c r="C54" s="3631"/>
      <c r="D54" s="182">
        <f ca="1">C68</f>
        <v>9344</v>
      </c>
      <c r="E54" s="30" t="s">
        <v>2206</v>
      </c>
      <c r="F54" s="184">
        <f>'数据-取费表'!B41</f>
        <v>5.6000000000000001E-2</v>
      </c>
      <c r="G54" s="2456"/>
      <c r="H54" s="2457"/>
      <c r="I54" s="2454"/>
      <c r="J54" s="1789">
        <v>3</v>
      </c>
      <c r="K54" s="3604" t="s">
        <v>2207</v>
      </c>
      <c r="L54" s="3604"/>
      <c r="M54" s="1731">
        <f t="shared" ca="1" si="0"/>
        <v>29551</v>
      </c>
      <c r="N54" s="1789" t="str">
        <f t="shared" si="0"/>
        <v>增值额×税（费）率</v>
      </c>
      <c r="O54" s="1733" t="str">
        <f t="shared" si="0"/>
        <v>——</v>
      </c>
    </row>
    <row r="55" spans="1:35" ht="24" customHeight="1">
      <c r="A55" s="3665" t="s">
        <v>2208</v>
      </c>
      <c r="B55" s="3647"/>
      <c r="C55" s="3647"/>
      <c r="D55" s="185">
        <f ca="1">IF(H55="个人住宅",0,ROUND(D45*I55,0))</f>
        <v>88</v>
      </c>
      <c r="E55" s="11" t="s">
        <v>2209</v>
      </c>
      <c r="F55" s="184">
        <f>IF(H55="正常",I55,"免征")</f>
        <v>5.0000000000000001E-4</v>
      </c>
      <c r="G55" s="2456"/>
      <c r="H55" s="2453" t="s">
        <v>2210</v>
      </c>
      <c r="I55" s="186">
        <f>'数据-取费表'!B49</f>
        <v>5.0000000000000001E-4</v>
      </c>
      <c r="J55" s="1789" t="str">
        <f>IF(H59="非个人房产","",4)</f>
        <v/>
      </c>
      <c r="K55" s="3604" t="str">
        <f>IF(H59="非个人房产","——","个人所得税")</f>
        <v>——</v>
      </c>
      <c r="L55" s="3604"/>
      <c r="M55" s="1734" t="str">
        <f>D59</f>
        <v>——</v>
      </c>
      <c r="N55" s="1787" t="str">
        <f>E59</f>
        <v>——</v>
      </c>
      <c r="O55" s="1735" t="str">
        <f>F59</f>
        <v>——</v>
      </c>
    </row>
    <row r="56" spans="1:35" ht="24.75">
      <c r="A56" s="3665" t="s">
        <v>2211</v>
      </c>
      <c r="B56" s="3647"/>
      <c r="C56" s="3647"/>
      <c r="D56" s="185">
        <f ca="1">IF(H56="个人住宅",D57,D58)</f>
        <v>29551</v>
      </c>
      <c r="E56" s="11" t="s">
        <v>2212</v>
      </c>
      <c r="F56" s="184" t="str">
        <f>IF(H56="正常",F58,"免征")</f>
        <v>——</v>
      </c>
      <c r="G56" s="2458" t="s">
        <v>2213</v>
      </c>
      <c r="H56" s="2459" t="s">
        <v>2210</v>
      </c>
      <c r="I56" s="2460"/>
      <c r="J56" s="1789"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2.75">
      <c r="A57" s="183" t="s">
        <v>2186</v>
      </c>
      <c r="B57" s="3635" t="s">
        <v>2214</v>
      </c>
      <c r="C57" s="3636"/>
      <c r="D57" s="187">
        <v>0</v>
      </c>
      <c r="E57" s="23" t="s">
        <v>2188</v>
      </c>
      <c r="F57" s="155"/>
      <c r="G57" s="2456"/>
      <c r="H57" s="2460"/>
      <c r="I57" s="2460"/>
      <c r="J57" s="3604">
        <f>IF(AND(J55="",J56=""),4,IF(项目基本情况!K6="上海银行",结果表!J56+1,结果表!J55+1))</f>
        <v>4</v>
      </c>
      <c r="K57" s="3604" t="s">
        <v>2215</v>
      </c>
      <c r="L57" s="2461" t="s">
        <v>2216</v>
      </c>
      <c r="M57" s="1736"/>
      <c r="N57" s="1737">
        <f ca="1">SUMIF(M52:M56,"&lt;9e307")</f>
        <v>38983</v>
      </c>
      <c r="O57" s="2462"/>
      <c r="P57" s="1730">
        <f ca="1">N57/M49</f>
        <v>0.22249427826196144</v>
      </c>
    </row>
    <row r="58" spans="1:35" ht="24.75">
      <c r="A58" s="183" t="s">
        <v>2197</v>
      </c>
      <c r="B58" s="3635" t="s">
        <v>2217</v>
      </c>
      <c r="C58" s="3645"/>
      <c r="D58" s="185">
        <f ca="1">IF(H58="转让取得",C81,C97)</f>
        <v>29551</v>
      </c>
      <c r="E58" s="11" t="s">
        <v>2212</v>
      </c>
      <c r="F58" s="24" t="s">
        <v>34</v>
      </c>
      <c r="G58" s="2456"/>
      <c r="H58" s="2459" t="s">
        <v>2218</v>
      </c>
      <c r="I58" s="2460"/>
      <c r="J58" s="3604"/>
      <c r="K58" s="3604"/>
      <c r="L58" s="2461" t="s">
        <v>2219</v>
      </c>
      <c r="M58" s="1738"/>
      <c r="N58" s="2463" t="str">
        <f ca="1">NUMBERSTRING(INT(N57*10000),2)&amp;"元整"</f>
        <v>叁亿捌仟玖佰捌拾叁万元整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1789" t="s">
        <v>2216</v>
      </c>
      <c r="M59" s="1739"/>
      <c r="N59" s="1740">
        <f ca="1">M49-N57</f>
        <v>136226</v>
      </c>
      <c r="O59" s="2466"/>
    </row>
    <row r="60" spans="1:35" ht="12" customHeight="1">
      <c r="A60" s="2467"/>
      <c r="B60" s="2389"/>
      <c r="C60" s="2389"/>
      <c r="D60" s="2389"/>
      <c r="E60" s="2141"/>
      <c r="F60" s="2460"/>
      <c r="G60" s="2460"/>
      <c r="H60" s="2468"/>
      <c r="I60" s="138"/>
      <c r="J60" s="3607"/>
      <c r="K60" s="3604"/>
      <c r="L60" s="2461" t="s">
        <v>2219</v>
      </c>
      <c r="M60" s="1738"/>
      <c r="N60" s="2463" t="str">
        <f ca="1">NUMBERSTRING(INT(N59*10000),2)&amp;"元整"</f>
        <v>壹拾叁亿陆仟贰佰贰拾陆万元整</v>
      </c>
      <c r="O60" s="2464"/>
    </row>
    <row r="61" spans="1:35" ht="13.5" thickBot="1">
      <c r="A61" s="3664" t="s">
        <v>2223</v>
      </c>
      <c r="B61" s="3664"/>
      <c r="C61" s="3664"/>
      <c r="D61" s="3664"/>
      <c r="E61" s="3664"/>
      <c r="F61" s="2460"/>
      <c r="G61" s="2460"/>
      <c r="H61" s="2468"/>
      <c r="I61" s="138"/>
      <c r="J61" s="1789">
        <f>J59+1</f>
        <v>6</v>
      </c>
      <c r="K61" s="3604" t="s">
        <v>2224</v>
      </c>
      <c r="L61" s="3604"/>
      <c r="M61" s="1741"/>
      <c r="N61" s="1742">
        <f ca="1">ROUND(N59*10000/'数据-汇总表'!E3,0)</f>
        <v>30887</v>
      </c>
      <c r="O61" s="2469"/>
    </row>
    <row r="62" spans="1:35" ht="12.75">
      <c r="A62" s="3624" t="s">
        <v>2225</v>
      </c>
      <c r="B62" s="3625"/>
      <c r="C62" s="1781"/>
      <c r="D62" s="1781" t="s">
        <v>2226</v>
      </c>
      <c r="E62" s="192" t="s">
        <v>2227</v>
      </c>
      <c r="F62" s="2460"/>
      <c r="G62" s="2460"/>
      <c r="H62" s="2468"/>
      <c r="I62" s="138"/>
    </row>
    <row r="63" spans="1:35" ht="12.75">
      <c r="A63" s="203" t="s">
        <v>775</v>
      </c>
      <c r="B63" s="193" t="s">
        <v>2228</v>
      </c>
      <c r="C63" s="194">
        <f ca="1">ROUND((C64+C65)/(1+'数据-取费表'!C42),0)</f>
        <v>166866</v>
      </c>
      <c r="D63" s="195"/>
      <c r="E63" s="196"/>
      <c r="F63" s="2460"/>
      <c r="G63" s="2460"/>
      <c r="H63" s="2468"/>
      <c r="I63" s="138"/>
      <c r="J63" s="3595" t="s">
        <v>2229</v>
      </c>
      <c r="K63" s="2470" t="s">
        <v>2230</v>
      </c>
      <c r="L63" s="1729">
        <f ca="1">IF(M49&gt;10000,M49*0.5%,IF(AND(M49&gt;1000,M49&lt;=10000),M49*1%,IF(AND(M49&gt;100,M49&lt;=1000),M49*3%,IF(AND(M49&gt;10,M49&lt;=100),M49*5%,M49*8%))))</f>
        <v>876.04500000000007</v>
      </c>
      <c r="M63" s="24">
        <f ca="1">ROUND(L63,1)</f>
        <v>876</v>
      </c>
      <c r="Z63" s="2394"/>
      <c r="AI63" s="2395"/>
    </row>
    <row r="64" spans="1:35" ht="14.25" customHeight="1">
      <c r="A64" s="197" t="s">
        <v>770</v>
      </c>
      <c r="B64" s="198" t="s">
        <v>2231</v>
      </c>
      <c r="C64" s="199">
        <f ca="1">D45</f>
        <v>175209</v>
      </c>
      <c r="D64" s="200" t="s">
        <v>32</v>
      </c>
      <c r="E64" s="201"/>
      <c r="F64" s="2460"/>
      <c r="G64" s="2460"/>
      <c r="H64" s="2468"/>
      <c r="I64" s="138"/>
      <c r="J64" s="3595"/>
      <c r="K64" s="2470" t="s">
        <v>2232</v>
      </c>
      <c r="L64" s="1729">
        <f ca="1">IF(M49&gt;2000,M49*0.5%,IF(AND(M49&gt;1000,M49&lt;=2000),M49*0.6%,IF(AND(M49&gt;500,M49&lt;=1000),M49*0.7%,IF(AND(M49&gt;200,M49&lt;=500),M49*0.8%,IF(AND(M49&gt;100,M49&lt;=200),M49*0.9%,IF(AND(M49&gt;50,M49&lt;=100),M49*1%,IF(AND(M49&gt;20,M49&lt;=50),M49*1.5%,IF(AND(M49&gt;10,M49&lt;=20),M49*2%,IF(AND(M49&gt;1,M49&lt;=10),M49*2.5%)))))))))</f>
        <v>876.04500000000007</v>
      </c>
      <c r="M64" s="24">
        <f t="shared" ref="M64:M65" ca="1" si="1">ROUND(L64,1)</f>
        <v>876</v>
      </c>
      <c r="N64" s="138" t="s">
        <v>2233</v>
      </c>
      <c r="Z64" s="2394"/>
      <c r="AI64" s="2395"/>
    </row>
    <row r="65" spans="1:35" ht="14.25" customHeight="1">
      <c r="A65" s="197" t="s">
        <v>771</v>
      </c>
      <c r="B65" s="198" t="s">
        <v>2234</v>
      </c>
      <c r="C65" s="202"/>
      <c r="D65" s="200"/>
      <c r="E65" s="201"/>
      <c r="F65" s="2460"/>
      <c r="G65" s="2460"/>
      <c r="H65" s="2468"/>
      <c r="I65" s="138"/>
      <c r="J65" s="3595"/>
      <c r="K65" s="2470" t="s">
        <v>2235</v>
      </c>
      <c r="L65" s="1729">
        <f ca="1">IF(M49&gt;1000,M49*0.1%,IF(AND(M49&gt;500,M49&lt;=1000),M49*0.5%,IF(AND(M49&gt;50,M49&lt;=500),M49*1%,IF(AND(M49&gt;1,M49&lt;=50),M49*1.5%))))</f>
        <v>175.209</v>
      </c>
      <c r="M65" s="24">
        <f t="shared" ca="1" si="1"/>
        <v>175.2</v>
      </c>
      <c r="N65" s="138" t="s">
        <v>2233</v>
      </c>
      <c r="Z65" s="2394"/>
      <c r="AI65" s="2395"/>
    </row>
    <row r="66" spans="1:35" ht="14.25" customHeight="1">
      <c r="A66" s="203" t="s">
        <v>772</v>
      </c>
      <c r="B66" s="204" t="s">
        <v>2236</v>
      </c>
      <c r="C66" s="205"/>
      <c r="D66" s="206" t="s">
        <v>32</v>
      </c>
      <c r="E66" s="1753" t="s">
        <v>1360</v>
      </c>
      <c r="F66" s="2460"/>
      <c r="G66" s="2460"/>
      <c r="H66" s="2468"/>
      <c r="I66" s="138"/>
      <c r="J66" s="3595"/>
      <c r="K66" s="2470" t="s">
        <v>2237</v>
      </c>
      <c r="L66" s="1729">
        <f ca="1">M49*0.5%</f>
        <v>876.04500000000007</v>
      </c>
      <c r="M66" s="24">
        <f ca="1">IF(L66&gt;0.5,0.5,ROUND(L66,0))</f>
        <v>0.5</v>
      </c>
      <c r="N66" s="138" t="s">
        <v>2238</v>
      </c>
      <c r="Z66" s="2394"/>
      <c r="AI66" s="2395"/>
    </row>
    <row r="67" spans="1:35" ht="14.25" customHeight="1">
      <c r="A67" s="203" t="s">
        <v>773</v>
      </c>
      <c r="B67" s="204" t="s">
        <v>2239</v>
      </c>
      <c r="C67" s="207">
        <f ca="1">C63-C66</f>
        <v>166866</v>
      </c>
      <c r="D67" s="200" t="s">
        <v>32</v>
      </c>
      <c r="E67" s="201"/>
      <c r="F67" s="2460"/>
      <c r="G67" s="2460"/>
      <c r="H67" s="2468"/>
      <c r="I67" s="138"/>
      <c r="J67" s="3595"/>
      <c r="K67" s="2470" t="s">
        <v>2240</v>
      </c>
      <c r="L67" s="1729">
        <f ca="1">IF(M49&gt;=10000,(8.25+(M49-10000)*0.01%),IF(AND(M49&gt;=8000,M49&lt;10000),(7.85+(M49-8000)*0.02%),IF(AND(M49&gt;=5000,M49&lt;8000),(6.65+(M49-5000)*0.04%),IF(AND(M49&gt;=2000,M49&lt;5000),(4.25+(PM49-2000)*0.08%),IF(AND(M49&gt;=1000,M49&lt;2000),(2.75+(M49-1000)*0.15%),IF(AND(M49&gt;=100,M49&lt;1000),(0.5+(M49-100)*0.25%),IF(AND(M49&gt;0,M49&lt;100),M49*0.5%)))))))</f>
        <v>24.770900000000001</v>
      </c>
      <c r="M67" s="24">
        <f ca="1">ROUND(L67*0.9,1)</f>
        <v>22.3</v>
      </c>
      <c r="Z67" s="2394"/>
      <c r="AI67" s="2395"/>
    </row>
    <row r="68" spans="1:35" ht="14.25" customHeight="1" thickBot="1">
      <c r="A68" s="208" t="s">
        <v>774</v>
      </c>
      <c r="B68" s="209" t="s">
        <v>2241</v>
      </c>
      <c r="C68" s="210">
        <f ca="1">IF(C67&lt;=0,0,ROUND(C67*D68,0))</f>
        <v>9344</v>
      </c>
      <c r="D68" s="211">
        <f>'数据-取费表'!B41</f>
        <v>5.6000000000000001E-2</v>
      </c>
      <c r="E68" s="212"/>
      <c r="F68" s="2460"/>
      <c r="G68" s="2460"/>
      <c r="H68" s="2468"/>
      <c r="I68" s="138"/>
      <c r="J68" s="3595"/>
      <c r="K68" s="2470" t="s">
        <v>2242</v>
      </c>
      <c r="L68" s="1729">
        <f ca="1">IF(M49&gt;10000,M49*0.5%,IF(AND(M49&gt;5000,M49&lt;=10000),M49*1%,IF(AND(M49&gt;1000,M49&lt;=5000),M49*2%,IF(AND(M49&gt;200,M49&lt;=1000),M49*3%,M49*5%))))</f>
        <v>876.04500000000007</v>
      </c>
      <c r="M68" s="24">
        <f ca="1">ROUND(L68,1)</f>
        <v>876</v>
      </c>
      <c r="Z68" s="2394"/>
      <c r="AI68" s="2395"/>
    </row>
    <row r="69" spans="1:35" s="2417" customFormat="1" ht="16.5" customHeight="1">
      <c r="A69" s="2471"/>
      <c r="B69" s="2472"/>
      <c r="C69" s="2473"/>
      <c r="D69" s="2474"/>
      <c r="E69" s="2475"/>
      <c r="F69" s="2141"/>
      <c r="G69" s="2141"/>
      <c r="H69" s="2140"/>
      <c r="I69" s="2389"/>
      <c r="J69" s="3595"/>
      <c r="K69" s="2470" t="s">
        <v>2243</v>
      </c>
      <c r="L69" s="2476"/>
      <c r="M69" s="24">
        <f ca="1">ROUND(SUM(M63:M68),0)</f>
        <v>2826</v>
      </c>
      <c r="N69" s="1730">
        <f ca="1">M69/M49</f>
        <v>1.6129308425937024E-2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24" t="s">
        <v>2225</v>
      </c>
      <c r="B71" s="3625"/>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166866</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1001</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1001</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f ca="1">C72-C73</f>
        <v>165865</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165.69930069930069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99169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24" t="s">
        <v>2225</v>
      </c>
      <c r="B84" s="3625"/>
      <c r="C84" s="1781"/>
      <c r="D84" s="1781" t="s">
        <v>2226</v>
      </c>
      <c r="E84" s="213" t="s">
        <v>2227</v>
      </c>
      <c r="F84" s="214"/>
      <c r="G84" s="214"/>
      <c r="H84" s="233"/>
      <c r="I84" s="2483"/>
      <c r="J84" s="2479"/>
      <c r="K84" s="3460" t="s">
        <v>3754</v>
      </c>
      <c r="L84" s="2479">
        <v>10406.48</v>
      </c>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166866</v>
      </c>
      <c r="D85" s="200" t="s">
        <v>32</v>
      </c>
      <c r="E85" s="1780"/>
      <c r="F85" s="1774"/>
      <c r="G85" s="1774"/>
      <c r="H85" s="234"/>
      <c r="I85" s="2483"/>
      <c r="J85" s="2479"/>
      <c r="K85" s="3460" t="s">
        <v>3760</v>
      </c>
      <c r="L85" s="2479">
        <v>90254.85</v>
      </c>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82895.87</v>
      </c>
      <c r="D86" s="235"/>
      <c r="E86" s="1780"/>
      <c r="F86" s="1774"/>
      <c r="G86" s="1774"/>
      <c r="H86" s="234"/>
      <c r="I86" s="2483"/>
      <c r="J86" s="2479"/>
      <c r="K86" s="3458"/>
      <c r="L86" s="3462" t="s">
        <v>3758</v>
      </c>
      <c r="M86" s="3462" t="s">
        <v>3761</v>
      </c>
      <c r="N86" s="3462" t="s">
        <v>3760</v>
      </c>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6690.11</v>
      </c>
      <c r="D87" s="226"/>
      <c r="E87" s="1776"/>
      <c r="F87" s="1777"/>
      <c r="G87" s="1777"/>
      <c r="H87" s="1779"/>
      <c r="I87" s="2483"/>
      <c r="J87" s="2479"/>
      <c r="K87" s="3458" t="s">
        <v>3755</v>
      </c>
      <c r="L87" s="3458">
        <f>结果表汇总!B30</f>
        <v>17659.829999999998</v>
      </c>
      <c r="M87" s="3458">
        <f>ROUND(L87/$L$90*$L$84,2)</f>
        <v>2042.23</v>
      </c>
      <c r="N87" s="3458">
        <f>ROUND(L87/$L$90*$L$85,2)</f>
        <v>17712.150000000001</v>
      </c>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2.6" customHeight="1">
      <c r="A88" s="217" t="s">
        <v>776</v>
      </c>
      <c r="B88" s="198" t="s">
        <v>2264</v>
      </c>
      <c r="C88" s="236">
        <f>M89</f>
        <v>6492.11</v>
      </c>
      <c r="D88" s="226"/>
      <c r="E88" s="237" t="s">
        <v>2265</v>
      </c>
      <c r="F88" s="1777"/>
      <c r="G88" s="238" t="s">
        <v>2266</v>
      </c>
      <c r="H88" s="2488" t="s">
        <v>3674</v>
      </c>
      <c r="I88" s="2483"/>
      <c r="J88" s="2479"/>
      <c r="K88" s="3458" t="s">
        <v>3756</v>
      </c>
      <c r="L88" s="3458">
        <f>结果表汇总!B31</f>
        <v>16188.979999999998</v>
      </c>
      <c r="M88" s="3458">
        <f>ROUND(L88/$L$90*$L$84,2)</f>
        <v>1872.14</v>
      </c>
      <c r="N88" s="3458">
        <f>ROUND(L88/$L$90*$L$85,2)</f>
        <v>16236.94</v>
      </c>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198</v>
      </c>
      <c r="D89" s="226">
        <f>'数据-取费表'!B48+'数据-取费表'!B49</f>
        <v>3.0499999999999999E-2</v>
      </c>
      <c r="E89" s="237" t="s">
        <v>2267</v>
      </c>
      <c r="F89" s="1777"/>
      <c r="G89" s="1777"/>
      <c r="H89" s="1779"/>
      <c r="I89" s="2483"/>
      <c r="J89" s="2479"/>
      <c r="K89" s="3458" t="s">
        <v>3757</v>
      </c>
      <c r="L89" s="3458">
        <f>结果表汇总!B32</f>
        <v>56139.43</v>
      </c>
      <c r="M89" s="3458">
        <f>L84-M87-M88</f>
        <v>6492.11</v>
      </c>
      <c r="N89" s="3458">
        <f>L85-N88-N87</f>
        <v>56305.760000000002</v>
      </c>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3462" t="s">
        <v>3759</v>
      </c>
      <c r="L90" s="3458">
        <f>SUM(L87:L89)</f>
        <v>89988.239999999991</v>
      </c>
      <c r="M90" s="3458">
        <f>SUM(M87:M89)</f>
        <v>10406.48</v>
      </c>
      <c r="N90" s="3458">
        <f>SUM(N87:N89)</f>
        <v>90254.85</v>
      </c>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56305.760000000002</v>
      </c>
      <c r="D91" s="226"/>
      <c r="E91" s="3621" t="s">
        <v>2271</v>
      </c>
      <c r="F91" s="3622"/>
      <c r="G91" s="3622"/>
      <c r="H91" s="3423" t="s">
        <v>3694</v>
      </c>
      <c r="I91" s="2490">
        <f>N89</f>
        <v>56305.760000000002</v>
      </c>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6300</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1001</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12599</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f ca="1">ROUND(C85-C86,0)</f>
        <v>83970</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1.0129575816020751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29551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成本法</v>
      </c>
      <c r="D101" s="733" t="str">
        <f>D4</f>
        <v>收益法商（汇总）</v>
      </c>
      <c r="E101" s="3591" t="s">
        <v>2284</v>
      </c>
      <c r="F101" s="3592"/>
      <c r="G101" s="2491" t="s">
        <v>2285</v>
      </c>
      <c r="H101" s="1035">
        <f ca="1">H118</f>
        <v>167313</v>
      </c>
      <c r="I101" s="138"/>
    </row>
    <row r="102" spans="1:35" ht="18.75" customHeight="1">
      <c r="A102" s="3615" t="s">
        <v>2286</v>
      </c>
      <c r="B102" s="2491" t="s">
        <v>2285</v>
      </c>
      <c r="C102" s="732">
        <f ca="1">C19</f>
        <v>212668</v>
      </c>
      <c r="D102" s="733">
        <f ca="1">D19</f>
        <v>130205</v>
      </c>
      <c r="E102" s="3591"/>
      <c r="F102" s="3592"/>
      <c r="G102" s="2491" t="s">
        <v>2287</v>
      </c>
      <c r="H102" s="371">
        <f ca="1">I118</f>
        <v>37936</v>
      </c>
      <c r="I102" s="138"/>
    </row>
    <row r="103" spans="1:35" ht="42.75" customHeight="1">
      <c r="A103" s="3615"/>
      <c r="B103" s="2491" t="s">
        <v>2287</v>
      </c>
      <c r="C103" s="734">
        <f ca="1">C20</f>
        <v>48219</v>
      </c>
      <c r="D103" s="735">
        <f ca="1">D20</f>
        <v>29522</v>
      </c>
      <c r="E103" s="3585" t="s">
        <v>2288</v>
      </c>
      <c r="F103" s="3586"/>
      <c r="G103" s="2492" t="s">
        <v>2289</v>
      </c>
      <c r="H103" s="1035">
        <f>IF(D36="正常操作",H104+H105+H106,H105+H106)</f>
        <v>0</v>
      </c>
      <c r="I103" s="138"/>
    </row>
    <row r="104" spans="1:35" ht="18.75" customHeight="1">
      <c r="A104" s="3615" t="s">
        <v>2290</v>
      </c>
      <c r="B104" s="2493" t="s">
        <v>2285</v>
      </c>
      <c r="C104" s="736">
        <f ca="1">H118</f>
        <v>167313</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f ca="1">I118</f>
        <v>37936</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f ca="1">IF(E107="——","——",H101-H103)</f>
        <v>167313</v>
      </c>
      <c r="I107" s="138"/>
    </row>
    <row r="108" spans="1:35" ht="18.75" customHeight="1">
      <c r="A108" s="138"/>
      <c r="B108" s="138"/>
      <c r="C108" s="138"/>
      <c r="D108" s="138"/>
      <c r="E108" s="3616"/>
      <c r="F108" s="3592"/>
      <c r="G108" s="2491" t="s">
        <v>2287</v>
      </c>
      <c r="H108" s="371">
        <f ca="1">ROUND(H107*10000/'数据-汇总表'!E3,0)</f>
        <v>37936</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2300</v>
      </c>
      <c r="G116" s="3527"/>
      <c r="H116" s="3521" t="s">
        <v>2301</v>
      </c>
      <c r="I116" s="3521"/>
    </row>
    <row r="117" spans="1:11" ht="18.75" customHeight="1">
      <c r="A117" s="3521"/>
      <c r="B117" s="3523"/>
      <c r="C117" s="3523"/>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44104.409999999996</v>
      </c>
      <c r="C118" s="1775">
        <f>M19</f>
        <v>10126.19</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167313</v>
      </c>
      <c r="I118" s="1775">
        <f ca="1">ROUND(IF(D32="楼面单价",C32,H118*10000/B118),0)</f>
        <v>37936</v>
      </c>
    </row>
    <row r="119" spans="1:11" ht="18.75" customHeight="1">
      <c r="A119" s="3521" t="s">
        <v>2305</v>
      </c>
      <c r="B119" s="3521"/>
      <c r="C119" s="3521"/>
      <c r="D119" s="3516" t="e">
        <f ca="1">NUMBERSTRING(INT(D118*10000),2)&amp;"元整"</f>
        <v>#REF!</v>
      </c>
      <c r="E119" s="3517"/>
      <c r="F119" s="3516" t="e">
        <f ca="1">NUMBERSTRING(INT(F118*10000),2)&amp;"元整"</f>
        <v>#REF!</v>
      </c>
      <c r="G119" s="3517"/>
      <c r="H119" s="3516" t="str">
        <f ca="1">NUMBERSTRING(INT(H118*10000),2)&amp;"元整"</f>
        <v>壹拾陆亿柒仟叁佰壹拾叁万元整</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f ca="1">H107</f>
        <v>167313</v>
      </c>
      <c r="E122" s="3599"/>
      <c r="F122" s="3599"/>
      <c r="G122" s="3599"/>
      <c r="H122" s="3599"/>
      <c r="I122" s="3600"/>
    </row>
    <row r="123" spans="1:11" ht="18.75" customHeight="1">
      <c r="A123" s="3521" t="s">
        <v>2305</v>
      </c>
      <c r="B123" s="3521"/>
      <c r="C123" s="3521"/>
      <c r="D123" s="3516" t="str">
        <f ca="1">NUMBERSTRING(INT(D122*10000),2)&amp;"元整"</f>
        <v>壹拾陆亿柒仟叁佰壹拾叁万元整</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7" priority="23" stopIfTrue="1" operator="equal">
      <formula>25</formula>
    </cfRule>
  </conditionalFormatting>
  <conditionalFormatting sqref="C8:C9">
    <cfRule type="cellIs" dxfId="206" priority="21" stopIfTrue="1" operator="equal">
      <formula>15</formula>
    </cfRule>
  </conditionalFormatting>
  <conditionalFormatting sqref="D5:D7">
    <cfRule type="cellIs" dxfId="205" priority="12" stopIfTrue="1" operator="equal">
      <formula>25</formula>
    </cfRule>
  </conditionalFormatting>
  <conditionalFormatting sqref="D8:D9">
    <cfRule type="cellIs" dxfId="204" priority="11" stopIfTrue="1" operator="equal">
      <formula>15</formula>
    </cfRule>
  </conditionalFormatting>
  <conditionalFormatting sqref="C10:D13">
    <cfRule type="cellIs" dxfId="203" priority="10" stopIfTrue="1" operator="equal">
      <formula>15</formula>
    </cfRule>
  </conditionalFormatting>
  <conditionalFormatting sqref="C90">
    <cfRule type="expression" dxfId="202" priority="5" stopIfTrue="1">
      <formula>$H$88&lt;&gt;"仅含出让金"</formula>
    </cfRule>
  </conditionalFormatting>
  <conditionalFormatting sqref="C91">
    <cfRule type="expression" dxfId="201" priority="4" stopIfTrue="1">
      <formula>$H$91="由企业提供"</formula>
    </cfRule>
  </conditionalFormatting>
  <conditionalFormatting sqref="E36">
    <cfRule type="expression" dxfId="200" priority="3" stopIfTrue="1">
      <formula>$D$36="同一抵押权人同一抵押物续贷"</formula>
    </cfRule>
  </conditionalFormatting>
  <conditionalFormatting sqref="C14:C16">
    <cfRule type="cellIs" dxfId="199" priority="2" stopIfTrue="1" operator="equal">
      <formula>30</formula>
    </cfRule>
  </conditionalFormatting>
  <conditionalFormatting sqref="D14:D16">
    <cfRule type="cellIs" dxfId="198"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2" zoomScale="80" zoomScaleNormal="80" workbookViewId="0">
      <selection activeCell="A63" sqref="A63:XFD63"/>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3445</v>
      </c>
      <c r="B1" s="3029"/>
      <c r="C1" s="3371" t="s">
        <v>3446</v>
      </c>
      <c r="D1" s="3030"/>
      <c r="E1" s="3030"/>
      <c r="F1" s="3031" t="s">
        <v>3447</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3448</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3449</v>
      </c>
      <c r="B3" s="3046" t="e">
        <f>ROUND(IF(D3="",B2*10000/'[1]数据-汇总表'!E3,B2*10000/D3),0)</f>
        <v>#VALUE!</v>
      </c>
      <c r="C3" s="3373" t="s">
        <v>3450</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3451</v>
      </c>
      <c r="B4" s="3051"/>
      <c r="C4" s="3672" t="s">
        <v>3452</v>
      </c>
      <c r="D4" s="3673"/>
      <c r="E4" s="3674" t="s">
        <v>3453</v>
      </c>
      <c r="F4" s="3675"/>
      <c r="G4" s="3672" t="s">
        <v>3454</v>
      </c>
      <c r="H4" s="3673"/>
      <c r="I4" s="3672" t="s">
        <v>3455</v>
      </c>
      <c r="J4" s="3673"/>
      <c r="K4" s="3052" t="s">
        <v>3456</v>
      </c>
      <c r="L4" s="3053"/>
      <c r="M4" s="3054"/>
      <c r="N4" s="3054"/>
      <c r="O4" s="3054"/>
      <c r="P4" s="3676" t="s">
        <v>3457</v>
      </c>
      <c r="Q4" s="3677"/>
      <c r="R4" s="3682" t="s">
        <v>3453</v>
      </c>
      <c r="S4" s="3683"/>
      <c r="T4" s="3682" t="s">
        <v>3454</v>
      </c>
      <c r="U4" s="3683"/>
      <c r="V4" s="3696" t="s">
        <v>3455</v>
      </c>
      <c r="W4" s="3696"/>
      <c r="X4" s="3055"/>
      <c r="Y4" s="3682" t="s">
        <v>3457</v>
      </c>
      <c r="Z4" s="3683"/>
      <c r="AA4" s="3669" t="s">
        <v>3453</v>
      </c>
      <c r="AB4" s="3670" t="s">
        <v>3454</v>
      </c>
      <c r="AC4" s="3669" t="s">
        <v>3455</v>
      </c>
    </row>
    <row r="5" spans="1:30" ht="15">
      <c r="A5" s="3057"/>
      <c r="B5" s="3058"/>
      <c r="C5" s="3686" t="s">
        <v>3458</v>
      </c>
      <c r="D5" s="3687"/>
      <c r="E5" s="3688" t="str">
        <f>土地案例!A3</f>
        <v>朝阳区金盏乡楼梓庄村1113-602地块</v>
      </c>
      <c r="F5" s="3689"/>
      <c r="G5" s="3688" t="str">
        <f>土地案例!A5</f>
        <v>朝阳区金盏乡楼梓庄村1113-603地块</v>
      </c>
      <c r="H5" s="3689"/>
      <c r="I5" s="3688" t="str">
        <f>土地案例!A6</f>
        <v>朝阳区金盏乡楼梓庄村1113-604地块</v>
      </c>
      <c r="J5" s="3689"/>
      <c r="K5" s="3052"/>
      <c r="L5" s="3053"/>
      <c r="M5" s="3054"/>
      <c r="N5" s="3054"/>
      <c r="O5" s="3054"/>
      <c r="P5" s="3678"/>
      <c r="Q5" s="3679"/>
      <c r="R5" s="3684"/>
      <c r="S5" s="3685"/>
      <c r="T5" s="3684"/>
      <c r="U5" s="3685"/>
      <c r="V5" s="3696"/>
      <c r="W5" s="3696"/>
      <c r="X5" s="3055"/>
      <c r="Y5" s="3684"/>
      <c r="Z5" s="3685"/>
      <c r="AA5" s="3670"/>
      <c r="AB5" s="3670"/>
      <c r="AC5" s="3670"/>
    </row>
    <row r="6" spans="1:30" ht="15.75" thickBot="1">
      <c r="A6" s="3059"/>
      <c r="B6" s="3060"/>
      <c r="C6" s="3690" t="s">
        <v>3459</v>
      </c>
      <c r="D6" s="3691"/>
      <c r="E6" s="3692" t="s">
        <v>3459</v>
      </c>
      <c r="F6" s="3693"/>
      <c r="G6" s="3690" t="s">
        <v>3459</v>
      </c>
      <c r="H6" s="3691"/>
      <c r="I6" s="3690" t="s">
        <v>3459</v>
      </c>
      <c r="J6" s="3691"/>
      <c r="K6" s="3052" t="s">
        <v>3460</v>
      </c>
      <c r="L6" s="3053"/>
      <c r="M6" s="3054"/>
      <c r="N6" s="3054"/>
      <c r="O6" s="3054"/>
      <c r="P6" s="3680"/>
      <c r="Q6" s="3681"/>
      <c r="R6" s="3684"/>
      <c r="S6" s="3685"/>
      <c r="T6" s="3694"/>
      <c r="U6" s="3695"/>
      <c r="V6" s="3696"/>
      <c r="W6" s="3696"/>
      <c r="X6" s="3055"/>
      <c r="Y6" s="3694"/>
      <c r="Z6" s="3695"/>
      <c r="AA6" s="3671"/>
      <c r="AB6" s="3671"/>
      <c r="AC6" s="3671"/>
    </row>
    <row r="7" spans="1:30" s="3074" customFormat="1" ht="15.75" thickBot="1">
      <c r="A7" s="3061" t="s">
        <v>3461</v>
      </c>
      <c r="B7" s="3062"/>
      <c r="C7" s="3415">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97" t="s">
        <v>3462</v>
      </c>
      <c r="Q7" s="3698"/>
      <c r="R7" s="3070" t="s">
        <v>3463</v>
      </c>
      <c r="S7" s="3071">
        <f t="shared" ref="S7:S15" si="0">F7</f>
        <v>98.5</v>
      </c>
      <c r="T7" s="3070" t="s">
        <v>3463</v>
      </c>
      <c r="U7" s="3071">
        <f t="shared" ref="U7:U15" si="1">H7</f>
        <v>98.5</v>
      </c>
      <c r="V7" s="3070" t="s">
        <v>3463</v>
      </c>
      <c r="W7" s="3071">
        <f t="shared" ref="W7:W15" si="2">J7</f>
        <v>98.5</v>
      </c>
      <c r="X7" s="3072"/>
      <c r="Y7" s="3697" t="s">
        <v>3462</v>
      </c>
      <c r="Z7" s="3699"/>
      <c r="AA7" s="3073">
        <f>D7/F7</f>
        <v>1.015228426395939</v>
      </c>
      <c r="AB7" s="3073">
        <f>D7/H7</f>
        <v>1.015228426395939</v>
      </c>
      <c r="AC7" s="3073">
        <f>D7/J7</f>
        <v>1.015228426395939</v>
      </c>
    </row>
    <row r="8" spans="1:30" s="3074" customFormat="1" ht="15.75" thickBot="1">
      <c r="A8" s="3061" t="s">
        <v>3464</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97" t="s">
        <v>2540</v>
      </c>
      <c r="Q8" s="3699"/>
      <c r="R8" s="3070" t="s">
        <v>3465</v>
      </c>
      <c r="S8" s="3071">
        <f t="shared" si="0"/>
        <v>100</v>
      </c>
      <c r="T8" s="3070" t="s">
        <v>3465</v>
      </c>
      <c r="U8" s="3071">
        <f t="shared" si="1"/>
        <v>100</v>
      </c>
      <c r="V8" s="3070" t="s">
        <v>3465</v>
      </c>
      <c r="W8" s="3071">
        <f t="shared" si="2"/>
        <v>100</v>
      </c>
      <c r="X8" s="3072"/>
      <c r="Y8" s="3697" t="s">
        <v>2540</v>
      </c>
      <c r="Z8" s="3699"/>
      <c r="AA8" s="3073">
        <f t="shared" ref="AA8:AA45" si="3">D8/F8</f>
        <v>1</v>
      </c>
      <c r="AB8" s="3073">
        <f t="shared" ref="AB8:AB45" si="4">D8/H8</f>
        <v>1</v>
      </c>
      <c r="AC8" s="3073">
        <f t="shared" ref="AC8:AC45" si="5">D8/J8</f>
        <v>1</v>
      </c>
    </row>
    <row r="9" spans="1:30" s="3074" customFormat="1">
      <c r="A9" s="3076" t="s">
        <v>3466</v>
      </c>
      <c r="B9" s="3077" t="s">
        <v>3467</v>
      </c>
      <c r="C9" s="3078" t="s">
        <v>3468</v>
      </c>
      <c r="D9" s="3079">
        <v>100</v>
      </c>
      <c r="E9" s="3078" t="s">
        <v>3468</v>
      </c>
      <c r="F9" s="3079">
        <f>SUMIF(75:75,E9,76:76)-SUMIF(75:75,C9,76:76)+100</f>
        <v>100</v>
      </c>
      <c r="G9" s="3078" t="s">
        <v>3468</v>
      </c>
      <c r="H9" s="3079">
        <f>SUMIF(75:75,G9,76:76)-SUMIF(75:75,C9,76:76)+100</f>
        <v>100</v>
      </c>
      <c r="I9" s="3078" t="s">
        <v>3468</v>
      </c>
      <c r="J9" s="3079">
        <f>SUMIF(75:75,I9,76:76)-SUMIF(75:75,C9,76:76)+100</f>
        <v>100</v>
      </c>
      <c r="K9" s="3067"/>
      <c r="L9" s="3068"/>
      <c r="M9" s="3069"/>
      <c r="N9" s="3069"/>
      <c r="O9" s="3080"/>
      <c r="P9" s="3700" t="s">
        <v>3469</v>
      </c>
      <c r="Q9" s="3081" t="str">
        <f t="shared" ref="Q9:Q15" si="6">B9</f>
        <v>用途</v>
      </c>
      <c r="R9" s="3070" t="s">
        <v>3465</v>
      </c>
      <c r="S9" s="3071">
        <f t="shared" si="0"/>
        <v>100</v>
      </c>
      <c r="T9" s="3070" t="s">
        <v>3465</v>
      </c>
      <c r="U9" s="3071">
        <f t="shared" si="1"/>
        <v>100</v>
      </c>
      <c r="V9" s="3070" t="s">
        <v>3465</v>
      </c>
      <c r="W9" s="3071">
        <f t="shared" si="2"/>
        <v>100</v>
      </c>
      <c r="X9" s="3072"/>
      <c r="Y9" s="3701" t="s">
        <v>3470</v>
      </c>
      <c r="Z9" s="3082" t="str">
        <f t="shared" ref="Z9:Z15" si="7">Q9</f>
        <v>用途</v>
      </c>
      <c r="AA9" s="3073">
        <f t="shared" si="3"/>
        <v>1</v>
      </c>
      <c r="AB9" s="3073">
        <f t="shared" si="4"/>
        <v>1</v>
      </c>
      <c r="AC9" s="3073">
        <f t="shared" si="5"/>
        <v>1</v>
      </c>
    </row>
    <row r="10" spans="1:30" s="3093" customFormat="1" ht="28.5">
      <c r="A10" s="3083"/>
      <c r="B10" s="3084" t="s">
        <v>2545</v>
      </c>
      <c r="C10" s="3085" t="s">
        <v>3471</v>
      </c>
      <c r="D10" s="3086">
        <v>100</v>
      </c>
      <c r="E10" s="3087" t="s">
        <v>3472</v>
      </c>
      <c r="F10" s="3086">
        <f>ROUND(100/'[1]数据-取费表'!G16,0)</f>
        <v>105</v>
      </c>
      <c r="G10" s="3088" t="s">
        <v>3472</v>
      </c>
      <c r="H10" s="3086">
        <f>ROUND(100/'[1]数据-取费表'!G16,0)</f>
        <v>105</v>
      </c>
      <c r="I10" s="3088" t="s">
        <v>3472</v>
      </c>
      <c r="J10" s="3086">
        <f>ROUND(100/'[1]数据-取费表'!G16,0)</f>
        <v>105</v>
      </c>
      <c r="K10" s="3089"/>
      <c r="L10" s="3090"/>
      <c r="M10" s="3091"/>
      <c r="N10" s="3091"/>
      <c r="O10" s="3092"/>
      <c r="P10" s="3700"/>
      <c r="Q10" s="3081" t="str">
        <f t="shared" si="6"/>
        <v>土地使用年限（年）</v>
      </c>
      <c r="R10" s="3070" t="s">
        <v>3465</v>
      </c>
      <c r="S10" s="3071">
        <f t="shared" si="0"/>
        <v>105</v>
      </c>
      <c r="T10" s="3070" t="s">
        <v>3465</v>
      </c>
      <c r="U10" s="3071">
        <f t="shared" si="1"/>
        <v>105</v>
      </c>
      <c r="V10" s="3070" t="s">
        <v>3465</v>
      </c>
      <c r="W10" s="3071">
        <f t="shared" si="2"/>
        <v>105</v>
      </c>
      <c r="X10" s="3072"/>
      <c r="Y10" s="3701"/>
      <c r="Z10" s="3082" t="str">
        <f t="shared" si="7"/>
        <v>土地使用年限（年）</v>
      </c>
      <c r="AA10" s="3073">
        <f t="shared" si="3"/>
        <v>0.95238095238095233</v>
      </c>
      <c r="AB10" s="3073">
        <f t="shared" si="4"/>
        <v>0.95238095238095233</v>
      </c>
      <c r="AC10" s="3073">
        <f t="shared" si="5"/>
        <v>0.95238095238095233</v>
      </c>
    </row>
    <row r="11" spans="1:30" ht="15">
      <c r="A11" s="3094"/>
      <c r="B11" s="3084" t="s">
        <v>3473</v>
      </c>
      <c r="C11" s="3095">
        <f>'数据-汇总表'!I4</f>
        <v>3.62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700"/>
      <c r="Q11" s="3081" t="str">
        <f t="shared" si="6"/>
        <v>容积率</v>
      </c>
      <c r="R11" s="3070" t="s">
        <v>3463</v>
      </c>
      <c r="S11" s="3071">
        <f t="shared" si="0"/>
        <v>100</v>
      </c>
      <c r="T11" s="3070" t="s">
        <v>3463</v>
      </c>
      <c r="U11" s="3071">
        <f t="shared" si="1"/>
        <v>101</v>
      </c>
      <c r="V11" s="3070" t="s">
        <v>3463</v>
      </c>
      <c r="W11" s="3071">
        <f t="shared" si="2"/>
        <v>101</v>
      </c>
      <c r="X11" s="3072"/>
      <c r="Y11" s="3701"/>
      <c r="Z11" s="3082" t="str">
        <f t="shared" si="7"/>
        <v>容积率</v>
      </c>
      <c r="AA11" s="3073">
        <f t="shared" si="3"/>
        <v>1</v>
      </c>
      <c r="AB11" s="3073">
        <f t="shared" si="4"/>
        <v>0.99009900990099009</v>
      </c>
      <c r="AC11" s="3073">
        <f t="shared" si="5"/>
        <v>0.99009900990099009</v>
      </c>
    </row>
    <row r="12" spans="1:30" s="3074" customFormat="1" ht="15">
      <c r="A12" s="3100"/>
      <c r="B12" s="3101" t="s">
        <v>3474</v>
      </c>
      <c r="C12" s="3102" t="s">
        <v>3475</v>
      </c>
      <c r="D12" s="3103">
        <v>100</v>
      </c>
      <c r="E12" s="3104" t="s">
        <v>3475</v>
      </c>
      <c r="F12" s="3086">
        <f>SUMIF(82:82,E12,83:83)-SUMIF(82:82,C12,83:83)+100</f>
        <v>100</v>
      </c>
      <c r="G12" s="3088" t="s">
        <v>3476</v>
      </c>
      <c r="H12" s="3086">
        <f>SUMIF(82:82,G12,83:83)-SUMIF(82:82,C12,83:83)+100</f>
        <v>95</v>
      </c>
      <c r="I12" s="3087" t="s">
        <v>3476</v>
      </c>
      <c r="J12" s="3086">
        <f>SUMIF(82:82,I12,83:83)-SUMIF(82:82,C12,83:83)+100</f>
        <v>95</v>
      </c>
      <c r="K12" s="3089"/>
      <c r="L12" s="3068"/>
      <c r="M12" s="3069"/>
      <c r="N12" s="3069"/>
      <c r="O12" s="3080"/>
      <c r="P12" s="3700"/>
      <c r="Q12" s="3081" t="str">
        <f t="shared" si="6"/>
        <v>自持</v>
      </c>
      <c r="R12" s="3070" t="s">
        <v>3463</v>
      </c>
      <c r="S12" s="3071">
        <f t="shared" si="0"/>
        <v>100</v>
      </c>
      <c r="T12" s="3070" t="s">
        <v>3463</v>
      </c>
      <c r="U12" s="3071">
        <f t="shared" si="1"/>
        <v>95</v>
      </c>
      <c r="V12" s="3070" t="s">
        <v>3463</v>
      </c>
      <c r="W12" s="3071">
        <f t="shared" si="2"/>
        <v>95</v>
      </c>
      <c r="X12" s="3072"/>
      <c r="Y12" s="3701"/>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700"/>
      <c r="Q13" s="3081">
        <f t="shared" si="6"/>
        <v>0</v>
      </c>
      <c r="R13" s="3070" t="s">
        <v>3463</v>
      </c>
      <c r="S13" s="3071">
        <f t="shared" si="0"/>
        <v>100</v>
      </c>
      <c r="T13" s="3070" t="s">
        <v>3463</v>
      </c>
      <c r="U13" s="3071">
        <f t="shared" si="1"/>
        <v>100</v>
      </c>
      <c r="V13" s="3070" t="s">
        <v>3463</v>
      </c>
      <c r="W13" s="3071">
        <f t="shared" si="2"/>
        <v>100</v>
      </c>
      <c r="X13" s="3072"/>
      <c r="Y13" s="3701"/>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700"/>
      <c r="Q14" s="3081">
        <f t="shared" si="6"/>
        <v>0</v>
      </c>
      <c r="R14" s="3070" t="s">
        <v>3463</v>
      </c>
      <c r="S14" s="3071">
        <f t="shared" si="0"/>
        <v>100</v>
      </c>
      <c r="T14" s="3070" t="s">
        <v>3463</v>
      </c>
      <c r="U14" s="3071">
        <f t="shared" si="1"/>
        <v>100</v>
      </c>
      <c r="V14" s="3070" t="s">
        <v>3463</v>
      </c>
      <c r="W14" s="3071">
        <f t="shared" si="2"/>
        <v>100</v>
      </c>
      <c r="X14" s="3072"/>
      <c r="Y14" s="3701"/>
      <c r="Z14" s="3082">
        <f t="shared" si="7"/>
        <v>0</v>
      </c>
      <c r="AA14" s="3073">
        <f>D14/F14</f>
        <v>1</v>
      </c>
      <c r="AB14" s="3073">
        <f>D14/H14</f>
        <v>1</v>
      </c>
      <c r="AC14" s="3073">
        <f>D14/J14</f>
        <v>1</v>
      </c>
    </row>
    <row r="15" spans="1:30" ht="57" hidden="1">
      <c r="A15" s="3115" t="s">
        <v>3477</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702" t="s">
        <v>3478</v>
      </c>
      <c r="Q15" s="3120" t="str">
        <f t="shared" si="6"/>
        <v>居住社区成熟度</v>
      </c>
      <c r="R15" s="3121" t="s">
        <v>3463</v>
      </c>
      <c r="S15" s="3122">
        <f t="shared" si="0"/>
        <v>100</v>
      </c>
      <c r="T15" s="3121" t="s">
        <v>3463</v>
      </c>
      <c r="U15" s="3122">
        <f t="shared" si="1"/>
        <v>100</v>
      </c>
      <c r="V15" s="3121" t="s">
        <v>3463</v>
      </c>
      <c r="W15" s="3122">
        <f t="shared" si="2"/>
        <v>100</v>
      </c>
      <c r="X15" s="3055"/>
      <c r="Y15" s="3702" t="s">
        <v>3478</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703"/>
      <c r="Q16" s="3120"/>
      <c r="R16" s="3121"/>
      <c r="S16" s="3122"/>
      <c r="T16" s="3121"/>
      <c r="U16" s="3122"/>
      <c r="V16" s="3121"/>
      <c r="W16" s="3122"/>
      <c r="X16" s="3055"/>
      <c r="Y16" s="3703"/>
      <c r="Z16" s="3123"/>
      <c r="AA16" s="3124">
        <v>1</v>
      </c>
      <c r="AB16" s="3124">
        <v>1</v>
      </c>
      <c r="AC16" s="3124">
        <v>1</v>
      </c>
    </row>
    <row r="17" spans="1:29" ht="74.25" customHeight="1">
      <c r="A17" s="3094"/>
      <c r="B17" s="3131" t="s">
        <v>3479</v>
      </c>
      <c r="C17" s="3139" t="str">
        <f>估价对象房地状况!C4</f>
        <v>估价对象位于望京商圈，周边商业氛围较成熟，人流量较大，商业繁华度较好</v>
      </c>
      <c r="D17" s="3129">
        <v>100</v>
      </c>
      <c r="E17" s="3133"/>
      <c r="F17" s="3129">
        <f>SUMIF(90:90,E18,91:91)-SUMIF(90:90,C18,91:91)+100</f>
        <v>97</v>
      </c>
      <c r="G17" s="3133"/>
      <c r="H17" s="3134">
        <f>SUMIF(90:90,G18,91:91)-SUMIF(90:90,C18,91:91)+100</f>
        <v>97</v>
      </c>
      <c r="I17" s="3133"/>
      <c r="J17" s="3134">
        <f>SUMIF(90:90,I18,91:91)-SUMIF(90:90,C18,91:91)+100</f>
        <v>97</v>
      </c>
      <c r="K17" s="3097">
        <v>3</v>
      </c>
      <c r="L17" s="3110"/>
      <c r="M17" s="3054"/>
      <c r="N17" s="3054"/>
      <c r="O17" s="3099"/>
      <c r="P17" s="3703"/>
      <c r="Q17" s="3120" t="str">
        <f>B17</f>
        <v>商业繁华度</v>
      </c>
      <c r="R17" s="3121" t="s">
        <v>3463</v>
      </c>
      <c r="S17" s="3122">
        <f>F17</f>
        <v>97</v>
      </c>
      <c r="T17" s="3121" t="s">
        <v>3463</v>
      </c>
      <c r="U17" s="3122">
        <f>H17</f>
        <v>97</v>
      </c>
      <c r="V17" s="3121" t="s">
        <v>3463</v>
      </c>
      <c r="W17" s="3122">
        <f>J17</f>
        <v>97</v>
      </c>
      <c r="X17" s="3055"/>
      <c r="Y17" s="3703"/>
      <c r="Z17" s="3123" t="str">
        <f>Q17</f>
        <v>商业繁华度</v>
      </c>
      <c r="AA17" s="3124">
        <f t="shared" si="3"/>
        <v>1.0309278350515463</v>
      </c>
      <c r="AB17" s="3124">
        <f t="shared" si="4"/>
        <v>1.0309278350515463</v>
      </c>
      <c r="AC17" s="3124">
        <f t="shared" si="5"/>
        <v>1.0309278350515463</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703"/>
      <c r="Q18" s="3120"/>
      <c r="R18" s="3121"/>
      <c r="S18" s="3122"/>
      <c r="T18" s="3121"/>
      <c r="U18" s="3122"/>
      <c r="V18" s="3121"/>
      <c r="W18" s="3122"/>
      <c r="X18" s="3055"/>
      <c r="Y18" s="3703"/>
      <c r="Z18" s="3123"/>
      <c r="AA18" s="3124">
        <v>1</v>
      </c>
      <c r="AB18" s="3124">
        <v>1</v>
      </c>
      <c r="AC18" s="3124">
        <v>1</v>
      </c>
    </row>
    <row r="19" spans="1:29" ht="72" customHeight="1">
      <c r="A19" s="3094"/>
      <c r="B19" s="3131" t="s">
        <v>3480</v>
      </c>
      <c r="C19" s="3132" t="str">
        <f>估价对象房地状况!C5</f>
        <v>估价对象位于望京商圈，周边办公楼项目较多，入驻率较高，办公集聚程度较好</v>
      </c>
      <c r="D19" s="3134">
        <v>100</v>
      </c>
      <c r="E19" s="3138"/>
      <c r="F19" s="3134">
        <f>SUMIF(92:92,E20,93:93)-SUMIF(92:92,C20,93:93)+100</f>
        <v>97</v>
      </c>
      <c r="G19" s="3138"/>
      <c r="H19" s="3129">
        <f>SUMIF(92:92,G20,93:93)-SUMIF(92:92,C20,93:93)+100</f>
        <v>97</v>
      </c>
      <c r="I19" s="3138"/>
      <c r="J19" s="3129">
        <f>SUMIF(92:92,I20,93:93)-SUMIF(92:92,C20,93:93)+100</f>
        <v>97</v>
      </c>
      <c r="K19" s="3097">
        <v>3</v>
      </c>
      <c r="L19" s="3110"/>
      <c r="M19" s="3054"/>
      <c r="N19" s="3054"/>
      <c r="O19" s="3099"/>
      <c r="P19" s="3703"/>
      <c r="Q19" s="3120" t="str">
        <f>B19</f>
        <v>办公集聚程度</v>
      </c>
      <c r="R19" s="3121" t="s">
        <v>3463</v>
      </c>
      <c r="S19" s="3122">
        <f>F19</f>
        <v>97</v>
      </c>
      <c r="T19" s="3121" t="s">
        <v>3463</v>
      </c>
      <c r="U19" s="3122">
        <f>H19</f>
        <v>97</v>
      </c>
      <c r="V19" s="3121" t="s">
        <v>3463</v>
      </c>
      <c r="W19" s="3122">
        <f>J19</f>
        <v>97</v>
      </c>
      <c r="X19" s="3055"/>
      <c r="Y19" s="3703"/>
      <c r="Z19" s="3123" t="str">
        <f>Q19</f>
        <v>办公集聚程度</v>
      </c>
      <c r="AA19" s="3124">
        <f t="shared" si="3"/>
        <v>1.0309278350515463</v>
      </c>
      <c r="AB19" s="3124">
        <f t="shared" si="4"/>
        <v>1.0309278350515463</v>
      </c>
      <c r="AC19" s="3124">
        <f t="shared" si="5"/>
        <v>1.0309278350515463</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703"/>
      <c r="Q20" s="3120"/>
      <c r="R20" s="3121"/>
      <c r="S20" s="3122"/>
      <c r="T20" s="3121"/>
      <c r="U20" s="3122"/>
      <c r="V20" s="3121"/>
      <c r="W20" s="3122"/>
      <c r="X20" s="3055"/>
      <c r="Y20" s="3703"/>
      <c r="Z20" s="3123"/>
      <c r="AA20" s="3124">
        <v>1</v>
      </c>
      <c r="AB20" s="3124">
        <v>1</v>
      </c>
      <c r="AC20" s="3124">
        <v>1</v>
      </c>
    </row>
    <row r="21" spans="1:29" ht="71.25">
      <c r="A21" s="3094"/>
      <c r="B21" s="3131" t="s">
        <v>3481</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703"/>
      <c r="Q21" s="3120" t="str">
        <f>B21</f>
        <v>交通便捷度</v>
      </c>
      <c r="R21" s="3121" t="s">
        <v>3463</v>
      </c>
      <c r="S21" s="3122">
        <f>F21</f>
        <v>98</v>
      </c>
      <c r="T21" s="3121" t="s">
        <v>3463</v>
      </c>
      <c r="U21" s="3122">
        <f>H21</f>
        <v>98</v>
      </c>
      <c r="V21" s="3121" t="s">
        <v>3463</v>
      </c>
      <c r="W21" s="3122">
        <f>J21</f>
        <v>98</v>
      </c>
      <c r="X21" s="3055"/>
      <c r="Y21" s="3703"/>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703"/>
      <c r="Q22" s="3120"/>
      <c r="R22" s="3121"/>
      <c r="S22" s="3122"/>
      <c r="T22" s="3121"/>
      <c r="U22" s="3122"/>
      <c r="V22" s="3121"/>
      <c r="W22" s="3122"/>
      <c r="X22" s="3055"/>
      <c r="Y22" s="3703"/>
      <c r="Z22" s="3123"/>
      <c r="AA22" s="3124">
        <v>1</v>
      </c>
      <c r="AB22" s="3124">
        <v>1</v>
      </c>
      <c r="AC22" s="3124">
        <v>1</v>
      </c>
    </row>
    <row r="23" spans="1:29" ht="15">
      <c r="A23" s="3057"/>
      <c r="B23" s="3131" t="s">
        <v>3482</v>
      </c>
      <c r="C23" s="3141" t="e">
        <f>[1]估价对象房地状况!C19</f>
        <v>#REF!</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703"/>
      <c r="Q23" s="3120" t="str">
        <f t="shared" ref="Q23:Q37" si="8">B23</f>
        <v>区域土地利用方向</v>
      </c>
      <c r="R23" s="3121" t="s">
        <v>3463</v>
      </c>
      <c r="S23" s="3122">
        <f>F23</f>
        <v>100</v>
      </c>
      <c r="T23" s="3121" t="s">
        <v>3483</v>
      </c>
      <c r="U23" s="3122">
        <f>H23</f>
        <v>100</v>
      </c>
      <c r="V23" s="3121" t="s">
        <v>3483</v>
      </c>
      <c r="W23" s="3122">
        <f>J23</f>
        <v>100</v>
      </c>
      <c r="X23" s="3055"/>
      <c r="Y23" s="3703"/>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703"/>
      <c r="Q24" s="3120"/>
      <c r="R24" s="3121"/>
      <c r="S24" s="3122"/>
      <c r="T24" s="3121"/>
      <c r="U24" s="3122"/>
      <c r="V24" s="3121"/>
      <c r="W24" s="3122"/>
      <c r="X24" s="3055"/>
      <c r="Y24" s="3703"/>
      <c r="Z24" s="3123"/>
      <c r="AA24" s="3124"/>
      <c r="AB24" s="3124"/>
      <c r="AC24" s="3124"/>
    </row>
    <row r="25" spans="1:29" ht="53.25" customHeight="1">
      <c r="A25" s="3057"/>
      <c r="B25" s="3140" t="s">
        <v>3484</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703"/>
      <c r="Q25" s="3120" t="str">
        <f t="shared" si="8"/>
        <v>自然及人文环境状况</v>
      </c>
      <c r="R25" s="3121" t="s">
        <v>3483</v>
      </c>
      <c r="S25" s="3122">
        <f>F25</f>
        <v>99</v>
      </c>
      <c r="T25" s="3121" t="s">
        <v>3483</v>
      </c>
      <c r="U25" s="3122">
        <f>H25</f>
        <v>99</v>
      </c>
      <c r="V25" s="3121" t="s">
        <v>3483</v>
      </c>
      <c r="W25" s="3122">
        <f>J25</f>
        <v>99</v>
      </c>
      <c r="X25" s="3055"/>
      <c r="Y25" s="3703"/>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703"/>
      <c r="Q26" s="3120"/>
      <c r="R26" s="3121"/>
      <c r="S26" s="3122"/>
      <c r="T26" s="3121"/>
      <c r="U26" s="3122"/>
      <c r="V26" s="3121"/>
      <c r="W26" s="3122"/>
      <c r="X26" s="3055"/>
      <c r="Y26" s="3703"/>
      <c r="Z26" s="3123"/>
      <c r="AA26" s="3124">
        <v>1</v>
      </c>
      <c r="AB26" s="3124">
        <v>1</v>
      </c>
      <c r="AC26" s="3124">
        <v>1</v>
      </c>
    </row>
    <row r="27" spans="1:29" s="3074" customFormat="1" ht="28.5">
      <c r="A27" s="3145"/>
      <c r="B27" s="3140" t="s">
        <v>3485</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703"/>
      <c r="Q27" s="3081" t="str">
        <f t="shared" si="8"/>
        <v>公共配套设施</v>
      </c>
      <c r="R27" s="3070" t="s">
        <v>3463</v>
      </c>
      <c r="S27" s="3071">
        <f>F27</f>
        <v>98</v>
      </c>
      <c r="T27" s="3070" t="s">
        <v>3463</v>
      </c>
      <c r="U27" s="3071">
        <f>H27</f>
        <v>98</v>
      </c>
      <c r="V27" s="3070" t="s">
        <v>3463</v>
      </c>
      <c r="W27" s="3071">
        <f>J27</f>
        <v>98</v>
      </c>
      <c r="X27" s="3072"/>
      <c r="Y27" s="3703"/>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703"/>
      <c r="Q28" s="3081"/>
      <c r="R28" s="3070"/>
      <c r="S28" s="3071"/>
      <c r="T28" s="3070"/>
      <c r="U28" s="3071"/>
      <c r="V28" s="3070"/>
      <c r="W28" s="3071"/>
      <c r="X28" s="3072"/>
      <c r="Y28" s="3703"/>
      <c r="Z28" s="3082"/>
      <c r="AA28" s="3124">
        <v>1</v>
      </c>
      <c r="AB28" s="3124">
        <v>1</v>
      </c>
      <c r="AC28" s="3124">
        <v>1</v>
      </c>
    </row>
    <row r="29" spans="1:29" s="3074" customFormat="1" ht="28.5">
      <c r="A29" s="3145"/>
      <c r="B29" s="3140" t="s">
        <v>3486</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703"/>
      <c r="Q29" s="3081" t="str">
        <f t="shared" ref="Q29" si="9">B29</f>
        <v>基础设施水平</v>
      </c>
      <c r="R29" s="3070" t="s">
        <v>3463</v>
      </c>
      <c r="S29" s="3071">
        <f>F29</f>
        <v>100</v>
      </c>
      <c r="T29" s="3070" t="s">
        <v>3463</v>
      </c>
      <c r="U29" s="3071">
        <f>H29</f>
        <v>100</v>
      </c>
      <c r="V29" s="3070" t="s">
        <v>3463</v>
      </c>
      <c r="W29" s="3071">
        <f>J29</f>
        <v>100</v>
      </c>
      <c r="X29" s="3072"/>
      <c r="Y29" s="3703"/>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703"/>
      <c r="Q30" s="3081"/>
      <c r="R30" s="3070"/>
      <c r="S30" s="3071"/>
      <c r="T30" s="3070"/>
      <c r="U30" s="3071"/>
      <c r="V30" s="3070"/>
      <c r="W30" s="3071"/>
      <c r="X30" s="3072"/>
      <c r="Y30" s="3703"/>
      <c r="Z30" s="3082"/>
      <c r="AA30" s="3124">
        <v>1</v>
      </c>
      <c r="AB30" s="3124">
        <v>1</v>
      </c>
      <c r="AC30" s="3124">
        <v>1</v>
      </c>
    </row>
    <row r="31" spans="1:29" ht="15">
      <c r="A31" s="3094"/>
      <c r="B31" s="3135" t="s">
        <v>3487</v>
      </c>
      <c r="C31" s="3142" t="s">
        <v>3624</v>
      </c>
      <c r="D31" s="3107">
        <v>100</v>
      </c>
      <c r="E31" s="3148" t="s">
        <v>3114</v>
      </c>
      <c r="F31" s="3107">
        <f>SUMIF(104:104,E31,105:105)-SUMIF(104:104,C31,105:105)+100</f>
        <v>94</v>
      </c>
      <c r="G31" s="3148" t="s">
        <v>3114</v>
      </c>
      <c r="H31" s="3107">
        <f>SUMIF(104:104,G31,105:105)-SUMIF(104:104,C31,105:105)+100</f>
        <v>94</v>
      </c>
      <c r="I31" s="3148" t="s">
        <v>3488</v>
      </c>
      <c r="J31" s="3107">
        <f>SUMIF(104:104,I31,105:105)-SUMIF(104:104,C31,105:105)+100</f>
        <v>98</v>
      </c>
      <c r="K31" s="3097">
        <v>2</v>
      </c>
      <c r="L31" s="3110"/>
      <c r="M31" s="3054"/>
      <c r="N31" s="3054"/>
      <c r="O31" s="3099"/>
      <c r="P31" s="3703"/>
      <c r="Q31" s="3120" t="str">
        <f t="shared" si="8"/>
        <v>临街状况</v>
      </c>
      <c r="R31" s="3121" t="s">
        <v>3463</v>
      </c>
      <c r="S31" s="3122">
        <f t="shared" ref="S31:S45" si="10">F31</f>
        <v>94</v>
      </c>
      <c r="T31" s="3121" t="s">
        <v>3463</v>
      </c>
      <c r="U31" s="3122">
        <f t="shared" ref="U31:U45" si="11">H31</f>
        <v>94</v>
      </c>
      <c r="V31" s="3121" t="s">
        <v>3463</v>
      </c>
      <c r="W31" s="3122">
        <f t="shared" ref="W31:W45" si="12">J31</f>
        <v>98</v>
      </c>
      <c r="X31" s="3055"/>
      <c r="Y31" s="3703"/>
      <c r="Z31" s="3123" t="str">
        <f t="shared" ref="Z31:Z45" si="13">Q31</f>
        <v>临街状况</v>
      </c>
      <c r="AA31" s="3124">
        <f t="shared" si="3"/>
        <v>1.0638297872340425</v>
      </c>
      <c r="AB31" s="3124">
        <f t="shared" si="4"/>
        <v>1.0638297872340425</v>
      </c>
      <c r="AC31" s="3124">
        <f t="shared" si="5"/>
        <v>1.0204081632653061</v>
      </c>
    </row>
    <row r="32" spans="1:29" ht="27">
      <c r="A32" s="3094"/>
      <c r="B32" s="3140" t="s">
        <v>3489</v>
      </c>
      <c r="C32" s="2977" t="s">
        <v>3666</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703"/>
      <c r="Q32" s="3120" t="str">
        <f t="shared" si="8"/>
        <v>毗邻道路的类型与等级</v>
      </c>
      <c r="R32" s="3121" t="s">
        <v>3465</v>
      </c>
      <c r="S32" s="3122">
        <f t="shared" si="10"/>
        <v>98</v>
      </c>
      <c r="T32" s="3121" t="s">
        <v>3465</v>
      </c>
      <c r="U32" s="3122">
        <f t="shared" si="11"/>
        <v>98</v>
      </c>
      <c r="V32" s="3121" t="s">
        <v>3465</v>
      </c>
      <c r="W32" s="3122">
        <f t="shared" si="12"/>
        <v>98</v>
      </c>
      <c r="X32" s="3055"/>
      <c r="Y32" s="3703"/>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3625</v>
      </c>
      <c r="D33" s="3127"/>
      <c r="E33" s="3126" t="s">
        <v>3490</v>
      </c>
      <c r="F33" s="3127"/>
      <c r="G33" s="3126" t="s">
        <v>3490</v>
      </c>
      <c r="H33" s="3127"/>
      <c r="I33" s="3126" t="s">
        <v>3490</v>
      </c>
      <c r="J33" s="3127"/>
      <c r="K33" s="3150"/>
      <c r="L33" s="3110"/>
      <c r="M33" s="3054"/>
      <c r="N33" s="3054"/>
      <c r="O33" s="3099"/>
      <c r="P33" s="3703"/>
      <c r="Q33" s="3120"/>
      <c r="R33" s="3121"/>
      <c r="S33" s="3122"/>
      <c r="T33" s="3121"/>
      <c r="U33" s="3122"/>
      <c r="V33" s="3121"/>
      <c r="W33" s="3122"/>
      <c r="X33" s="3055"/>
      <c r="Y33" s="3703"/>
      <c r="Z33" s="3123"/>
      <c r="AA33" s="3124">
        <v>1</v>
      </c>
      <c r="AB33" s="3124">
        <v>1</v>
      </c>
      <c r="AC33" s="3124">
        <v>1</v>
      </c>
    </row>
    <row r="34" spans="1:29" ht="15.75" hidden="1" thickBot="1">
      <c r="A34" s="3094"/>
      <c r="B34" s="3084" t="s">
        <v>3491</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703"/>
      <c r="Q34" s="3120" t="str">
        <f t="shared" si="8"/>
        <v>土地级别</v>
      </c>
      <c r="R34" s="3121" t="s">
        <v>3463</v>
      </c>
      <c r="S34" s="3122">
        <f t="shared" si="10"/>
        <v>100</v>
      </c>
      <c r="T34" s="3121" t="s">
        <v>3463</v>
      </c>
      <c r="U34" s="3122">
        <f t="shared" si="11"/>
        <v>100</v>
      </c>
      <c r="V34" s="3121" t="s">
        <v>3463</v>
      </c>
      <c r="W34" s="3122">
        <f t="shared" si="12"/>
        <v>100</v>
      </c>
      <c r="X34" s="3055"/>
      <c r="Y34" s="3703"/>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703"/>
      <c r="Q35" s="3120">
        <f t="shared" si="8"/>
        <v>111</v>
      </c>
      <c r="R35" s="3121" t="s">
        <v>3463</v>
      </c>
      <c r="S35" s="3122">
        <f t="shared" si="10"/>
        <v>100</v>
      </c>
      <c r="T35" s="3121" t="s">
        <v>3463</v>
      </c>
      <c r="U35" s="3122">
        <f t="shared" si="11"/>
        <v>100</v>
      </c>
      <c r="V35" s="3121" t="s">
        <v>3463</v>
      </c>
      <c r="W35" s="3122">
        <f t="shared" si="12"/>
        <v>100</v>
      </c>
      <c r="X35" s="3055"/>
      <c r="Y35" s="3703"/>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708" t="s">
        <v>3492</v>
      </c>
      <c r="Q36" s="3120">
        <f t="shared" si="8"/>
        <v>111</v>
      </c>
      <c r="R36" s="3121" t="s">
        <v>3463</v>
      </c>
      <c r="S36" s="3122">
        <f t="shared" si="10"/>
        <v>100</v>
      </c>
      <c r="T36" s="3121" t="s">
        <v>3463</v>
      </c>
      <c r="U36" s="3122">
        <f t="shared" si="11"/>
        <v>100</v>
      </c>
      <c r="V36" s="3121" t="s">
        <v>3463</v>
      </c>
      <c r="W36" s="3122">
        <f t="shared" si="12"/>
        <v>100</v>
      </c>
      <c r="X36" s="3055"/>
      <c r="Y36" s="3709" t="s">
        <v>3492</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709"/>
      <c r="Q37" s="3120">
        <f t="shared" si="8"/>
        <v>111</v>
      </c>
      <c r="R37" s="3163" t="s">
        <v>3463</v>
      </c>
      <c r="S37" s="3164">
        <f t="shared" si="10"/>
        <v>100</v>
      </c>
      <c r="T37" s="3163" t="s">
        <v>3463</v>
      </c>
      <c r="U37" s="3164">
        <f t="shared" si="11"/>
        <v>100</v>
      </c>
      <c r="V37" s="3163" t="s">
        <v>3463</v>
      </c>
      <c r="W37" s="3164">
        <f t="shared" si="12"/>
        <v>100</v>
      </c>
      <c r="X37" s="3165"/>
      <c r="Y37" s="3709"/>
      <c r="Z37" s="3166">
        <f t="shared" si="13"/>
        <v>111</v>
      </c>
      <c r="AA37" s="3124">
        <f t="shared" si="3"/>
        <v>1</v>
      </c>
      <c r="AB37" s="3124">
        <f t="shared" si="4"/>
        <v>1</v>
      </c>
      <c r="AC37" s="3124">
        <f t="shared" si="5"/>
        <v>1</v>
      </c>
    </row>
    <row r="38" spans="1:29" ht="15">
      <c r="A38" s="3168" t="s">
        <v>3493</v>
      </c>
      <c r="B38" s="3135" t="s">
        <v>3494</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709"/>
      <c r="Q38" s="3120" t="str">
        <f>B38</f>
        <v>宗地面积</v>
      </c>
      <c r="R38" s="3121" t="s">
        <v>3463</v>
      </c>
      <c r="S38" s="3122">
        <f t="shared" si="10"/>
        <v>100</v>
      </c>
      <c r="T38" s="3121" t="s">
        <v>3463</v>
      </c>
      <c r="U38" s="3122">
        <f t="shared" si="11"/>
        <v>100.5</v>
      </c>
      <c r="V38" s="3121" t="s">
        <v>3463</v>
      </c>
      <c r="W38" s="3122">
        <f t="shared" si="12"/>
        <v>100</v>
      </c>
      <c r="X38" s="3055"/>
      <c r="Y38" s="3709"/>
      <c r="Z38" s="3123" t="str">
        <f t="shared" si="13"/>
        <v>宗地面积</v>
      </c>
      <c r="AA38" s="3124">
        <f t="shared" si="3"/>
        <v>1</v>
      </c>
      <c r="AB38" s="3124">
        <f t="shared" si="4"/>
        <v>0.99502487562189057</v>
      </c>
      <c r="AC38" s="3124">
        <f t="shared" si="5"/>
        <v>1</v>
      </c>
    </row>
    <row r="39" spans="1:29" ht="15">
      <c r="A39" s="3168"/>
      <c r="B39" s="3084" t="s">
        <v>3495</v>
      </c>
      <c r="C39" s="3376" t="s">
        <v>3496</v>
      </c>
      <c r="D39" s="3107">
        <v>100</v>
      </c>
      <c r="E39" s="3171" t="s">
        <v>3496</v>
      </c>
      <c r="F39" s="3107">
        <f>SUMIF(119:119,E39,120:120)-SUMIF(119:119,C39,120:120)+100</f>
        <v>100</v>
      </c>
      <c r="G39" s="3171" t="s">
        <v>3496</v>
      </c>
      <c r="H39" s="3107">
        <f>SUMIF(119:119,G39,120:120)-SUMIF(119:119,C39,120:120)+100</f>
        <v>100</v>
      </c>
      <c r="I39" s="3171" t="s">
        <v>3496</v>
      </c>
      <c r="J39" s="3107">
        <f>SUMIF(119:119,I39,120:120)-SUMIF(119:119,C39,120:120)+100</f>
        <v>100</v>
      </c>
      <c r="K39" s="3151">
        <v>2</v>
      </c>
      <c r="L39" s="3110"/>
      <c r="M39" s="3054"/>
      <c r="N39" s="3054"/>
      <c r="O39" s="3099"/>
      <c r="P39" s="3709"/>
      <c r="Q39" s="3120" t="str">
        <f t="shared" ref="Q39:Q45" si="14">B39</f>
        <v>宗地形状</v>
      </c>
      <c r="R39" s="3121" t="s">
        <v>3463</v>
      </c>
      <c r="S39" s="3122">
        <f t="shared" si="10"/>
        <v>100</v>
      </c>
      <c r="T39" s="3121" t="s">
        <v>3463</v>
      </c>
      <c r="U39" s="3122">
        <f t="shared" si="11"/>
        <v>100</v>
      </c>
      <c r="V39" s="3121" t="s">
        <v>3463</v>
      </c>
      <c r="W39" s="3122">
        <f t="shared" si="12"/>
        <v>100</v>
      </c>
      <c r="X39" s="3055"/>
      <c r="Y39" s="3709"/>
      <c r="Z39" s="3123" t="str">
        <f t="shared" si="13"/>
        <v>宗地形状</v>
      </c>
      <c r="AA39" s="3124">
        <f t="shared" si="3"/>
        <v>1</v>
      </c>
      <c r="AB39" s="3124">
        <f t="shared" si="4"/>
        <v>1</v>
      </c>
      <c r="AC39" s="3124">
        <f t="shared" si="5"/>
        <v>1</v>
      </c>
    </row>
    <row r="40" spans="1:29" ht="15">
      <c r="A40" s="3168"/>
      <c r="B40" s="3084" t="s">
        <v>3497</v>
      </c>
      <c r="C40" s="3376" t="s">
        <v>3498</v>
      </c>
      <c r="D40" s="3107">
        <v>100</v>
      </c>
      <c r="E40" s="3171" t="s">
        <v>3498</v>
      </c>
      <c r="F40" s="3107">
        <f>SUMIF(121:121,E40,122:122)-SUMIF(121:121,C40,122:122)+100</f>
        <v>100</v>
      </c>
      <c r="G40" s="3171" t="s">
        <v>3498</v>
      </c>
      <c r="H40" s="3107">
        <f>SUMIF(121:121,G40,122:122)-SUMIF(121:121,C40,122:122)+100</f>
        <v>100</v>
      </c>
      <c r="I40" s="3171" t="s">
        <v>3498</v>
      </c>
      <c r="J40" s="3107">
        <f>SUMIF(121:121,I40,122:122)-SUMIF(121:121,C40,122:122)+100</f>
        <v>100</v>
      </c>
      <c r="K40" s="3151">
        <v>1</v>
      </c>
      <c r="L40" s="3110"/>
      <c r="M40" s="3054"/>
      <c r="N40" s="3054"/>
      <c r="O40" s="3099"/>
      <c r="P40" s="3709"/>
      <c r="Q40" s="3120" t="str">
        <f t="shared" si="14"/>
        <v>临街宽度及深度</v>
      </c>
      <c r="R40" s="3121" t="s">
        <v>3463</v>
      </c>
      <c r="S40" s="3122">
        <f t="shared" si="10"/>
        <v>100</v>
      </c>
      <c r="T40" s="3121" t="s">
        <v>3463</v>
      </c>
      <c r="U40" s="3122">
        <f t="shared" si="11"/>
        <v>100</v>
      </c>
      <c r="V40" s="3121" t="s">
        <v>3463</v>
      </c>
      <c r="W40" s="3122">
        <f t="shared" si="12"/>
        <v>100</v>
      </c>
      <c r="X40" s="3055"/>
      <c r="Y40" s="3709"/>
      <c r="Z40" s="3123" t="str">
        <f t="shared" si="13"/>
        <v>临街宽度及深度</v>
      </c>
      <c r="AA40" s="3124">
        <f t="shared" si="3"/>
        <v>1</v>
      </c>
      <c r="AB40" s="3124">
        <f t="shared" si="4"/>
        <v>1</v>
      </c>
      <c r="AC40" s="3124">
        <f t="shared" si="5"/>
        <v>1</v>
      </c>
    </row>
    <row r="41" spans="1:29" s="3074" customFormat="1" ht="15">
      <c r="A41" s="3172"/>
      <c r="B41" s="3084" t="s">
        <v>3499</v>
      </c>
      <c r="C41" s="3377" t="s">
        <v>3444</v>
      </c>
      <c r="D41" s="3086">
        <v>100</v>
      </c>
      <c r="E41" s="3173" t="s">
        <v>3444</v>
      </c>
      <c r="F41" s="3107">
        <f>SUMIF(123:123,E41,124:124)-SUMIF(123:123,C41,124:124)+100</f>
        <v>100</v>
      </c>
      <c r="G41" s="3173" t="s">
        <v>3444</v>
      </c>
      <c r="H41" s="3107">
        <f>SUMIF(123:123,G41,124:124)-SUMIF(123:123,C41,124:124)+100</f>
        <v>100</v>
      </c>
      <c r="I41" s="3173" t="s">
        <v>3097</v>
      </c>
      <c r="J41" s="3107">
        <f>SUMIF(123:123,I41,124:124)-SUMIF(123:123,C41,124:124)+100</f>
        <v>102</v>
      </c>
      <c r="K41" s="3151">
        <v>2</v>
      </c>
      <c r="L41" s="3068"/>
      <c r="M41" s="3069"/>
      <c r="N41" s="3069"/>
      <c r="O41" s="3080"/>
      <c r="P41" s="3709"/>
      <c r="Q41" s="3120" t="str">
        <f t="shared" si="14"/>
        <v>宗地开发程度</v>
      </c>
      <c r="R41" s="3070" t="s">
        <v>3463</v>
      </c>
      <c r="S41" s="3071">
        <f t="shared" si="10"/>
        <v>100</v>
      </c>
      <c r="T41" s="3070" t="s">
        <v>3463</v>
      </c>
      <c r="U41" s="3071">
        <f t="shared" si="11"/>
        <v>100</v>
      </c>
      <c r="V41" s="3070" t="s">
        <v>3463</v>
      </c>
      <c r="W41" s="3071">
        <f t="shared" si="12"/>
        <v>102</v>
      </c>
      <c r="X41" s="3072"/>
      <c r="Y41" s="3709"/>
      <c r="Z41" s="3082" t="str">
        <f t="shared" si="13"/>
        <v>宗地开发程度</v>
      </c>
      <c r="AA41" s="3073">
        <f t="shared" si="3"/>
        <v>1</v>
      </c>
      <c r="AB41" s="3073">
        <f t="shared" si="4"/>
        <v>1</v>
      </c>
      <c r="AC41" s="3073">
        <f t="shared" si="5"/>
        <v>0.98039215686274506</v>
      </c>
    </row>
    <row r="42" spans="1:29" ht="15">
      <c r="A42" s="3168"/>
      <c r="B42" s="3084" t="s">
        <v>3500</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709" t="s">
        <v>3492</v>
      </c>
      <c r="Q42" s="3120" t="str">
        <f t="shared" si="14"/>
        <v>工程地质条件</v>
      </c>
      <c r="R42" s="3121" t="s">
        <v>3463</v>
      </c>
      <c r="S42" s="3122">
        <f t="shared" si="10"/>
        <v>100</v>
      </c>
      <c r="T42" s="3121" t="s">
        <v>3463</v>
      </c>
      <c r="U42" s="3122">
        <f t="shared" si="11"/>
        <v>100</v>
      </c>
      <c r="V42" s="3121" t="s">
        <v>3463</v>
      </c>
      <c r="W42" s="3122">
        <f t="shared" si="12"/>
        <v>100</v>
      </c>
      <c r="X42" s="3055"/>
      <c r="Y42" s="3709" t="s">
        <v>3492</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709"/>
      <c r="Q43" s="3120">
        <f t="shared" si="14"/>
        <v>111</v>
      </c>
      <c r="R43" s="3121" t="s">
        <v>3463</v>
      </c>
      <c r="S43" s="3122">
        <f t="shared" si="10"/>
        <v>100</v>
      </c>
      <c r="T43" s="3121" t="s">
        <v>3463</v>
      </c>
      <c r="U43" s="3122">
        <f t="shared" si="11"/>
        <v>100</v>
      </c>
      <c r="V43" s="3121" t="s">
        <v>3463</v>
      </c>
      <c r="W43" s="3122">
        <f t="shared" si="12"/>
        <v>100</v>
      </c>
      <c r="X43" s="3055"/>
      <c r="Y43" s="3709"/>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709"/>
      <c r="Q44" s="3120">
        <f t="shared" si="14"/>
        <v>111</v>
      </c>
      <c r="R44" s="3121" t="s">
        <v>3463</v>
      </c>
      <c r="S44" s="3122">
        <f t="shared" si="10"/>
        <v>100</v>
      </c>
      <c r="T44" s="3121" t="s">
        <v>3463</v>
      </c>
      <c r="U44" s="3122">
        <f t="shared" si="11"/>
        <v>100</v>
      </c>
      <c r="V44" s="3121" t="s">
        <v>3463</v>
      </c>
      <c r="W44" s="3122">
        <f t="shared" si="12"/>
        <v>100</v>
      </c>
      <c r="X44" s="3055"/>
      <c r="Y44" s="3709"/>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709"/>
      <c r="Q45" s="3120">
        <f t="shared" si="14"/>
        <v>111</v>
      </c>
      <c r="R45" s="3163" t="s">
        <v>3463</v>
      </c>
      <c r="S45" s="3164">
        <f t="shared" si="10"/>
        <v>100</v>
      </c>
      <c r="T45" s="3163" t="s">
        <v>3463</v>
      </c>
      <c r="U45" s="3164">
        <f t="shared" si="11"/>
        <v>100</v>
      </c>
      <c r="V45" s="3163" t="s">
        <v>3463</v>
      </c>
      <c r="W45" s="3164">
        <f t="shared" si="12"/>
        <v>100</v>
      </c>
      <c r="X45" s="3165"/>
      <c r="Y45" s="3709"/>
      <c r="Z45" s="3166">
        <f t="shared" si="13"/>
        <v>111</v>
      </c>
      <c r="AA45" s="3124">
        <f t="shared" si="3"/>
        <v>1</v>
      </c>
      <c r="AB45" s="3124">
        <f t="shared" si="4"/>
        <v>1</v>
      </c>
      <c r="AC45" s="3124">
        <f t="shared" si="5"/>
        <v>1</v>
      </c>
    </row>
    <row r="46" spans="1:29" ht="15">
      <c r="A46" s="3178" t="s">
        <v>3501</v>
      </c>
      <c r="B46" s="3179" t="s">
        <v>2739</v>
      </c>
      <c r="C46" s="3378" t="s">
        <v>3502</v>
      </c>
      <c r="D46" s="3180"/>
      <c r="E46" s="3181">
        <v>24490</v>
      </c>
      <c r="F46" s="3182"/>
      <c r="G46" s="3183">
        <v>24368</v>
      </c>
      <c r="H46" s="3184"/>
      <c r="I46" s="3181">
        <v>26771</v>
      </c>
      <c r="J46" s="3184"/>
      <c r="K46" s="3185"/>
      <c r="L46" s="3186"/>
      <c r="M46" s="3187"/>
      <c r="N46" s="3054"/>
      <c r="O46" s="3187"/>
      <c r="P46" s="3700" t="str">
        <f>A46</f>
        <v>成交单价</v>
      </c>
      <c r="Q46" s="3700"/>
      <c r="R46" s="3696">
        <f>E46</f>
        <v>24490</v>
      </c>
      <c r="S46" s="3696"/>
      <c r="T46" s="3696">
        <f>G46</f>
        <v>24368</v>
      </c>
      <c r="U46" s="3696"/>
      <c r="V46" s="3696">
        <f>I46</f>
        <v>26771</v>
      </c>
      <c r="W46" s="3696"/>
      <c r="X46" s="3188"/>
      <c r="Y46" s="3189"/>
      <c r="Z46" s="3188"/>
      <c r="AA46" s="3188"/>
      <c r="AB46" s="3188"/>
      <c r="AC46" s="3188"/>
    </row>
    <row r="47" spans="1:29" ht="15.75" thickBot="1">
      <c r="A47" s="3190" t="s">
        <v>3503</v>
      </c>
      <c r="B47" s="3191"/>
      <c r="C47" s="3379">
        <f>R48</f>
        <v>29721</v>
      </c>
      <c r="D47" s="3193"/>
      <c r="E47" s="3192">
        <f>R47</f>
        <v>28733</v>
      </c>
      <c r="F47" s="3194"/>
      <c r="G47" s="3195">
        <f>T47</f>
        <v>29648</v>
      </c>
      <c r="H47" s="3193"/>
      <c r="I47" s="3192">
        <f>V47</f>
        <v>30783</v>
      </c>
      <c r="J47" s="3193"/>
      <c r="K47" s="3196"/>
      <c r="L47" s="3186"/>
      <c r="M47" s="3187"/>
      <c r="N47" s="3187"/>
      <c r="O47" s="3187"/>
      <c r="P47" s="3700" t="str">
        <f>A47</f>
        <v>比较价值（元/平方米）</v>
      </c>
      <c r="Q47" s="3700"/>
      <c r="R47" s="3704">
        <f>ROUND(PRODUCT(R46,AA7:AA45),0)</f>
        <v>28733</v>
      </c>
      <c r="S47" s="3704"/>
      <c r="T47" s="3704">
        <f>ROUND(PRODUCT(T46,AB7:AB45),0)</f>
        <v>29648</v>
      </c>
      <c r="U47" s="3704"/>
      <c r="V47" s="3704">
        <f>ROUND(PRODUCT(V46,AC7:AC45),0)</f>
        <v>30783</v>
      </c>
      <c r="W47" s="3704"/>
      <c r="X47" s="3188"/>
      <c r="Y47" s="3188"/>
      <c r="Z47" s="3188"/>
      <c r="AA47" s="3188"/>
      <c r="AB47" s="3188"/>
      <c r="AC47" s="3188"/>
    </row>
    <row r="48" spans="1:29" ht="15.75" thickBot="1">
      <c r="A48" s="3197" t="s">
        <v>3504</v>
      </c>
      <c r="B48" s="3198"/>
      <c r="C48" s="3380">
        <f>R48</f>
        <v>29721</v>
      </c>
      <c r="D48" s="3199"/>
      <c r="E48" s="3199"/>
      <c r="F48" s="3199"/>
      <c r="G48" s="3199"/>
      <c r="H48" s="3199"/>
      <c r="I48" s="3199"/>
      <c r="J48" s="3199"/>
      <c r="K48" s="3200"/>
      <c r="L48" s="3186"/>
      <c r="M48" s="3187"/>
      <c r="N48" s="3187"/>
      <c r="O48" s="3187"/>
      <c r="P48" s="3705" t="str">
        <f>A48</f>
        <v>估价对象XX用房的比较价值（楼面单价，元/平方米）</v>
      </c>
      <c r="Q48" s="3706"/>
      <c r="R48" s="3707">
        <f>ROUND(AVERAGE(R47:V47),0)</f>
        <v>29721</v>
      </c>
      <c r="S48" s="3707"/>
      <c r="T48" s="3707"/>
      <c r="U48" s="3707"/>
      <c r="V48" s="3707"/>
      <c r="W48" s="3707"/>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3505</v>
      </c>
      <c r="D51" s="3204"/>
      <c r="E51" s="3205">
        <f>IF(E46&lt;E47,E47/E46-1,E46/E47-1)</f>
        <v>0.17325438954675376</v>
      </c>
      <c r="F51" s="3206" t="str">
        <f>IF(OR(E51&gt;=0.3,E51&lt;=-0.3),"超过30%","")</f>
        <v/>
      </c>
      <c r="G51" s="3205">
        <f>IF(G46&lt;G47,G47/G46-1,G46/G47-1)</f>
        <v>0.21667760998030205</v>
      </c>
      <c r="H51" s="3206" t="str">
        <f>IF(OR(G51&gt;=0.3,G51&lt;=-0.3),"超过30%","")</f>
        <v/>
      </c>
      <c r="I51" s="3205">
        <f>IF(I46&lt;I47,I47/I46-1,I46/I47-1)</f>
        <v>0.14986365843636773</v>
      </c>
      <c r="J51" s="3206" t="str">
        <f>IF(OR(I51&gt;=0.3,I51&lt;=-0.3),"超过30%","")</f>
        <v/>
      </c>
      <c r="K51" s="3202"/>
      <c r="L51" s="3203"/>
      <c r="M51" s="3187"/>
      <c r="N51" s="3187"/>
      <c r="O51" s="3187"/>
    </row>
    <row r="52" spans="1:15" ht="13.5" customHeight="1">
      <c r="A52" s="3187"/>
      <c r="B52" s="3187"/>
      <c r="C52" s="3382" t="s">
        <v>3506</v>
      </c>
      <c r="D52" s="3207"/>
      <c r="E52" s="3205">
        <f>IF(E47&lt;G47,G47/E47-1,E47/G47-1)</f>
        <v>3.1844916994396621E-2</v>
      </c>
      <c r="F52" s="3206" t="str">
        <f>IF(OR(E52&gt;=0.2,E52&lt;=-0.2),"超过20%","")</f>
        <v/>
      </c>
      <c r="G52" s="3205">
        <f>IF(G47&lt;I47,I47/G47-1,G47/I47-1)</f>
        <v>3.8282514840798809E-2</v>
      </c>
      <c r="H52" s="3206" t="str">
        <f>IF(OR(G52&gt;=0.2,G52&lt;=-0.2),"超过20%","")</f>
        <v/>
      </c>
      <c r="I52" s="3205">
        <f>IF(I47&lt;E47,E47/I47-1,I47/E47-1)</f>
        <v>7.1346535342637463E-2</v>
      </c>
      <c r="J52" s="3206" t="str">
        <f>IF(OR(I52&gt;=0.2,I52&lt;=-0.2),"超过20%","")</f>
        <v/>
      </c>
      <c r="K52" s="3202"/>
      <c r="L52" s="3203"/>
      <c r="M52" s="3187"/>
      <c r="N52" s="3187"/>
      <c r="O52" s="3187"/>
    </row>
    <row r="53" spans="1:15" s="3211" customFormat="1" ht="13.5" customHeight="1">
      <c r="A53" s="3208"/>
      <c r="B53" s="3208"/>
      <c r="C53" s="3382" t="s">
        <v>3507</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3508</v>
      </c>
      <c r="B55" s="3215" t="s">
        <v>3509</v>
      </c>
      <c r="C55" s="3384" t="s">
        <v>2742</v>
      </c>
      <c r="D55" s="3216" t="s">
        <v>3510</v>
      </c>
      <c r="E55" s="3217" t="s">
        <v>3511</v>
      </c>
      <c r="F55" s="3218" t="s">
        <v>3512</v>
      </c>
      <c r="G55" s="3672" t="s">
        <v>3513</v>
      </c>
      <c r="H55" s="3710"/>
      <c r="I55" s="3219" t="s">
        <v>3514</v>
      </c>
      <c r="J55" s="3220">
        <f>[1]项目基本情况!F35</f>
        <v>0</v>
      </c>
      <c r="K55" s="3221" t="s">
        <v>3515</v>
      </c>
      <c r="L55" s="3203"/>
      <c r="M55" s="3187"/>
      <c r="N55" s="3187"/>
      <c r="O55" s="3187"/>
    </row>
    <row r="56" spans="1:15" s="3228" customFormat="1">
      <c r="A56" s="3222" t="s">
        <v>3516</v>
      </c>
      <c r="B56" s="687">
        <f>C48</f>
        <v>29721</v>
      </c>
      <c r="C56" s="3385">
        <v>1</v>
      </c>
      <c r="D56" s="3224">
        <v>1</v>
      </c>
      <c r="E56" s="3223">
        <f>'[1]数据-汇总表'!E8+'[1]数据-汇总表'!E9</f>
        <v>25780.95</v>
      </c>
      <c r="F56" s="1093">
        <f t="shared" ref="F56:F65" si="15">ROUND(B56*E56/10000,0)</f>
        <v>76624</v>
      </c>
      <c r="G56" s="3711"/>
      <c r="H56" s="3700"/>
      <c r="I56" s="3225">
        <v>1</v>
      </c>
      <c r="J56" s="3226">
        <v>1</v>
      </c>
      <c r="K56" s="3208"/>
      <c r="L56" s="3227"/>
      <c r="M56" s="3227"/>
      <c r="N56" s="3227"/>
      <c r="O56" s="3227"/>
    </row>
    <row r="57" spans="1:15" s="3228" customFormat="1">
      <c r="A57" s="691" t="s">
        <v>3517</v>
      </c>
      <c r="B57" s="262" t="e">
        <f>ROUND($C$48*C57*D57,0)</f>
        <v>#VALUE!</v>
      </c>
      <c r="C57" s="3386" t="e">
        <f t="shared" ref="C57:C65" si="16">IF($C$55="北京市系数",I57,J57)</f>
        <v>#VALUE!</v>
      </c>
      <c r="D57" s="3229">
        <v>0.25</v>
      </c>
      <c r="E57" s="692"/>
      <c r="F57" s="1093" t="e">
        <f t="shared" si="15"/>
        <v>#VALUE!</v>
      </c>
      <c r="G57" s="3712" t="s">
        <v>3518</v>
      </c>
      <c r="H57" s="3230" t="str">
        <f>[1]项目基本情况!B37</f>
        <v>六级</v>
      </c>
      <c r="I57" s="3225" t="e">
        <f>SUMIF([1]修正!A45:A56,H57,[1]修正!B45:B56)</f>
        <v>#VALUE!</v>
      </c>
      <c r="J57" s="3231"/>
      <c r="K57" s="3187"/>
      <c r="L57" s="3227"/>
      <c r="M57" s="3227"/>
      <c r="N57" s="3227"/>
      <c r="O57" s="3227"/>
    </row>
    <row r="58" spans="1:15" s="3228" customFormat="1">
      <c r="A58" s="691" t="s">
        <v>3519</v>
      </c>
      <c r="B58" s="262" t="e">
        <f t="shared" ref="B58:B65" si="17">ROUND($C$48*C58*D58,0)</f>
        <v>#VALUE!</v>
      </c>
      <c r="C58" s="3386" t="e">
        <f t="shared" si="16"/>
        <v>#VALUE!</v>
      </c>
      <c r="D58" s="3229">
        <v>0.25</v>
      </c>
      <c r="E58" s="692"/>
      <c r="F58" s="1093" t="e">
        <f t="shared" si="15"/>
        <v>#VALUE!</v>
      </c>
      <c r="G58" s="3712"/>
      <c r="H58" s="3230" t="str">
        <f>[1]项目基本情况!B37</f>
        <v>六级</v>
      </c>
      <c r="I58" s="3225" t="e">
        <f>SUMIF([1]修正!A45:A56,H58,[1]修正!C45:C56)</f>
        <v>#VALUE!</v>
      </c>
      <c r="J58" s="3231"/>
      <c r="K58" s="3208"/>
      <c r="L58" s="3227"/>
      <c r="M58" s="3227"/>
      <c r="N58" s="3227"/>
      <c r="O58" s="3227"/>
    </row>
    <row r="59" spans="1:15" s="3228" customFormat="1">
      <c r="A59" s="691" t="s">
        <v>3520</v>
      </c>
      <c r="B59" s="262" t="e">
        <f t="shared" si="17"/>
        <v>#VALUE!</v>
      </c>
      <c r="C59" s="3386" t="e">
        <f t="shared" si="16"/>
        <v>#VALUE!</v>
      </c>
      <c r="D59" s="3229">
        <v>0.25</v>
      </c>
      <c r="E59" s="692"/>
      <c r="F59" s="1093" t="e">
        <f t="shared" si="15"/>
        <v>#VALUE!</v>
      </c>
      <c r="G59" s="3712"/>
      <c r="H59" s="3230" t="str">
        <f>[1]项目基本情况!B37</f>
        <v>六级</v>
      </c>
      <c r="I59" s="3225" t="e">
        <f>SUMIF([1]修正!A45:A56,H59,[1]修正!D45:D56)</f>
        <v>#VALUE!</v>
      </c>
      <c r="J59" s="3231"/>
      <c r="K59" s="3187"/>
      <c r="L59" s="3227"/>
      <c r="M59" s="3227"/>
      <c r="N59" s="3227"/>
      <c r="O59" s="3227"/>
    </row>
    <row r="60" spans="1:15" s="3228" customFormat="1">
      <c r="A60" s="691" t="s">
        <v>3521</v>
      </c>
      <c r="B60" s="262" t="e">
        <f t="shared" si="17"/>
        <v>#VALUE!</v>
      </c>
      <c r="C60" s="3386" t="e">
        <f t="shared" si="16"/>
        <v>#VALUE!</v>
      </c>
      <c r="D60" s="3229">
        <v>0.25</v>
      </c>
      <c r="E60" s="692"/>
      <c r="F60" s="1093" t="e">
        <f t="shared" si="15"/>
        <v>#VALUE!</v>
      </c>
      <c r="G60" s="3712"/>
      <c r="H60" s="3230" t="str">
        <f>[1]项目基本情况!B37</f>
        <v>六级</v>
      </c>
      <c r="I60" s="3225" t="e">
        <f>SUMIF([1]修正!A45:A56,H60,[1]修正!E45:E56)</f>
        <v>#VALUE!</v>
      </c>
      <c r="J60" s="3231"/>
      <c r="K60" s="3208"/>
      <c r="L60" s="3227"/>
      <c r="M60" s="3227"/>
      <c r="N60" s="3227"/>
      <c r="O60" s="3227"/>
    </row>
    <row r="61" spans="1:15" s="3228" customFormat="1">
      <c r="A61" s="691" t="s">
        <v>3522</v>
      </c>
      <c r="B61" s="262" t="e">
        <f t="shared" si="17"/>
        <v>#VALUE!</v>
      </c>
      <c r="C61" s="3386" t="e">
        <f t="shared" si="16"/>
        <v>#VALUE!</v>
      </c>
      <c r="D61" s="3229">
        <v>0.25</v>
      </c>
      <c r="E61" s="261">
        <f>'[1]数据-汇总表'!E11</f>
        <v>0</v>
      </c>
      <c r="F61" s="1093" t="e">
        <f t="shared" si="15"/>
        <v>#VALUE!</v>
      </c>
      <c r="G61" s="3232" t="s">
        <v>3523</v>
      </c>
      <c r="H61" s="3230" t="str">
        <f>[1]项目基本情况!C37</f>
        <v>六级</v>
      </c>
      <c r="I61" s="3225" t="e">
        <f>SUMIF([1]修正!A45:A56,H61,[1]修正!F45:F56)</f>
        <v>#VALUE!</v>
      </c>
      <c r="J61" s="3231"/>
      <c r="K61" s="3187"/>
      <c r="L61" s="3227"/>
      <c r="M61" s="3227"/>
      <c r="N61" s="3227"/>
      <c r="O61" s="3227"/>
    </row>
    <row r="62" spans="1:15" s="3228" customFormat="1">
      <c r="A62" s="691" t="s">
        <v>3524</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3525</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3526</v>
      </c>
      <c r="B64" s="262" t="e">
        <f t="shared" si="17"/>
        <v>#VALUE!</v>
      </c>
      <c r="C64" s="3386" t="e">
        <f t="shared" si="16"/>
        <v>#VALUE!</v>
      </c>
      <c r="D64" s="3229">
        <v>0.25</v>
      </c>
      <c r="E64" s="261">
        <f>'[1]数据-汇总表'!E14</f>
        <v>0</v>
      </c>
      <c r="F64" s="1093" t="e">
        <f t="shared" si="15"/>
        <v>#VALUE!</v>
      </c>
      <c r="G64" s="3232" t="s">
        <v>3527</v>
      </c>
      <c r="H64" s="3230" t="str">
        <f>[1]项目基本情况!B37</f>
        <v>六级</v>
      </c>
      <c r="I64" s="3225" t="e">
        <f>SUMIF([1]修正!A45:A56,H64,[1]修正!H45:H56)</f>
        <v>#VALUE!</v>
      </c>
      <c r="J64" s="3231"/>
      <c r="K64" s="3208"/>
      <c r="L64" s="3227"/>
      <c r="M64" s="3227"/>
      <c r="N64" s="3227"/>
      <c r="O64" s="3227"/>
    </row>
    <row r="65" spans="1:17" s="3228" customFormat="1" ht="15" thickBot="1">
      <c r="A65" s="691" t="s">
        <v>3528</v>
      </c>
      <c r="B65" s="262" t="e">
        <f t="shared" si="17"/>
        <v>#VALUE!</v>
      </c>
      <c r="C65" s="3386" t="e">
        <f t="shared" si="16"/>
        <v>#VALUE!</v>
      </c>
      <c r="D65" s="3229">
        <v>0.25</v>
      </c>
      <c r="E65" s="261">
        <f>'[1]数据-汇总表'!E15</f>
        <v>0</v>
      </c>
      <c r="F65" s="1093" t="e">
        <f t="shared" si="15"/>
        <v>#VALUE!</v>
      </c>
      <c r="G65" s="3234" t="s">
        <v>3523</v>
      </c>
      <c r="H65" s="3235" t="str">
        <f>[1]项目基本情况!C37</f>
        <v>六级</v>
      </c>
      <c r="I65" s="3236" t="e">
        <f>SUMIF([1]修正!A45:A56,H65,[1]修正!H45:H56)</f>
        <v>#VALUE!</v>
      </c>
      <c r="J65" s="3237"/>
      <c r="K65" s="3187"/>
      <c r="L65" s="3227"/>
      <c r="M65" s="3227"/>
      <c r="N65" s="3227"/>
      <c r="O65" s="3227"/>
    </row>
    <row r="66" spans="1:17" s="3228" customFormat="1" ht="13.5" thickBot="1">
      <c r="A66" s="693" t="s">
        <v>3529</v>
      </c>
      <c r="B66" s="3238" t="s">
        <v>3530</v>
      </c>
      <c r="C66" s="3387" t="s">
        <v>3530</v>
      </c>
      <c r="D66" s="3238" t="s">
        <v>3530</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3531</v>
      </c>
      <c r="B69" s="3188"/>
      <c r="C69" s="3388"/>
      <c r="D69" s="3244"/>
      <c r="E69" s="3244"/>
      <c r="F69" s="3245"/>
      <c r="G69" s="3245"/>
      <c r="H69" s="3244"/>
      <c r="I69" s="3244"/>
      <c r="J69" s="3246"/>
      <c r="K69" s="3247"/>
      <c r="L69" s="3248"/>
      <c r="M69" s="3246"/>
      <c r="N69" s="3246"/>
      <c r="O69" s="3246"/>
      <c r="P69" s="3249"/>
      <c r="Q69" s="3250"/>
    </row>
    <row r="70" spans="1:17" s="3255" customFormat="1" ht="15">
      <c r="A70" s="3251" t="s">
        <v>3532</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3468</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3533</v>
      </c>
      <c r="B72" s="3261"/>
      <c r="C72" s="3262"/>
      <c r="D72" s="3263"/>
      <c r="E72" s="3263"/>
      <c r="F72" s="3263"/>
      <c r="G72" s="3263"/>
      <c r="H72" s="3263"/>
      <c r="I72" s="3263"/>
      <c r="J72" s="3263"/>
      <c r="K72" s="3263"/>
      <c r="L72" s="3263"/>
      <c r="M72" s="3264"/>
      <c r="N72" s="3263"/>
      <c r="O72" s="3265"/>
      <c r="P72" s="3250"/>
      <c r="Q72" s="3250"/>
    </row>
    <row r="73" spans="1:17" s="3074" customFormat="1" ht="15">
      <c r="A73" s="3266" t="s">
        <v>3464</v>
      </c>
      <c r="B73" s="3267"/>
      <c r="C73" s="3268" t="s">
        <v>3534</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3535</v>
      </c>
      <c r="B75" s="3278" t="s">
        <v>3536</v>
      </c>
      <c r="C75" s="3279" t="s">
        <v>3537</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3473</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3538</v>
      </c>
      <c r="D82" s="3306" t="s">
        <v>3475</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3477</v>
      </c>
      <c r="B88" s="3278" t="s">
        <v>3539</v>
      </c>
      <c r="C88" s="3328" t="s">
        <v>3540</v>
      </c>
      <c r="D88" s="3328" t="s">
        <v>3541</v>
      </c>
      <c r="E88" s="3328" t="s">
        <v>3542</v>
      </c>
      <c r="F88" s="3328" t="s">
        <v>3543</v>
      </c>
      <c r="G88" s="3328" t="s">
        <v>3544</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3545</v>
      </c>
      <c r="C90" s="3334" t="s">
        <v>3546</v>
      </c>
      <c r="D90" s="3334" t="s">
        <v>3547</v>
      </c>
      <c r="E90" s="3334" t="s">
        <v>3548</v>
      </c>
      <c r="F90" s="3334" t="s">
        <v>3543</v>
      </c>
      <c r="G90" s="3334" t="s">
        <v>3544</v>
      </c>
      <c r="H90" s="3292"/>
      <c r="I90" s="3292"/>
      <c r="J90" s="3292"/>
      <c r="K90" s="3293"/>
      <c r="L90" s="3294"/>
      <c r="M90" s="3295"/>
      <c r="N90" s="3284"/>
      <c r="O90" s="3284"/>
      <c r="P90" s="3285"/>
      <c r="Q90" s="3250"/>
    </row>
    <row r="91" spans="1:17" ht="15.75" thickBot="1">
      <c r="A91" s="3286"/>
      <c r="B91" s="3296"/>
      <c r="C91" s="3297">
        <v>100</v>
      </c>
      <c r="D91" s="3297">
        <f>C91-$K17</f>
        <v>97</v>
      </c>
      <c r="E91" s="3297">
        <f>D91-$K17</f>
        <v>94</v>
      </c>
      <c r="F91" s="3297">
        <f>E91-$K17</f>
        <v>91</v>
      </c>
      <c r="G91" s="3297">
        <f>F91-$K17</f>
        <v>88</v>
      </c>
      <c r="H91" s="3297"/>
      <c r="I91" s="3297"/>
      <c r="J91" s="3297"/>
      <c r="K91" s="3297"/>
      <c r="L91" s="3297"/>
      <c r="M91" s="3298"/>
      <c r="N91" s="3290"/>
      <c r="O91" s="3290"/>
      <c r="P91" s="3285"/>
      <c r="Q91" s="3250"/>
    </row>
    <row r="92" spans="1:17" ht="15.75" thickTop="1">
      <c r="A92" s="3286"/>
      <c r="B92" s="3291" t="s">
        <v>3549</v>
      </c>
      <c r="C92" s="3334" t="s">
        <v>3546</v>
      </c>
      <c r="D92" s="3334" t="s">
        <v>3547</v>
      </c>
      <c r="E92" s="3334" t="s">
        <v>3548</v>
      </c>
      <c r="F92" s="3334" t="s">
        <v>3543</v>
      </c>
      <c r="G92" s="3334" t="s">
        <v>3544</v>
      </c>
      <c r="H92" s="3292"/>
      <c r="I92" s="3292"/>
      <c r="J92" s="3292"/>
      <c r="K92" s="3293"/>
      <c r="L92" s="3294"/>
      <c r="M92" s="3295"/>
      <c r="N92" s="3284"/>
      <c r="O92" s="3284"/>
      <c r="P92" s="3285"/>
      <c r="Q92" s="3250"/>
    </row>
    <row r="93" spans="1:17" ht="15.75" thickBot="1">
      <c r="A93" s="3286"/>
      <c r="B93" s="3296"/>
      <c r="C93" s="3297">
        <v>100</v>
      </c>
      <c r="D93" s="3297">
        <f>C93-$K19</f>
        <v>97</v>
      </c>
      <c r="E93" s="3297">
        <f>D93-$K19</f>
        <v>94</v>
      </c>
      <c r="F93" s="3297">
        <f>E93-$K19</f>
        <v>91</v>
      </c>
      <c r="G93" s="3297">
        <f>F93-$K19</f>
        <v>88</v>
      </c>
      <c r="H93" s="3297"/>
      <c r="I93" s="3297"/>
      <c r="J93" s="3297"/>
      <c r="K93" s="3297"/>
      <c r="L93" s="3297"/>
      <c r="M93" s="3298"/>
      <c r="N93" s="3290"/>
      <c r="O93" s="3290"/>
      <c r="P93" s="3285"/>
      <c r="Q93" s="3250"/>
    </row>
    <row r="94" spans="1:17" ht="15.75" thickTop="1">
      <c r="A94" s="3286"/>
      <c r="B94" s="3291" t="s">
        <v>3550</v>
      </c>
      <c r="C94" s="3334" t="s">
        <v>3546</v>
      </c>
      <c r="D94" s="3334" t="s">
        <v>3547</v>
      </c>
      <c r="E94" s="3334" t="s">
        <v>3548</v>
      </c>
      <c r="F94" s="3334" t="s">
        <v>3543</v>
      </c>
      <c r="G94" s="3334" t="s">
        <v>3544</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3551</v>
      </c>
      <c r="C96" s="3334" t="s">
        <v>3546</v>
      </c>
      <c r="D96" s="3334" t="s">
        <v>3547</v>
      </c>
      <c r="E96" s="3334" t="s">
        <v>3548</v>
      </c>
      <c r="F96" s="3334" t="s">
        <v>3543</v>
      </c>
      <c r="G96" s="3334" t="s">
        <v>3544</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3552</v>
      </c>
      <c r="C98" s="3328" t="s">
        <v>3546</v>
      </c>
      <c r="D98" s="3328" t="s">
        <v>3547</v>
      </c>
      <c r="E98" s="3328" t="s">
        <v>3548</v>
      </c>
      <c r="F98" s="3328" t="s">
        <v>3543</v>
      </c>
      <c r="G98" s="3328" t="s">
        <v>3544</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3553</v>
      </c>
      <c r="C100" s="3328" t="s">
        <v>3546</v>
      </c>
      <c r="D100" s="3328" t="s">
        <v>3547</v>
      </c>
      <c r="E100" s="3328" t="s">
        <v>3548</v>
      </c>
      <c r="F100" s="3328" t="s">
        <v>3543</v>
      </c>
      <c r="G100" s="3328" t="s">
        <v>3544</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3554</v>
      </c>
      <c r="C102" s="3344" t="s">
        <v>3555</v>
      </c>
      <c r="D102" s="3344" t="s">
        <v>3556</v>
      </c>
      <c r="E102" s="3344" t="s">
        <v>3557</v>
      </c>
      <c r="F102" s="3344" t="s">
        <v>3558</v>
      </c>
      <c r="G102" s="3344" t="s">
        <v>3559</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3560</v>
      </c>
      <c r="D104" s="3292" t="s">
        <v>3561</v>
      </c>
      <c r="E104" s="3292" t="s">
        <v>3562</v>
      </c>
      <c r="F104" s="3292" t="s">
        <v>3563</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3564</v>
      </c>
      <c r="C106" s="3346" t="s">
        <v>3565</v>
      </c>
      <c r="D106" s="3346" t="s">
        <v>3566</v>
      </c>
      <c r="E106" s="3346" t="s">
        <v>3567</v>
      </c>
      <c r="F106" s="3346" t="s">
        <v>3568</v>
      </c>
      <c r="G106" s="3346" t="s">
        <v>3569</v>
      </c>
      <c r="H106" s="3347"/>
      <c r="I106" s="3347"/>
      <c r="J106" s="3347"/>
      <c r="K106" s="3348"/>
      <c r="L106" s="3349"/>
      <c r="M106" s="3350"/>
      <c r="N106" s="3284"/>
      <c r="O106" s="3284"/>
      <c r="P106" s="3285"/>
      <c r="Q106" s="3250"/>
    </row>
    <row r="107" spans="1:17" ht="15.75"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75" thickTop="1">
      <c r="A108" s="3286"/>
      <c r="B108" s="3291" t="s">
        <v>3570</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3493</v>
      </c>
      <c r="B116" s="3278" t="s">
        <v>3571</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5.75" thickBot="1">
      <c r="A118" s="3286"/>
      <c r="B118" s="3296"/>
      <c r="C118" s="3325">
        <v>100</v>
      </c>
      <c r="D118" s="3355">
        <f>C118+0.5</f>
        <v>100.5</v>
      </c>
      <c r="E118" s="3355">
        <f t="shared" ref="E118:G118" si="26">D118+0.5</f>
        <v>101</v>
      </c>
      <c r="F118" s="3355">
        <f t="shared" si="26"/>
        <v>101.5</v>
      </c>
      <c r="G118" s="3355">
        <f t="shared" si="26"/>
        <v>102</v>
      </c>
      <c r="H118" s="3355"/>
      <c r="I118" s="3355"/>
      <c r="J118" s="3355"/>
      <c r="K118" s="3355"/>
      <c r="L118" s="3355"/>
      <c r="M118" s="3356"/>
      <c r="N118" s="3290"/>
      <c r="O118" s="3290"/>
      <c r="P118" s="3285"/>
      <c r="Q118" s="3250"/>
    </row>
    <row r="119" spans="1:17" ht="15" thickTop="1">
      <c r="A119" s="3364"/>
      <c r="B119" s="3291" t="s">
        <v>3495</v>
      </c>
      <c r="C119" s="3365" t="s">
        <v>3572</v>
      </c>
      <c r="D119" s="3365" t="s">
        <v>3573</v>
      </c>
      <c r="E119" s="3365" t="s">
        <v>3574</v>
      </c>
      <c r="F119" s="3365" t="s">
        <v>3575</v>
      </c>
      <c r="G119" s="3365" t="s">
        <v>3576</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3497</v>
      </c>
      <c r="C121" s="3346" t="s">
        <v>3577</v>
      </c>
      <c r="D121" s="3346" t="s">
        <v>3578</v>
      </c>
      <c r="E121" s="3346" t="s">
        <v>3574</v>
      </c>
      <c r="F121" s="3365" t="s">
        <v>3579</v>
      </c>
      <c r="G121" s="3365" t="s">
        <v>3580</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3499</v>
      </c>
      <c r="C123" s="3366" t="s">
        <v>3581</v>
      </c>
      <c r="D123" s="3366" t="s">
        <v>3582</v>
      </c>
      <c r="E123" s="3366" t="s">
        <v>3583</v>
      </c>
      <c r="F123" s="3366" t="s">
        <v>3584</v>
      </c>
      <c r="G123" s="3366" t="s">
        <v>3585</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3500</v>
      </c>
      <c r="C125" s="3346" t="s">
        <v>3586</v>
      </c>
      <c r="D125" s="3346" t="s">
        <v>3587</v>
      </c>
      <c r="E125" s="3365" t="s">
        <v>3574</v>
      </c>
      <c r="F125" s="3365" t="s">
        <v>3588</v>
      </c>
      <c r="G125" s="3365" t="s">
        <v>3589</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97" priority="14" stopIfTrue="1" operator="containsText" text="超过">
      <formula>NOT(ISERROR(SEARCH("超过",F51)))</formula>
    </cfRule>
  </conditionalFormatting>
  <conditionalFormatting sqref="J53">
    <cfRule type="containsText" dxfId="196" priority="13" stopIfTrue="1" operator="containsText" text="超过">
      <formula>NOT(ISERROR(SEARCH("超过",J53)))</formula>
    </cfRule>
  </conditionalFormatting>
  <conditionalFormatting sqref="H53">
    <cfRule type="containsText" dxfId="195" priority="12" stopIfTrue="1" operator="containsText" text="超过">
      <formula>NOT(ISERROR(SEARCH("超过",H53)))</formula>
    </cfRule>
  </conditionalFormatting>
  <conditionalFormatting sqref="F53">
    <cfRule type="containsText" dxfId="194" priority="11" stopIfTrue="1" operator="containsText" text="超过">
      <formula>NOT(ISERROR(SEARCH("超过",F53)))</formula>
    </cfRule>
  </conditionalFormatting>
  <conditionalFormatting sqref="F52 H52 J52">
    <cfRule type="containsText" dxfId="193" priority="10" stopIfTrue="1" operator="containsText" text="超过">
      <formula>NOT(ISERROR(SEARCH("超过",F52)))</formula>
    </cfRule>
  </conditionalFormatting>
  <conditionalFormatting sqref="E51">
    <cfRule type="expression" dxfId="192" priority="9" stopIfTrue="1">
      <formula>$F$51="超过30%"</formula>
    </cfRule>
  </conditionalFormatting>
  <conditionalFormatting sqref="G53">
    <cfRule type="expression" dxfId="191" priority="8" stopIfTrue="1">
      <formula>$H$53="超过30%"</formula>
    </cfRule>
  </conditionalFormatting>
  <conditionalFormatting sqref="E52">
    <cfRule type="expression" dxfId="190" priority="7" stopIfTrue="1">
      <formula>$F$52="超过20%"</formula>
    </cfRule>
  </conditionalFormatting>
  <conditionalFormatting sqref="E53">
    <cfRule type="expression" dxfId="189" priority="6" stopIfTrue="1">
      <formula>$F$53="超过30%"</formula>
    </cfRule>
  </conditionalFormatting>
  <conditionalFormatting sqref="G51">
    <cfRule type="expression" dxfId="188" priority="5" stopIfTrue="1">
      <formula>$H$53+$H$51="超过30%"</formula>
    </cfRule>
  </conditionalFormatting>
  <conditionalFormatting sqref="G52">
    <cfRule type="expression" dxfId="187" priority="4" stopIfTrue="1">
      <formula>$H$52="超过20%"</formula>
    </cfRule>
  </conditionalFormatting>
  <conditionalFormatting sqref="I51">
    <cfRule type="expression" dxfId="186" priority="3" stopIfTrue="1">
      <formula>$J$51="超过30%"</formula>
    </cfRule>
  </conditionalFormatting>
  <conditionalFormatting sqref="I52">
    <cfRule type="expression" dxfId="185" priority="2" stopIfTrue="1">
      <formula>$J$52="超过20%"</formula>
    </cfRule>
  </conditionalFormatting>
  <conditionalFormatting sqref="I53">
    <cfRule type="expression" dxfId="18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10</v>
      </c>
    </row>
    <row r="2" spans="1:9" s="244" customFormat="1" ht="18" customHeight="1">
      <c r="A2" s="245" t="s">
        <v>2315</v>
      </c>
      <c r="B2" s="246">
        <f ca="1">IF(D2="——",C52,C52-E2)</f>
        <v>212668</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48219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130020</v>
      </c>
      <c r="D5" s="255" t="s">
        <v>2322</v>
      </c>
      <c r="E5" s="256" t="s">
        <v>2323</v>
      </c>
      <c r="F5" s="256" t="s">
        <v>2324</v>
      </c>
      <c r="G5" s="257"/>
    </row>
    <row r="6" spans="1:9" s="258" customFormat="1" ht="13.5" customHeight="1">
      <c r="A6" s="939" t="s">
        <v>2325</v>
      </c>
      <c r="B6" s="259" t="s">
        <v>2326</v>
      </c>
      <c r="C6" s="260">
        <f>ROUND('土地比较法-住宅、综合'!B56*'数据-汇总表'!F27/10000,0)</f>
        <v>125316</v>
      </c>
      <c r="D6" s="261"/>
      <c r="E6" s="262"/>
      <c r="F6" s="262"/>
      <c r="G6" s="263"/>
    </row>
    <row r="7" spans="1:9" s="258" customFormat="1" ht="13.5" customHeight="1">
      <c r="A7" s="939" t="s">
        <v>2327</v>
      </c>
      <c r="B7" s="259" t="s">
        <v>2328</v>
      </c>
      <c r="C7" s="264">
        <f>ROUND(C6*F7,0)</f>
        <v>3822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882</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882</v>
      </c>
      <c r="D10" s="1022">
        <f ca="1">IF(B1="",'数据-汇总表'!E6,IF(INDIRECT("'数据-取费表'!c"&amp;$G$1)="住宅",INDIRECT("'数据-取费表'!s"&amp;$G$1),INDIRECT("'数据-取费表'!k"&amp;$G$1)+INDIRECT("'数据-取费表'!s"&amp;$G$1)))</f>
        <v>44104.409999999996</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44104.409999999996</v>
      </c>
      <c r="E19" s="255">
        <f>'数据-取费表'!B31</f>
        <v>200</v>
      </c>
      <c r="F19" s="275"/>
      <c r="G19" s="2523" t="s">
        <v>3628</v>
      </c>
    </row>
    <row r="20" spans="1:7" s="258" customFormat="1" ht="13.5" customHeight="1">
      <c r="A20" s="299" t="s">
        <v>2346</v>
      </c>
      <c r="B20" s="254" t="s">
        <v>2347</v>
      </c>
      <c r="C20" s="276">
        <f ca="1">ROUND((C5+C19)*F20,0)</f>
        <v>2600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12769</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12645</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124</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33155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33155</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193922</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16303</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14757</v>
      </c>
      <c r="D34" s="261"/>
      <c r="E34" s="264"/>
      <c r="F34" s="301">
        <f ca="1">IF('数据-取费表'!B24=0,1,IF(B1="",'数据-取费表'!N16,INDIRECT("'数据-取费表'!n"&amp;$G$1)))</f>
        <v>1</v>
      </c>
      <c r="G34" s="263" t="s">
        <v>2379</v>
      </c>
    </row>
    <row r="35" spans="1:7" ht="13.5" customHeight="1">
      <c r="A35" s="941" t="s">
        <v>796</v>
      </c>
      <c r="B35" s="259" t="s">
        <v>2380</v>
      </c>
      <c r="C35" s="264">
        <f ca="1">ROUND(C34*F35,0)</f>
        <v>443</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882</v>
      </c>
      <c r="D37" s="261">
        <f ca="1">D19</f>
        <v>44104.409999999996</v>
      </c>
      <c r="E37" s="293">
        <f>'数据-取费表'!B35</f>
        <v>200</v>
      </c>
      <c r="F37" s="303"/>
      <c r="G37" s="305" t="s">
        <v>2385</v>
      </c>
    </row>
    <row r="38" spans="1:7" ht="13.5" customHeight="1">
      <c r="A38" s="941" t="s">
        <v>799</v>
      </c>
      <c r="B38" s="259" t="s">
        <v>2386</v>
      </c>
      <c r="C38" s="264">
        <f ca="1">ROUND(C34*F38,0)</f>
        <v>221</v>
      </c>
      <c r="D38" s="264"/>
      <c r="E38" s="264"/>
      <c r="F38" s="303">
        <f>'数据-取费表'!B36</f>
        <v>1.4999999999999999E-2</v>
      </c>
      <c r="G38" s="263" t="s">
        <v>2381</v>
      </c>
    </row>
    <row r="39" spans="1:7" s="258" customFormat="1" ht="13.5" customHeight="1">
      <c r="A39" s="299" t="s">
        <v>2387</v>
      </c>
      <c r="B39" s="254" t="s">
        <v>2388</v>
      </c>
      <c r="C39" s="276">
        <f ca="1">ROUND(C33*F20,0)</f>
        <v>326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789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774</v>
      </c>
      <c r="D42" s="282"/>
      <c r="E42" s="282"/>
      <c r="F42" s="283"/>
      <c r="G42" s="3713" t="s">
        <v>2397</v>
      </c>
    </row>
    <row r="43" spans="1:7" ht="13.5" customHeight="1">
      <c r="A43" s="941" t="s">
        <v>792</v>
      </c>
      <c r="B43" s="259" t="s">
        <v>2398</v>
      </c>
      <c r="C43" s="282">
        <f ca="1">ROUND(IF('数据-取费表'!B22&lt;=1,C39*F22*'数据-取费表'!B21/2,C39*(POWER((1+F22),'数据-取费表'!B21/2)-1)),0)</f>
        <v>15</v>
      </c>
      <c r="D43" s="282"/>
      <c r="E43" s="282"/>
      <c r="F43" s="283"/>
      <c r="G43" s="3714"/>
    </row>
    <row r="44" spans="1:7" ht="13.5" customHeight="1">
      <c r="A44" s="941" t="s">
        <v>793</v>
      </c>
      <c r="B44" s="259" t="s">
        <v>2399</v>
      </c>
      <c r="C44" s="282">
        <f ca="1">ROUND(IF('数据-取费表'!B22&lt;=1,C40*F22*'数据-取费表'!B21/2,C40*(POWER((1+F22),'数据-取费表'!B21/2)-1)),4)</f>
        <v>1E-3</v>
      </c>
      <c r="D44" s="282"/>
      <c r="E44" s="282"/>
      <c r="F44" s="283"/>
      <c r="G44" s="3715"/>
    </row>
    <row r="45" spans="1:7" s="258" customFormat="1" ht="13.5" customHeight="1">
      <c r="A45" s="299" t="s">
        <v>2400</v>
      </c>
      <c r="B45" s="288" t="s">
        <v>2366</v>
      </c>
      <c r="C45" s="289">
        <f ca="1">C46</f>
        <v>4157</v>
      </c>
      <c r="D45" s="279">
        <f ca="1">C47</f>
        <v>5.0000000000000001E-3</v>
      </c>
      <c r="E45" s="280" t="s">
        <v>2392</v>
      </c>
      <c r="F45" s="290"/>
      <c r="G45" s="291" t="s">
        <v>2401</v>
      </c>
    </row>
    <row r="46" spans="1:7" s="258" customFormat="1" ht="13.5" customHeight="1">
      <c r="A46" s="941" t="s">
        <v>791</v>
      </c>
      <c r="B46" s="292" t="s">
        <v>2402</v>
      </c>
      <c r="C46" s="293">
        <f ca="1">ROUND((C33+C39)*F27,0)</f>
        <v>4157</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23433</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18746</v>
      </c>
      <c r="D51" s="276"/>
      <c r="E51" s="276"/>
      <c r="F51" s="308"/>
      <c r="G51" s="278" t="s">
        <v>2413</v>
      </c>
    </row>
    <row r="52" spans="1:7" s="252" customFormat="1" ht="16.5" thickBot="1">
      <c r="A52" s="309" t="s">
        <v>2414</v>
      </c>
      <c r="B52" s="310"/>
      <c r="C52" s="311">
        <f ca="1">C31+C51</f>
        <v>212668</v>
      </c>
      <c r="D52" s="310"/>
      <c r="E52" s="310"/>
      <c r="F52" s="310"/>
      <c r="G52" s="312"/>
    </row>
    <row r="55" spans="1:7" ht="15">
      <c r="B55" s="314" t="s">
        <v>2415</v>
      </c>
      <c r="C55" s="315"/>
    </row>
    <row r="56" spans="1:7">
      <c r="B56" s="317" t="s">
        <v>1501</v>
      </c>
      <c r="C56" s="319">
        <f ca="1">1-C57</f>
        <v>0.91200000000000003</v>
      </c>
    </row>
    <row r="57" spans="1:7">
      <c r="B57" s="317" t="s">
        <v>1502</v>
      </c>
      <c r="C57" s="318">
        <f ca="1">ROUND(C51/C52,3)</f>
        <v>8.7999999999999995E-2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9" t="s">
        <v>2636</v>
      </c>
      <c r="AC4" s="3716" t="s">
        <v>2637</v>
      </c>
    </row>
    <row r="5" spans="1:29" ht="15">
      <c r="A5" s="403"/>
      <c r="B5" s="404"/>
      <c r="C5" s="3728" t="s">
        <v>3433</v>
      </c>
      <c r="D5" s="3729"/>
      <c r="E5" s="3726" t="s">
        <v>3443</v>
      </c>
      <c r="F5" s="3727"/>
      <c r="G5" s="3728" t="s">
        <v>3435</v>
      </c>
      <c r="H5" s="3729"/>
      <c r="I5" s="3728" t="s">
        <v>3436</v>
      </c>
      <c r="J5" s="3729"/>
      <c r="K5" s="609"/>
      <c r="L5" s="1113"/>
      <c r="M5" s="1114"/>
      <c r="N5" s="1114"/>
      <c r="O5" s="1114"/>
      <c r="P5" s="3741"/>
      <c r="Q5" s="3742"/>
      <c r="R5" s="3724"/>
      <c r="S5" s="3725"/>
      <c r="T5" s="3724"/>
      <c r="U5" s="3725"/>
      <c r="V5" s="3719"/>
      <c r="W5" s="3719"/>
      <c r="X5" s="1793"/>
      <c r="Y5" s="3724"/>
      <c r="Z5" s="3725"/>
      <c r="AA5" s="3717"/>
      <c r="AB5" s="3719"/>
      <c r="AC5" s="3717"/>
    </row>
    <row r="6" spans="1:29" ht="15.7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9"/>
      <c r="AC6" s="3718"/>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720" t="s">
        <v>2537</v>
      </c>
      <c r="Q7" s="3747"/>
      <c r="R7" s="766" t="s">
        <v>17</v>
      </c>
      <c r="S7" s="767">
        <f t="shared" ref="S7:S15" si="0">F7</f>
        <v>99</v>
      </c>
      <c r="T7" s="766" t="s">
        <v>17</v>
      </c>
      <c r="U7" s="767">
        <f t="shared" ref="U7:U15" si="1">H7</f>
        <v>99</v>
      </c>
      <c r="V7" s="766" t="s">
        <v>17</v>
      </c>
      <c r="W7" s="767">
        <f t="shared" ref="W7:W15" si="2">J7</f>
        <v>99</v>
      </c>
      <c r="X7" s="768"/>
      <c r="Y7" s="3720" t="s">
        <v>2537</v>
      </c>
      <c r="Z7" s="3721"/>
      <c r="AA7" s="769">
        <f>D7/F7</f>
        <v>1.0101010101010102</v>
      </c>
      <c r="AB7" s="769">
        <f>D7/H7</f>
        <v>1.0101010101010102</v>
      </c>
      <c r="AC7" s="769">
        <f>D7/J7</f>
        <v>1.0101010101010102</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720" t="s">
        <v>2540</v>
      </c>
      <c r="Q8" s="3721"/>
      <c r="R8" s="766" t="s">
        <v>17</v>
      </c>
      <c r="S8" s="767">
        <f t="shared" si="0"/>
        <v>100</v>
      </c>
      <c r="T8" s="766" t="s">
        <v>17</v>
      </c>
      <c r="U8" s="767">
        <f t="shared" si="1"/>
        <v>100</v>
      </c>
      <c r="V8" s="766" t="s">
        <v>17</v>
      </c>
      <c r="W8" s="767">
        <f t="shared" si="2"/>
        <v>100</v>
      </c>
      <c r="X8" s="768"/>
      <c r="Y8" s="3720" t="s">
        <v>2540</v>
      </c>
      <c r="Z8" s="3721"/>
      <c r="AA8" s="769">
        <f t="shared" ref="AA8:AA46" si="3">D8/F8</f>
        <v>1</v>
      </c>
      <c r="AB8" s="769">
        <f t="shared" ref="AB8:AB46" si="4">D8/H8</f>
        <v>1</v>
      </c>
      <c r="AC8" s="769">
        <f t="shared" ref="AC8:AC46" si="5">D8/J8</f>
        <v>1</v>
      </c>
    </row>
    <row r="9" spans="1:29" s="117" customFormat="1">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734"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7">
      <c r="A10" s="420"/>
      <c r="B10" s="421" t="s">
        <v>2545</v>
      </c>
      <c r="C10" s="422" t="s">
        <v>3434</v>
      </c>
      <c r="D10" s="136">
        <v>100</v>
      </c>
      <c r="E10" s="422" t="s">
        <v>3434</v>
      </c>
      <c r="F10" s="424">
        <f>SUMIF(65:65,E10,66:66)-SUMIF(65:65,C10,66:66)+100</f>
        <v>100</v>
      </c>
      <c r="G10" s="422" t="s">
        <v>3434</v>
      </c>
      <c r="H10" s="136">
        <f>SUMIF(65:65,G10,66:66)-SUMIF(65:65,C10,66:66)+100</f>
        <v>100</v>
      </c>
      <c r="I10" s="422" t="s">
        <v>3434</v>
      </c>
      <c r="J10" s="136">
        <f>SUMIF(65:65,I10,66:66)-SUMIF(65:65,C10,66:66)+100</f>
        <v>100</v>
      </c>
      <c r="K10" s="611"/>
      <c r="L10" s="1118"/>
      <c r="M10" s="1119"/>
      <c r="N10" s="1119"/>
      <c r="O10" s="1119"/>
      <c r="P10" s="3734"/>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734"/>
      <c r="Q11" s="1775" t="str">
        <f t="shared" si="6"/>
        <v>容积率</v>
      </c>
      <c r="R11" s="766" t="s">
        <v>17</v>
      </c>
      <c r="S11" s="767">
        <f t="shared" si="0"/>
        <v>100</v>
      </c>
      <c r="T11" s="766" t="s">
        <v>17</v>
      </c>
      <c r="U11" s="767">
        <f t="shared" si="1"/>
        <v>100</v>
      </c>
      <c r="V11" s="766" t="s">
        <v>17</v>
      </c>
      <c r="W11" s="767">
        <f t="shared" si="2"/>
        <v>100</v>
      </c>
      <c r="X11" s="768"/>
      <c r="Y11" s="3521"/>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734"/>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734"/>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734"/>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748" t="s">
        <v>2548</v>
      </c>
      <c r="Q15" s="1790" t="str">
        <f t="shared" si="6"/>
        <v>商业繁华度</v>
      </c>
      <c r="R15" s="770" t="s">
        <v>17</v>
      </c>
      <c r="S15" s="771">
        <f t="shared" si="0"/>
        <v>100</v>
      </c>
      <c r="T15" s="770" t="s">
        <v>17</v>
      </c>
      <c r="U15" s="771">
        <f t="shared" si="1"/>
        <v>100</v>
      </c>
      <c r="V15" s="770" t="s">
        <v>17</v>
      </c>
      <c r="W15" s="771">
        <f t="shared" si="2"/>
        <v>100</v>
      </c>
      <c r="X15" s="1793"/>
      <c r="Y15" s="3750"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749"/>
      <c r="Q16" s="1790"/>
      <c r="R16" s="770"/>
      <c r="S16" s="771"/>
      <c r="T16" s="770"/>
      <c r="U16" s="771"/>
      <c r="V16" s="770"/>
      <c r="W16" s="771"/>
      <c r="X16" s="1793"/>
      <c r="Y16" s="3751"/>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749"/>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749"/>
      <c r="Q18" s="1790"/>
      <c r="R18" s="770"/>
      <c r="S18" s="771"/>
      <c r="T18" s="770"/>
      <c r="U18" s="771"/>
      <c r="V18" s="770"/>
      <c r="W18" s="771"/>
      <c r="X18" s="1793"/>
      <c r="Y18" s="3751"/>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749"/>
      <c r="Q19" s="1790" t="str">
        <f>B19</f>
        <v>公共配套设施</v>
      </c>
      <c r="R19" s="770" t="s">
        <v>17</v>
      </c>
      <c r="S19" s="771">
        <f>F19</f>
        <v>100</v>
      </c>
      <c r="T19" s="770" t="s">
        <v>17</v>
      </c>
      <c r="U19" s="771">
        <f>H19</f>
        <v>100</v>
      </c>
      <c r="V19" s="770" t="s">
        <v>17</v>
      </c>
      <c r="W19" s="771">
        <f>J19</f>
        <v>100</v>
      </c>
      <c r="X19" s="1793"/>
      <c r="Y19" s="3751"/>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749"/>
      <c r="Q20" s="1790"/>
      <c r="R20" s="770"/>
      <c r="S20" s="771"/>
      <c r="T20" s="770"/>
      <c r="U20" s="771"/>
      <c r="V20" s="770"/>
      <c r="W20" s="771"/>
      <c r="X20" s="1793"/>
      <c r="Y20" s="3751"/>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749"/>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749"/>
      <c r="Q22" s="1790"/>
      <c r="R22" s="770"/>
      <c r="S22" s="771"/>
      <c r="T22" s="770"/>
      <c r="U22" s="771"/>
      <c r="V22" s="770"/>
      <c r="W22" s="771"/>
      <c r="X22" s="1793"/>
      <c r="Y22" s="3751"/>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749"/>
      <c r="Q23" s="1790" t="str">
        <f>B23</f>
        <v>自然及人文环境</v>
      </c>
      <c r="R23" s="770" t="s">
        <v>17</v>
      </c>
      <c r="S23" s="771">
        <f>F23</f>
        <v>100</v>
      </c>
      <c r="T23" s="770" t="s">
        <v>17</v>
      </c>
      <c r="U23" s="771">
        <f>H23</f>
        <v>100</v>
      </c>
      <c r="V23" s="770" t="s">
        <v>17</v>
      </c>
      <c r="W23" s="771">
        <f>J23</f>
        <v>100</v>
      </c>
      <c r="X23" s="1793"/>
      <c r="Y23" s="3751"/>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749"/>
      <c r="Q24" s="1790"/>
      <c r="R24" s="770"/>
      <c r="S24" s="771"/>
      <c r="T24" s="770"/>
      <c r="U24" s="771"/>
      <c r="V24" s="770"/>
      <c r="W24" s="771"/>
      <c r="X24" s="1793"/>
      <c r="Y24" s="3751"/>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749"/>
      <c r="Q25" s="1790" t="str">
        <f t="shared" ref="Q25:Q46" si="11">B25</f>
        <v>临街状况</v>
      </c>
      <c r="R25" s="770" t="s">
        <v>17</v>
      </c>
      <c r="S25" s="771">
        <f>F25</f>
        <v>100</v>
      </c>
      <c r="T25" s="770" t="s">
        <v>17</v>
      </c>
      <c r="U25" s="771">
        <f>H25</f>
        <v>100</v>
      </c>
      <c r="V25" s="770" t="s">
        <v>17</v>
      </c>
      <c r="W25" s="771">
        <f>J25</f>
        <v>100</v>
      </c>
      <c r="X25" s="1793"/>
      <c r="Y25" s="3751"/>
      <c r="Z25" s="1794" t="str">
        <f>Q25</f>
        <v>临街状况</v>
      </c>
      <c r="AA25" s="1791">
        <f t="shared" si="3"/>
        <v>1</v>
      </c>
      <c r="AB25" s="1791">
        <f t="shared" si="4"/>
        <v>1</v>
      </c>
      <c r="AC25" s="1791">
        <f t="shared" si="5"/>
        <v>1</v>
      </c>
    </row>
    <row r="26" spans="1:29" ht="15">
      <c r="A26" s="427"/>
      <c r="B26" s="1368" t="s">
        <v>2645</v>
      </c>
      <c r="C26" s="2970" t="s">
        <v>3442</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749"/>
      <c r="Q26" s="1790" t="str">
        <f t="shared" si="11"/>
        <v>平面位置/可视性</v>
      </c>
      <c r="R26" s="770" t="s">
        <v>17</v>
      </c>
      <c r="S26" s="771">
        <f>F26</f>
        <v>100</v>
      </c>
      <c r="T26" s="770" t="s">
        <v>17</v>
      </c>
      <c r="U26" s="771">
        <f>H26</f>
        <v>100</v>
      </c>
      <c r="V26" s="770" t="s">
        <v>17</v>
      </c>
      <c r="W26" s="771">
        <f>J26</f>
        <v>100</v>
      </c>
      <c r="X26" s="1793"/>
      <c r="Y26" s="3751"/>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749"/>
      <c r="Q27" s="1775" t="str">
        <f t="shared" si="11"/>
        <v>人流量</v>
      </c>
      <c r="R27" s="766" t="s">
        <v>17</v>
      </c>
      <c r="S27" s="767">
        <f>F27</f>
        <v>100</v>
      </c>
      <c r="T27" s="766" t="s">
        <v>17</v>
      </c>
      <c r="U27" s="767">
        <f>H27</f>
        <v>100</v>
      </c>
      <c r="V27" s="766" t="s">
        <v>17</v>
      </c>
      <c r="W27" s="767">
        <f>J27</f>
        <v>100</v>
      </c>
      <c r="X27" s="768"/>
      <c r="Y27" s="3751"/>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749"/>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751"/>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749"/>
      <c r="Q29" s="1790">
        <f t="shared" si="11"/>
        <v>111</v>
      </c>
      <c r="R29" s="770" t="s">
        <v>17</v>
      </c>
      <c r="S29" s="771">
        <f t="shared" si="12"/>
        <v>100</v>
      </c>
      <c r="T29" s="770" t="s">
        <v>17</v>
      </c>
      <c r="U29" s="771">
        <f t="shared" si="13"/>
        <v>100</v>
      </c>
      <c r="V29" s="770" t="s">
        <v>17</v>
      </c>
      <c r="W29" s="771">
        <f t="shared" si="14"/>
        <v>100</v>
      </c>
      <c r="X29" s="1793"/>
      <c r="Y29" s="3751"/>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749"/>
      <c r="Q30" s="1790">
        <f t="shared" si="11"/>
        <v>111</v>
      </c>
      <c r="R30" s="770" t="s">
        <v>17</v>
      </c>
      <c r="S30" s="771">
        <f t="shared" si="12"/>
        <v>100</v>
      </c>
      <c r="T30" s="770" t="s">
        <v>17</v>
      </c>
      <c r="U30" s="771">
        <f t="shared" si="13"/>
        <v>100</v>
      </c>
      <c r="V30" s="770" t="s">
        <v>17</v>
      </c>
      <c r="W30" s="771">
        <f t="shared" si="14"/>
        <v>100</v>
      </c>
      <c r="X30" s="1793"/>
      <c r="Y30" s="3751"/>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749"/>
      <c r="Q31" s="1790">
        <f t="shared" si="11"/>
        <v>111</v>
      </c>
      <c r="R31" s="770" t="s">
        <v>17</v>
      </c>
      <c r="S31" s="771">
        <f t="shared" si="12"/>
        <v>100</v>
      </c>
      <c r="T31" s="770" t="s">
        <v>17</v>
      </c>
      <c r="U31" s="771">
        <f t="shared" si="13"/>
        <v>100</v>
      </c>
      <c r="V31" s="770" t="s">
        <v>17</v>
      </c>
      <c r="W31" s="771">
        <f t="shared" si="14"/>
        <v>100</v>
      </c>
      <c r="X31" s="1793"/>
      <c r="Y31" s="3751"/>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752" t="s">
        <v>2553</v>
      </c>
      <c r="Q32" s="1790" t="str">
        <f t="shared" si="11"/>
        <v>商业类型</v>
      </c>
      <c r="R32" s="770" t="s">
        <v>17</v>
      </c>
      <c r="S32" s="771">
        <f t="shared" si="12"/>
        <v>100</v>
      </c>
      <c r="T32" s="770" t="s">
        <v>17</v>
      </c>
      <c r="U32" s="771">
        <f t="shared" si="13"/>
        <v>100</v>
      </c>
      <c r="V32" s="770" t="s">
        <v>17</v>
      </c>
      <c r="W32" s="771">
        <f t="shared" si="14"/>
        <v>100</v>
      </c>
      <c r="X32" s="1793"/>
      <c r="Y32" s="3755"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753"/>
      <c r="Q33" s="772" t="str">
        <f t="shared" si="11"/>
        <v>项目建筑规模</v>
      </c>
      <c r="R33" s="773" t="s">
        <v>17</v>
      </c>
      <c r="S33" s="774">
        <f t="shared" si="12"/>
        <v>102.5</v>
      </c>
      <c r="T33" s="773" t="s">
        <v>17</v>
      </c>
      <c r="U33" s="774">
        <f t="shared" si="13"/>
        <v>102</v>
      </c>
      <c r="V33" s="773" t="s">
        <v>17</v>
      </c>
      <c r="W33" s="774">
        <f t="shared" si="14"/>
        <v>102</v>
      </c>
      <c r="X33" s="775"/>
      <c r="Y33" s="3755"/>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753"/>
      <c r="Q34" s="1790" t="str">
        <f t="shared" si="11"/>
        <v>建筑结构</v>
      </c>
      <c r="R34" s="770" t="s">
        <v>17</v>
      </c>
      <c r="S34" s="771">
        <f t="shared" si="12"/>
        <v>100</v>
      </c>
      <c r="T34" s="770" t="s">
        <v>17</v>
      </c>
      <c r="U34" s="771">
        <f t="shared" si="13"/>
        <v>100</v>
      </c>
      <c r="V34" s="770" t="s">
        <v>17</v>
      </c>
      <c r="W34" s="771">
        <f t="shared" si="14"/>
        <v>100</v>
      </c>
      <c r="X34" s="1793"/>
      <c r="Y34" s="3755"/>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753"/>
      <c r="Q35" s="1790" t="str">
        <f t="shared" si="11"/>
        <v>公共部分装修</v>
      </c>
      <c r="R35" s="770" t="s">
        <v>17</v>
      </c>
      <c r="S35" s="771">
        <f t="shared" si="12"/>
        <v>100</v>
      </c>
      <c r="T35" s="770" t="s">
        <v>17</v>
      </c>
      <c r="U35" s="771">
        <f t="shared" si="13"/>
        <v>100</v>
      </c>
      <c r="V35" s="770" t="s">
        <v>17</v>
      </c>
      <c r="W35" s="771">
        <f t="shared" si="14"/>
        <v>100</v>
      </c>
      <c r="X35" s="1793"/>
      <c r="Y35" s="3755"/>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753"/>
      <c r="Q36" s="1790" t="str">
        <f t="shared" si="11"/>
        <v>成新度</v>
      </c>
      <c r="R36" s="770" t="s">
        <v>17</v>
      </c>
      <c r="S36" s="771">
        <f t="shared" si="12"/>
        <v>100</v>
      </c>
      <c r="T36" s="770" t="s">
        <v>17</v>
      </c>
      <c r="U36" s="771">
        <f t="shared" si="13"/>
        <v>100</v>
      </c>
      <c r="V36" s="770" t="s">
        <v>17</v>
      </c>
      <c r="W36" s="771">
        <f t="shared" si="14"/>
        <v>100</v>
      </c>
      <c r="X36" s="1793"/>
      <c r="Y36" s="3755"/>
      <c r="Z36" s="1794" t="str">
        <f t="shared" si="15"/>
        <v>成新度</v>
      </c>
      <c r="AA36" s="1791">
        <f t="shared" si="3"/>
        <v>1</v>
      </c>
      <c r="AB36" s="1791">
        <f t="shared" si="4"/>
        <v>1</v>
      </c>
      <c r="AC36" s="1791">
        <f t="shared" si="5"/>
        <v>1</v>
      </c>
    </row>
    <row r="37" spans="1:29" s="117" customFormat="1" ht="15">
      <c r="A37" s="472"/>
      <c r="B37" s="421" t="s">
        <v>2651</v>
      </c>
      <c r="C37" s="2586" t="s">
        <v>3444</v>
      </c>
      <c r="D37" s="136">
        <v>100</v>
      </c>
      <c r="E37" s="2586" t="s">
        <v>3444</v>
      </c>
      <c r="F37" s="460">
        <f>SUMIF(112:112,E37,113:113)-SUMIF(112:112,C37,113:113)+100</f>
        <v>100</v>
      </c>
      <c r="G37" s="2586" t="s">
        <v>3444</v>
      </c>
      <c r="H37" s="434">
        <f>SUMIF(112:112,G37,113:113)-SUMIF(112:112,C37,113:113)+100</f>
        <v>100</v>
      </c>
      <c r="I37" s="2586" t="s">
        <v>3444</v>
      </c>
      <c r="J37" s="434">
        <f>SUMIF(112:112,I37,113:113)-SUMIF(112:112,C37,113:113)+100</f>
        <v>100</v>
      </c>
      <c r="K37" s="611">
        <v>1</v>
      </c>
      <c r="L37" s="1115"/>
      <c r="M37" s="1116"/>
      <c r="N37" s="1116"/>
      <c r="O37" s="1116"/>
      <c r="P37" s="3753"/>
      <c r="Q37" s="1775" t="str">
        <f t="shared" si="11"/>
        <v>市政基础设施</v>
      </c>
      <c r="R37" s="766" t="s">
        <v>17</v>
      </c>
      <c r="S37" s="767">
        <f t="shared" si="12"/>
        <v>100</v>
      </c>
      <c r="T37" s="766" t="s">
        <v>17</v>
      </c>
      <c r="U37" s="767">
        <f t="shared" si="13"/>
        <v>100</v>
      </c>
      <c r="V37" s="766" t="s">
        <v>17</v>
      </c>
      <c r="W37" s="767">
        <f t="shared" si="14"/>
        <v>100</v>
      </c>
      <c r="X37" s="768"/>
      <c r="Y37" s="3755"/>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753" t="s">
        <v>2553</v>
      </c>
      <c r="Q38" s="1790" t="str">
        <f t="shared" si="11"/>
        <v>业态</v>
      </c>
      <c r="R38" s="770" t="s">
        <v>17</v>
      </c>
      <c r="S38" s="771">
        <f t="shared" si="12"/>
        <v>100</v>
      </c>
      <c r="T38" s="770" t="s">
        <v>17</v>
      </c>
      <c r="U38" s="771">
        <f t="shared" si="13"/>
        <v>100</v>
      </c>
      <c r="V38" s="770" t="s">
        <v>17</v>
      </c>
      <c r="W38" s="771">
        <f t="shared" si="14"/>
        <v>100</v>
      </c>
      <c r="X38" s="1793"/>
      <c r="Y38" s="3755"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753"/>
      <c r="Q39" s="1790" t="str">
        <f t="shared" si="11"/>
        <v>层高</v>
      </c>
      <c r="R39" s="770" t="s">
        <v>17</v>
      </c>
      <c r="S39" s="771">
        <f t="shared" si="12"/>
        <v>100</v>
      </c>
      <c r="T39" s="770" t="s">
        <v>17</v>
      </c>
      <c r="U39" s="771">
        <f t="shared" si="13"/>
        <v>100</v>
      </c>
      <c r="V39" s="770" t="s">
        <v>17</v>
      </c>
      <c r="W39" s="771">
        <f t="shared" si="14"/>
        <v>103</v>
      </c>
      <c r="X39" s="1793"/>
      <c r="Y39" s="3755"/>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753"/>
      <c r="Q40" s="1790" t="str">
        <f t="shared" si="11"/>
        <v>单套建筑面积</v>
      </c>
      <c r="R40" s="770" t="s">
        <v>17</v>
      </c>
      <c r="S40" s="771">
        <f t="shared" si="12"/>
        <v>100</v>
      </c>
      <c r="T40" s="770" t="s">
        <v>17</v>
      </c>
      <c r="U40" s="771">
        <f t="shared" si="13"/>
        <v>100</v>
      </c>
      <c r="V40" s="770" t="s">
        <v>17</v>
      </c>
      <c r="W40" s="771">
        <f t="shared" si="14"/>
        <v>100</v>
      </c>
      <c r="X40" s="1793"/>
      <c r="Y40" s="3755"/>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753"/>
      <c r="Q41" s="772" t="str">
        <f t="shared" si="11"/>
        <v>进深比</v>
      </c>
      <c r="R41" s="773" t="s">
        <v>17</v>
      </c>
      <c r="S41" s="774">
        <f t="shared" si="12"/>
        <v>100</v>
      </c>
      <c r="T41" s="773" t="s">
        <v>17</v>
      </c>
      <c r="U41" s="774">
        <f t="shared" si="13"/>
        <v>100</v>
      </c>
      <c r="V41" s="773" t="s">
        <v>17</v>
      </c>
      <c r="W41" s="774">
        <f t="shared" si="14"/>
        <v>100</v>
      </c>
      <c r="X41" s="775"/>
      <c r="Y41" s="3755"/>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753"/>
      <c r="Q42" s="1790" t="str">
        <f t="shared" si="11"/>
        <v>内部装修</v>
      </c>
      <c r="R42" s="770" t="s">
        <v>17</v>
      </c>
      <c r="S42" s="771">
        <f t="shared" si="12"/>
        <v>100</v>
      </c>
      <c r="T42" s="770" t="s">
        <v>17</v>
      </c>
      <c r="U42" s="771">
        <f t="shared" si="13"/>
        <v>100</v>
      </c>
      <c r="V42" s="770" t="s">
        <v>17</v>
      </c>
      <c r="W42" s="771">
        <f t="shared" si="14"/>
        <v>100</v>
      </c>
      <c r="X42" s="1793"/>
      <c r="Y42" s="3755"/>
      <c r="Z42" s="1794" t="str">
        <f t="shared" si="15"/>
        <v>内部装修</v>
      </c>
      <c r="AA42" s="1791">
        <f t="shared" si="3"/>
        <v>1</v>
      </c>
      <c r="AB42" s="1791">
        <f t="shared" si="4"/>
        <v>1</v>
      </c>
      <c r="AC42" s="1791">
        <f t="shared" si="5"/>
        <v>1</v>
      </c>
    </row>
    <row r="43" spans="1:29" ht="15">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753"/>
      <c r="Q43" s="1790" t="str">
        <f t="shared" si="11"/>
        <v>内部装修维护情况</v>
      </c>
      <c r="R43" s="770" t="s">
        <v>17</v>
      </c>
      <c r="S43" s="771">
        <f t="shared" si="12"/>
        <v>100</v>
      </c>
      <c r="T43" s="770" t="s">
        <v>17</v>
      </c>
      <c r="U43" s="771">
        <f t="shared" si="13"/>
        <v>100</v>
      </c>
      <c r="V43" s="770" t="s">
        <v>17</v>
      </c>
      <c r="W43" s="771">
        <f t="shared" si="14"/>
        <v>100</v>
      </c>
      <c r="X43" s="1793"/>
      <c r="Y43" s="3755"/>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753"/>
      <c r="Q44" s="1775">
        <f t="shared" si="11"/>
        <v>0</v>
      </c>
      <c r="R44" s="766" t="s">
        <v>17</v>
      </c>
      <c r="S44" s="767">
        <f t="shared" si="12"/>
        <v>100</v>
      </c>
      <c r="T44" s="766" t="s">
        <v>17</v>
      </c>
      <c r="U44" s="767">
        <f t="shared" si="13"/>
        <v>100</v>
      </c>
      <c r="V44" s="766" t="s">
        <v>17</v>
      </c>
      <c r="W44" s="767">
        <f t="shared" si="14"/>
        <v>100</v>
      </c>
      <c r="X44" s="768"/>
      <c r="Y44" s="3755"/>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753"/>
      <c r="Q45" s="1790">
        <f t="shared" si="11"/>
        <v>0</v>
      </c>
      <c r="R45" s="770" t="s">
        <v>17</v>
      </c>
      <c r="S45" s="771">
        <f t="shared" si="12"/>
        <v>100</v>
      </c>
      <c r="T45" s="770" t="s">
        <v>17</v>
      </c>
      <c r="U45" s="771">
        <f t="shared" si="13"/>
        <v>100</v>
      </c>
      <c r="V45" s="770" t="s">
        <v>17</v>
      </c>
      <c r="W45" s="771">
        <f t="shared" si="14"/>
        <v>100</v>
      </c>
      <c r="X45" s="1793"/>
      <c r="Y45" s="3755"/>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754"/>
      <c r="Q46" s="1790">
        <f t="shared" si="11"/>
        <v>1</v>
      </c>
      <c r="R46" s="770" t="s">
        <v>17</v>
      </c>
      <c r="S46" s="771">
        <f t="shared" si="12"/>
        <v>100</v>
      </c>
      <c r="T46" s="770" t="s">
        <v>17</v>
      </c>
      <c r="U46" s="771">
        <f t="shared" si="13"/>
        <v>100</v>
      </c>
      <c r="V46" s="770" t="s">
        <v>17</v>
      </c>
      <c r="W46" s="771">
        <f t="shared" si="14"/>
        <v>100</v>
      </c>
      <c r="X46" s="1793"/>
      <c r="Y46" s="3756"/>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757" t="str">
        <f>A47</f>
        <v>成交单价（元/平方米）</v>
      </c>
      <c r="Q47" s="3757"/>
      <c r="R47" s="3719">
        <f>E47</f>
        <v>50400</v>
      </c>
      <c r="S47" s="3719"/>
      <c r="T47" s="3719">
        <f>G47</f>
        <v>50285</v>
      </c>
      <c r="U47" s="3719"/>
      <c r="V47" s="3719">
        <f>I47</f>
        <v>53620</v>
      </c>
      <c r="W47" s="3719"/>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757" t="str">
        <f>A48</f>
        <v>比较价值（元/平方米）</v>
      </c>
      <c r="Q48" s="3757"/>
      <c r="R48" s="3758">
        <f>IF(F1="售价",ROUND(PRODUCT(R47,AA7:AA46),0),ROUND(PRODUCT(R47,AA7:AA46),1))</f>
        <v>49667</v>
      </c>
      <c r="S48" s="3758"/>
      <c r="T48" s="3758">
        <f>IF(F1="售价",ROUND(PRODUCT(T47,AB7:AB46),0),ROUND(PRODUCT(T47,AB7:AB46),1))</f>
        <v>49797</v>
      </c>
      <c r="U48" s="3758"/>
      <c r="V48" s="3758">
        <f>IF(F1="售价",ROUND(PRODUCT(V47,AC7:AC46),0),ROUND(PRODUCT(V47,AC7:AC46),1))</f>
        <v>51553</v>
      </c>
      <c r="W48" s="3758"/>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759" t="str">
        <f>A49</f>
        <v>估价对象XX用房的比较价值（楼面单价，元/平方米）</v>
      </c>
      <c r="Q49" s="3760"/>
      <c r="R49" s="3761">
        <f>IF(F1="售价",ROUND(AVERAGE(R48:V48),0),ROUND(AVERAGE(R48:V48),1))</f>
        <v>50339</v>
      </c>
      <c r="S49" s="3761"/>
      <c r="T49" s="3761"/>
      <c r="U49" s="3761"/>
      <c r="V49" s="3761"/>
      <c r="W49" s="376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83" priority="17" stopIfTrue="1" operator="containsText" text="超过">
      <formula>NOT(ISERROR(SEARCH("超过",F52)))</formula>
    </cfRule>
  </conditionalFormatting>
  <conditionalFormatting sqref="H54">
    <cfRule type="containsText" dxfId="182" priority="15" stopIfTrue="1" operator="containsText" text="超过">
      <formula>NOT(ISERROR(SEARCH("超过",H54)))</formula>
    </cfRule>
  </conditionalFormatting>
  <conditionalFormatting sqref="F54">
    <cfRule type="containsText" dxfId="181" priority="14" stopIfTrue="1" operator="containsText" text="超过">
      <formula>NOT(ISERROR(SEARCH("超过",F54)))</formula>
    </cfRule>
  </conditionalFormatting>
  <conditionalFormatting sqref="F53 H53">
    <cfRule type="containsText" dxfId="180" priority="13" stopIfTrue="1" operator="containsText" text="超过">
      <formula>NOT(ISERROR(SEARCH("超过",F53)))</formula>
    </cfRule>
  </conditionalFormatting>
  <conditionalFormatting sqref="E52">
    <cfRule type="expression" dxfId="179" priority="12" stopIfTrue="1">
      <formula>$F$52="超过30%"</formula>
    </cfRule>
  </conditionalFormatting>
  <conditionalFormatting sqref="E53">
    <cfRule type="expression" dxfId="178" priority="11" stopIfTrue="1">
      <formula>$F$53="超过20%"</formula>
    </cfRule>
  </conditionalFormatting>
  <conditionalFormatting sqref="E54">
    <cfRule type="expression" dxfId="177" priority="10" stopIfTrue="1">
      <formula>$F$54="超过30%"</formula>
    </cfRule>
  </conditionalFormatting>
  <conditionalFormatting sqref="G54">
    <cfRule type="expression" dxfId="176" priority="9" stopIfTrue="1">
      <formula>$H$54="超过30%"</formula>
    </cfRule>
  </conditionalFormatting>
  <conditionalFormatting sqref="G52">
    <cfRule type="expression" dxfId="175" priority="8" stopIfTrue="1">
      <formula>$H$52="超过30%"</formula>
    </cfRule>
  </conditionalFormatting>
  <conditionalFormatting sqref="G53">
    <cfRule type="expression" dxfId="174" priority="7" stopIfTrue="1">
      <formula>$H$53="超过20%"</formula>
    </cfRule>
  </conditionalFormatting>
  <conditionalFormatting sqref="J52">
    <cfRule type="containsText" dxfId="173" priority="6" stopIfTrue="1" operator="containsText" text="超过">
      <formula>NOT(ISERROR(SEARCH("超过",J52)))</formula>
    </cfRule>
  </conditionalFormatting>
  <conditionalFormatting sqref="J54">
    <cfRule type="containsText" dxfId="172" priority="5" stopIfTrue="1" operator="containsText" text="超过">
      <formula>NOT(ISERROR(SEARCH("超过",J54)))</formula>
    </cfRule>
  </conditionalFormatting>
  <conditionalFormatting sqref="J53">
    <cfRule type="containsText" dxfId="171" priority="4" stopIfTrue="1" operator="containsText" text="超过">
      <formula>NOT(ISERROR(SEARCH("超过",J53)))</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63" t="s">
        <v>2983</v>
      </c>
      <c r="D1" s="3764"/>
      <c r="E1" s="3764"/>
      <c r="F1" s="3764"/>
      <c r="G1" s="3764"/>
      <c r="H1" s="3764"/>
      <c r="I1" s="3764"/>
      <c r="J1" s="3764"/>
      <c r="K1" s="3764"/>
      <c r="L1" s="3764"/>
      <c r="M1" s="3764"/>
      <c r="N1" s="3764"/>
      <c r="O1" s="3764"/>
      <c r="P1" s="3764"/>
      <c r="Q1" s="3764"/>
      <c r="R1" s="3764"/>
      <c r="S1" s="3765"/>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'[4]比较法-商业'!C103</f>
        <v>0</v>
      </c>
      <c r="D3" s="707">
        <f>'[4]比较法-商业'!D103</f>
        <v>100</v>
      </c>
      <c r="E3" s="707">
        <f>'[4]比较法-商业'!E103</f>
        <v>200</v>
      </c>
      <c r="F3" s="707">
        <f>'[4]比较法-商业'!F103</f>
        <v>300</v>
      </c>
      <c r="G3" s="707">
        <f>'[4]比较法-商业'!G103</f>
        <v>500</v>
      </c>
      <c r="H3" s="707">
        <f>'[4]比较法-商业'!H103</f>
        <v>1000</v>
      </c>
      <c r="I3" s="707">
        <f>'[4]比较法-商业'!I103</f>
        <v>1500</v>
      </c>
      <c r="J3" s="707">
        <f>'[4]比较法-商业'!J103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'[4]比较法-商业'!B86</f>
        <v>临街状况</v>
      </c>
      <c r="C5" s="1198" t="str">
        <f>'[4]比较法-商业'!C86</f>
        <v>多面临街</v>
      </c>
      <c r="D5" s="1198" t="str">
        <f>'[4]比较法-商业'!D86</f>
        <v>双面临街</v>
      </c>
      <c r="E5" s="1198" t="str">
        <f>'[4]比较法-商业'!E86</f>
        <v>单面临街</v>
      </c>
      <c r="F5" s="1198" t="str">
        <f>'[4]比较法-商业'!F86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'[4]比较法-商业'!B26</f>
        <v>平面位置/可视性</v>
      </c>
      <c r="C7" s="1104" t="str">
        <f>'[4]比较法-商业'!C88</f>
        <v>好</v>
      </c>
      <c r="D7" s="1104" t="str">
        <f>'[4]比较法-商业'!D88</f>
        <v>较好</v>
      </c>
      <c r="E7" s="1104" t="str">
        <f>'[4]比较法-商业'!E88</f>
        <v>一般</v>
      </c>
      <c r="F7" s="1104" t="str">
        <f>'[4]比较法-商业'!F88</f>
        <v>较差</v>
      </c>
      <c r="G7" s="1104" t="str">
        <f>'[4]比较法-商业'!G88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'[4]比较法-商业'!B90</f>
        <v>人流量</v>
      </c>
      <c r="C9" s="1104" t="str">
        <f>'[4]比较法-商业'!C90</f>
        <v>好</v>
      </c>
      <c r="D9" s="1104" t="str">
        <f>'[4]比较法-商业'!D90</f>
        <v>较好</v>
      </c>
      <c r="E9" s="1104" t="str">
        <f>'[4]比较法-商业'!E90</f>
        <v>一般</v>
      </c>
      <c r="F9" s="1104" t="str">
        <f>'[4]比较法-商业'!F90</f>
        <v>较差</v>
      </c>
      <c r="G9" s="1104" t="str">
        <f>'[4]比较法-商业'!G90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593" t="s">
        <v>33</v>
      </c>
      <c r="D22" s="3594"/>
      <c r="E22" s="3594"/>
      <c r="F22" s="3594"/>
      <c r="G22" s="3594"/>
      <c r="H22" s="3594"/>
      <c r="I22" s="3594"/>
      <c r="J22" s="3594"/>
      <c r="K22" s="3594"/>
      <c r="L22" s="3594"/>
      <c r="M22" s="3594"/>
      <c r="N22" s="3594"/>
      <c r="O22" s="3594"/>
      <c r="P22" s="3594"/>
      <c r="Q22" s="3762"/>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3" sqref="C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3710</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66814</v>
      </c>
      <c r="C2" s="1825" t="s">
        <v>1504</v>
      </c>
      <c r="D2" s="1825"/>
      <c r="E2" s="1826"/>
      <c r="F2" s="1827"/>
      <c r="G2" s="1828"/>
      <c r="H2" s="1820"/>
      <c r="I2" s="1820"/>
      <c r="J2" s="1820"/>
      <c r="K2" s="1821"/>
      <c r="L2" s="1820"/>
      <c r="M2" s="1820"/>
    </row>
    <row r="3" spans="1:37" ht="18" customHeight="1" thickBot="1">
      <c r="A3" s="1829" t="s">
        <v>1505</v>
      </c>
      <c r="B3" s="1830">
        <f ca="1">IF(ISERROR(B2*10000/F43),0,ROUND(B2*10000/F43,0))</f>
        <v>22561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6591</v>
      </c>
      <c r="D5" s="1802" t="s">
        <v>1390</v>
      </c>
      <c r="E5" s="1275"/>
      <c r="F5" s="1276"/>
      <c r="G5" s="1831"/>
      <c r="H5" s="344">
        <v>1</v>
      </c>
      <c r="I5" s="345" t="s">
        <v>1389</v>
      </c>
      <c r="J5" s="1274">
        <f ca="1">J6+J10+J12</f>
        <v>6334</v>
      </c>
      <c r="K5" s="1802" t="s">
        <v>1390</v>
      </c>
      <c r="L5" s="1275"/>
      <c r="M5" s="1276"/>
    </row>
    <row r="6" spans="1:37" ht="18" customHeight="1">
      <c r="A6" s="1273" t="s">
        <v>1032</v>
      </c>
      <c r="B6" s="3766" t="s">
        <v>1391</v>
      </c>
      <c r="C6" s="1278">
        <f ca="1">ROUND(F6*F8*F7*(1-F9)/10000,0)</f>
        <v>6583</v>
      </c>
      <c r="D6" s="164" t="s">
        <v>3004</v>
      </c>
      <c r="E6" s="347" t="s">
        <v>1393</v>
      </c>
      <c r="F6" s="348">
        <f ca="1">INDIRECT("'数据-取费表'!u"&amp;$G$1)</f>
        <v>6.09</v>
      </c>
      <c r="G6" s="1831"/>
      <c r="H6" s="1273" t="s">
        <v>1032</v>
      </c>
      <c r="I6" s="3766" t="s">
        <v>1391</v>
      </c>
      <c r="J6" s="346">
        <f ca="1">ROUND(M6*M8*M7*(1-M9)/10000,0)</f>
        <v>6326</v>
      </c>
      <c r="K6" s="164" t="s">
        <v>3003</v>
      </c>
      <c r="L6" s="347" t="s">
        <v>1393</v>
      </c>
      <c r="M6" s="348">
        <f ca="1">INDIRECT("'数据-取费表'!z"&amp;$G$1)</f>
        <v>6.16</v>
      </c>
    </row>
    <row r="7" spans="1:37" ht="18" customHeight="1">
      <c r="A7" s="1277"/>
      <c r="B7" s="3767"/>
      <c r="C7" s="1279"/>
      <c r="D7" s="352"/>
      <c r="E7" s="2942" t="s">
        <v>1394</v>
      </c>
      <c r="F7" s="348">
        <f ca="1">IF(INDIRECT("'数据-取费表'!ah"&amp;$G$1)="",INDIRECT("'数据-取费表'!k"&amp;$G$1),INDIRECT("'数据-取费表'!ah"&amp;$G$1))</f>
        <v>29614.890000000003</v>
      </c>
      <c r="G7" s="1831"/>
      <c r="H7" s="349"/>
      <c r="I7" s="3767"/>
      <c r="J7" s="351"/>
      <c r="K7" s="352"/>
      <c r="L7" s="347" t="s">
        <v>1394</v>
      </c>
      <c r="M7" s="348">
        <f ca="1">F7</f>
        <v>29614.890000000003</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8</v>
      </c>
      <c r="D10" s="1804" t="s">
        <v>3012</v>
      </c>
      <c r="E10" s="358" t="s">
        <v>1398</v>
      </c>
      <c r="F10" s="1348" t="s">
        <v>3049</v>
      </c>
      <c r="G10" s="1831"/>
      <c r="H10" s="1273" t="s">
        <v>1036</v>
      </c>
      <c r="I10" s="1803" t="s">
        <v>1397</v>
      </c>
      <c r="J10" s="346">
        <f ca="1">ROUND(IF(M10="押一",J6/12*M11,IF(M10="押二",J6/12*2*M11,IF(M10="押三",J6/12*3*M11,J11*M11))),0)</f>
        <v>8</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13168</v>
      </c>
      <c r="D13" s="1313" t="s">
        <v>1403</v>
      </c>
      <c r="E13" s="1313" t="s">
        <v>1404</v>
      </c>
      <c r="F13" s="1314">
        <f ca="1">INDIRECT("'数据-取费表'!y"&amp;$G$1)</f>
        <v>0.8</v>
      </c>
      <c r="G13" s="1831"/>
      <c r="H13" s="1311">
        <v>2</v>
      </c>
      <c r="I13" s="1312" t="s">
        <v>1402</v>
      </c>
      <c r="J13" s="1272">
        <f ca="1">ROUND(J14*J15,0)</f>
        <v>11028</v>
      </c>
      <c r="K13" s="1319" t="s">
        <v>1403</v>
      </c>
      <c r="L13" s="1832"/>
      <c r="M13" s="1833"/>
    </row>
    <row r="14" spans="1:37" ht="18" customHeight="1">
      <c r="A14" s="1183" t="s">
        <v>1031</v>
      </c>
      <c r="B14" s="347" t="s">
        <v>1405</v>
      </c>
      <c r="C14" s="363">
        <f ca="1">INDIRECT("'数据-取费表'!m"&amp;$G$1)+INDIRECT("'数据-取费表'!t"&amp;$G$1)</f>
        <v>10365</v>
      </c>
      <c r="D14" s="2930" t="s">
        <v>1406</v>
      </c>
      <c r="E14" s="2925"/>
      <c r="F14" s="364"/>
      <c r="G14" s="1831"/>
      <c r="H14" s="1183" t="s">
        <v>1032</v>
      </c>
      <c r="I14" s="347" t="s">
        <v>1407</v>
      </c>
      <c r="J14" s="24">
        <f ca="1">C29</f>
        <v>16460</v>
      </c>
      <c r="K14" s="2941"/>
      <c r="L14" s="969"/>
      <c r="M14" s="970"/>
    </row>
    <row r="15" spans="1:37" s="1838" customFormat="1" ht="18" customHeight="1" thickBot="1">
      <c r="A15" s="1183" t="s">
        <v>1033</v>
      </c>
      <c r="B15" s="347" t="s">
        <v>1408</v>
      </c>
      <c r="C15" s="24">
        <f ca="1">ROUND(C14*F15,0)</f>
        <v>311</v>
      </c>
      <c r="D15" s="365" t="s">
        <v>1409</v>
      </c>
      <c r="E15" s="365" t="s">
        <v>1410</v>
      </c>
      <c r="F15" s="366">
        <f>'数据-取费表'!B33</f>
        <v>0.03</v>
      </c>
      <c r="G15" s="1834"/>
      <c r="H15" s="1321" t="s">
        <v>1036</v>
      </c>
      <c r="I15" s="1322" t="s">
        <v>1404</v>
      </c>
      <c r="J15" s="1331">
        <f ca="1">INDIRECT("'数据-取费表'!ad"&amp;$G$1)</f>
        <v>0.67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1516</v>
      </c>
      <c r="K16" s="1319" t="s">
        <v>1413</v>
      </c>
      <c r="L16" s="2932"/>
      <c r="M16" s="1276"/>
    </row>
    <row r="17" spans="1:37" s="1838" customFormat="1" ht="18" customHeight="1">
      <c r="A17" s="1183" t="s">
        <v>1378</v>
      </c>
      <c r="B17" s="347" t="s">
        <v>1414</v>
      </c>
      <c r="C17" s="24">
        <f ca="1">ROUND(F17*(F43+INDIRECT("'数据-取费表'!S"&amp;$G$1))/10000,0)</f>
        <v>620</v>
      </c>
      <c r="D17" s="347" t="s">
        <v>1415</v>
      </c>
      <c r="E17" s="347" t="s">
        <v>1416</v>
      </c>
      <c r="F17" s="26">
        <f>'数据-取费表'!B35</f>
        <v>200</v>
      </c>
      <c r="G17" s="1834"/>
      <c r="H17" s="1183" t="s">
        <v>1032</v>
      </c>
      <c r="I17" s="347" t="s">
        <v>1417</v>
      </c>
      <c r="J17" s="24">
        <f ca="1">ROUND(IF(项目基本情况!B11="自然人",J6*M17/(1+'数据-取费表'!C42),J18+J19+J20),1)</f>
        <v>1062.5</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155</v>
      </c>
      <c r="D18" s="347" t="s">
        <v>1409</v>
      </c>
      <c r="E18" s="347" t="s">
        <v>1410</v>
      </c>
      <c r="F18" s="367">
        <f>'数据-取费表'!B36</f>
        <v>1.4999999999999999E-2</v>
      </c>
      <c r="G18" s="1834"/>
      <c r="H18" s="1183" t="s">
        <v>1031</v>
      </c>
      <c r="I18" s="347" t="s">
        <v>1421</v>
      </c>
      <c r="J18" s="24">
        <f ca="1">ROUND(J6*M18/(1+'数据-取费表'!C42),2)</f>
        <v>337.39</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11451</v>
      </c>
      <c r="D19" s="140" t="s">
        <v>1424</v>
      </c>
      <c r="E19" s="2939"/>
      <c r="F19" s="26"/>
      <c r="G19" s="1831"/>
      <c r="H19" s="1183" t="s">
        <v>1033</v>
      </c>
      <c r="I19" s="347" t="s">
        <v>1425</v>
      </c>
      <c r="J19" s="24">
        <f ca="1">IF(K19="按租金收入计税",ROUND(J6*M19/(1+'数据-取费表'!C42),2),ROUND(C29*M19*0.7,2))</f>
        <v>722.97</v>
      </c>
      <c r="K19" s="1808" t="s">
        <v>3060</v>
      </c>
      <c r="L19" s="347" t="s">
        <v>1410</v>
      </c>
      <c r="M19" s="367">
        <f>IF(K19="按租金收入计税",'数据-取费表'!B51,'数据-取费表'!B50)</f>
        <v>0.12</v>
      </c>
    </row>
    <row r="20" spans="1:37" s="1838" customFormat="1" ht="18" customHeight="1">
      <c r="A20" s="1183" t="s">
        <v>1036</v>
      </c>
      <c r="B20" s="347" t="s">
        <v>1427</v>
      </c>
      <c r="C20" s="24">
        <f ca="1">ROUND(C19*F20,0)</f>
        <v>229</v>
      </c>
      <c r="D20" s="369" t="s">
        <v>1428</v>
      </c>
      <c r="E20" s="347" t="s">
        <v>1410</v>
      </c>
      <c r="F20" s="367">
        <f>'数据-取费表'!B37</f>
        <v>0.02</v>
      </c>
      <c r="G20" s="1834"/>
      <c r="H20" s="1183" t="s">
        <v>1377</v>
      </c>
      <c r="I20" s="164" t="s">
        <v>1429</v>
      </c>
      <c r="J20" s="25">
        <f ca="1">ROUND(M20*M21/10000,2)</f>
        <v>2.13</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7112.33</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246.9</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555</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16.5</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190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4818</v>
      </c>
      <c r="K25" s="1327" t="s">
        <v>1452</v>
      </c>
      <c r="L25" s="1328"/>
      <c r="M25" s="1329"/>
    </row>
    <row r="26" spans="1:37">
      <c r="A26" s="1183" t="s">
        <v>1031</v>
      </c>
      <c r="B26" s="347" t="s">
        <v>1453</v>
      </c>
      <c r="C26" s="24">
        <f ca="1">ROUND((C19+C20)*F26,0)</f>
        <v>2920</v>
      </c>
      <c r="D26" s="369" t="s">
        <v>1454</v>
      </c>
      <c r="E26" s="358" t="s">
        <v>1455</v>
      </c>
      <c r="F26" s="357">
        <f ca="1">INDIRECT("'数据-取费表'!q"&amp;$G$1)</f>
        <v>0.25</v>
      </c>
      <c r="G26" s="1831"/>
      <c r="H26" s="344" t="s">
        <v>1029</v>
      </c>
      <c r="I26" s="345" t="s">
        <v>1456</v>
      </c>
      <c r="J26" s="346">
        <f ca="1">IF(J5&lt;&gt;0,ROUND(J25*(1-((1+M28)/(1+M26))^M27)/(M26-M28),0),0)</f>
        <v>56764</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16460</v>
      </c>
      <c r="D29" s="1324"/>
      <c r="E29" s="1322"/>
      <c r="F29" s="1325"/>
      <c r="G29" s="1834"/>
      <c r="H29" s="380" t="s">
        <v>1030</v>
      </c>
      <c r="I29" s="381" t="s">
        <v>1467</v>
      </c>
      <c r="J29" s="382">
        <f ca="1">ROUND(J26/(1+F40)^F41,0)</f>
        <v>35573</v>
      </c>
      <c r="K29" s="383" t="s">
        <v>1468</v>
      </c>
      <c r="L29" s="384"/>
      <c r="M29" s="385">
        <f ca="1">INDIRECT("'数据-取费表'!k"&amp;$G$1)</f>
        <v>29614.890000000003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1570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1105.5999999999999</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351.09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752.34</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2.13</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7112.33</v>
      </c>
      <c r="G35" s="1831"/>
      <c r="H35" s="741"/>
      <c r="I35" s="1840"/>
      <c r="J35" s="1841"/>
      <c r="K35" s="1842"/>
      <c r="L35" s="1839"/>
      <c r="M35" s="1839"/>
    </row>
    <row r="36" spans="1:18" ht="18" customHeight="1">
      <c r="A36" s="1334" t="s">
        <v>1036</v>
      </c>
      <c r="B36" s="347" t="s">
        <v>1437</v>
      </c>
      <c r="C36" s="24">
        <f ca="1">ROUND(C29*F36,1)</f>
        <v>246.9</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19.8</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197.7</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5021</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31241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10549</v>
      </c>
      <c r="D43" s="383" t="s">
        <v>1476</v>
      </c>
      <c r="E43" s="384" t="s">
        <v>1477</v>
      </c>
      <c r="F43" s="385">
        <f ca="1">INDIRECT("'数据-取费表'!k"&amp;$G$1)</f>
        <v>29614.890000000003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-41520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66814</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16460</v>
      </c>
      <c r="R49" s="1866" t="s">
        <v>1517</v>
      </c>
    </row>
    <row r="50" spans="1:18" s="1822" customFormat="1" ht="13.5" thickBot="1">
      <c r="A50" s="1177"/>
      <c r="B50" s="1180"/>
      <c r="C50" s="1350"/>
      <c r="D50" s="1154"/>
      <c r="E50" s="1259" t="s">
        <v>1394</v>
      </c>
      <c r="F50" s="1260">
        <f ca="1">F7</f>
        <v>29614.890000000003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50466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66814</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13168</v>
      </c>
      <c r="D56" s="1893"/>
      <c r="E56" s="1894"/>
      <c r="F56" s="1886"/>
      <c r="I56" s="1895" t="s">
        <v>1542</v>
      </c>
      <c r="J56" s="1896" t="s">
        <v>3042</v>
      </c>
      <c r="K56" s="1867" t="s">
        <v>1543</v>
      </c>
      <c r="L56" s="1870" t="str">
        <f ca="1">IF(L48&lt;J51,"——",L48-J53)</f>
        <v>——</v>
      </c>
      <c r="O56" s="1864" t="s">
        <v>1037</v>
      </c>
      <c r="P56" s="1865" t="s">
        <v>1516</v>
      </c>
      <c r="Q56" s="1866">
        <f ca="1">C40+J29</f>
        <v>66814</v>
      </c>
      <c r="R56" s="1866" t="s">
        <v>1517</v>
      </c>
    </row>
    <row r="57" spans="1:18" s="1822" customFormat="1" ht="24.75" thickBot="1">
      <c r="A57" s="1897"/>
      <c r="B57" s="1151" t="s">
        <v>1466</v>
      </c>
      <c r="C57" s="282">
        <f ca="1">C29</f>
        <v>16460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1652</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1384.8</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1382.64</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2.13</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66814</v>
      </c>
      <c r="R62" s="1866" t="s">
        <v>1044</v>
      </c>
    </row>
    <row r="63" spans="1:18" s="1822" customFormat="1" ht="13.5" thickBot="1">
      <c r="A63" s="372"/>
      <c r="B63" s="1157"/>
      <c r="C63" s="29"/>
      <c r="D63" s="1167"/>
      <c r="E63" s="1151" t="s">
        <v>1435</v>
      </c>
      <c r="F63" s="348">
        <f t="shared" ca="1" si="0"/>
        <v>7112.33</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246.9</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19.8</v>
      </c>
      <c r="D65" s="1165" t="s">
        <v>1442</v>
      </c>
      <c r="E65" s="1151" t="s">
        <v>1410</v>
      </c>
      <c r="F65" s="376">
        <f t="shared" ca="1" si="0"/>
        <v>1.5E-3</v>
      </c>
      <c r="I65" s="1908" t="s">
        <v>1567</v>
      </c>
      <c r="J65" s="1909">
        <v>40</v>
      </c>
      <c r="K65" s="1909">
        <v>30</v>
      </c>
      <c r="L65" s="1909">
        <v>50</v>
      </c>
      <c r="M65" s="1911">
        <v>0.02</v>
      </c>
      <c r="O65" s="1864" t="s">
        <v>1037</v>
      </c>
      <c r="P65" s="1865" t="s">
        <v>1516</v>
      </c>
      <c r="Q65" s="1866">
        <f ca="1">C40+J29</f>
        <v>66814</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-1652</v>
      </c>
      <c r="D67" s="1164" t="s">
        <v>1452</v>
      </c>
      <c r="E67" s="1169"/>
      <c r="F67" s="1170"/>
      <c r="O67" s="1874" t="s">
        <v>1039</v>
      </c>
      <c r="P67" s="1865" t="s">
        <v>1550</v>
      </c>
      <c r="Q67" s="1912">
        <f ca="1">L51</f>
        <v>50466</v>
      </c>
      <c r="R67" s="1866" t="s">
        <v>1570</v>
      </c>
    </row>
    <row r="68" spans="1:18" s="1822" customFormat="1" ht="16.5" thickBot="1">
      <c r="A68" s="1148" t="s">
        <v>1029</v>
      </c>
      <c r="B68" s="1149" t="s">
        <v>1473</v>
      </c>
      <c r="C68" s="346">
        <f ca="1">ROUND(C67*(1-((1+F70)/(1+F68))^F69)/(F68-F70),0)</f>
        <v>-10279</v>
      </c>
      <c r="D68" s="1166" t="s">
        <v>1457</v>
      </c>
      <c r="E68" s="1151" t="s">
        <v>1458</v>
      </c>
      <c r="F68" s="357">
        <f ca="1">F40</f>
        <v>0.06</v>
      </c>
      <c r="O68" s="1874" t="s">
        <v>1040</v>
      </c>
      <c r="P68" s="1913" t="s">
        <v>1571</v>
      </c>
      <c r="Q68" s="1866">
        <f ca="1">ROUND(Q69-Q70*Q71,0)</f>
        <v>3902</v>
      </c>
      <c r="R68" s="1866" t="s">
        <v>1048</v>
      </c>
    </row>
    <row r="69" spans="1:18" s="1822" customFormat="1" ht="13.5" thickBot="1">
      <c r="A69" s="1152"/>
      <c r="B69" s="1153"/>
      <c r="C69" s="351"/>
      <c r="D69" s="1171" t="s">
        <v>1461</v>
      </c>
      <c r="E69" s="1151" t="s">
        <v>1462</v>
      </c>
      <c r="F69" s="379">
        <f ca="1">F41</f>
        <v>8.02</v>
      </c>
      <c r="O69" s="1874" t="s">
        <v>1045</v>
      </c>
      <c r="P69" s="1913" t="s">
        <v>1572</v>
      </c>
      <c r="Q69" s="1866">
        <f ca="1">C39</f>
        <v>5021</v>
      </c>
      <c r="R69" s="1866" t="s">
        <v>1517</v>
      </c>
    </row>
    <row r="70" spans="1:18" s="1822" customFormat="1" ht="13.5" thickBot="1">
      <c r="A70" s="1155"/>
      <c r="B70" s="1156"/>
      <c r="C70" s="355"/>
      <c r="D70" s="1167"/>
      <c r="E70" s="1151" t="s">
        <v>1465</v>
      </c>
      <c r="F70" s="1257"/>
      <c r="O70" s="1874" t="s">
        <v>1046</v>
      </c>
      <c r="P70" s="1913" t="s">
        <v>1573</v>
      </c>
      <c r="Q70" s="1866">
        <f ca="1">C13</f>
        <v>13168</v>
      </c>
      <c r="R70" s="1866" t="s">
        <v>1517</v>
      </c>
    </row>
    <row r="71" spans="1:18" s="1822" customFormat="1" ht="13.5" thickBot="1">
      <c r="A71" s="1172" t="s">
        <v>1030</v>
      </c>
      <c r="B71" s="1173" t="s">
        <v>1475</v>
      </c>
      <c r="C71" s="382">
        <f ca="1">ROUND(C68*10000/F71,0)</f>
        <v>-3471</v>
      </c>
      <c r="D71" s="1174" t="s">
        <v>1476</v>
      </c>
      <c r="E71" s="1175" t="s">
        <v>1477</v>
      </c>
      <c r="F71" s="385">
        <f ca="1">F43</f>
        <v>29614.890000000003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1119</v>
      </c>
      <c r="D75" s="1822"/>
      <c r="E75" s="1822"/>
      <c r="F75" s="1822"/>
      <c r="K75" s="1848"/>
      <c r="L75" s="1822"/>
      <c r="O75" s="1864" t="s">
        <v>1043</v>
      </c>
      <c r="P75" s="1865" t="s">
        <v>1537</v>
      </c>
      <c r="Q75" s="1866">
        <f ca="1">Q65+Q66</f>
        <v>66814</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0.77700000000000002</v>
      </c>
    </row>
    <row r="80" spans="1:18">
      <c r="B80" s="386" t="s">
        <v>1499</v>
      </c>
      <c r="C80" s="318">
        <f ca="1">ROUND(C75/C39,3)</f>
        <v>0.223</v>
      </c>
    </row>
    <row r="81" spans="2:3">
      <c r="B81" s="314" t="s">
        <v>1500</v>
      </c>
      <c r="C81" s="282"/>
    </row>
    <row r="82" spans="2:3">
      <c r="B82" s="317" t="s">
        <v>1501</v>
      </c>
      <c r="C82" s="319">
        <f ca="1">1-C83</f>
        <v>0.57899999999999996</v>
      </c>
    </row>
    <row r="83" spans="2:3">
      <c r="B83" s="317" t="s">
        <v>1502</v>
      </c>
      <c r="C83" s="318">
        <f ca="1">ROUND(C13/C40,3)</f>
        <v>0.42099999999999999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8" sqref="D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3712</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61711</v>
      </c>
      <c r="C2" s="1825" t="s">
        <v>1504</v>
      </c>
      <c r="D2" s="1825"/>
      <c r="E2" s="1826"/>
      <c r="F2" s="1827"/>
      <c r="G2" s="1828"/>
      <c r="H2" s="1820"/>
      <c r="I2" s="1820"/>
      <c r="J2" s="1820"/>
      <c r="K2" s="1821"/>
      <c r="L2" s="1820"/>
      <c r="M2" s="1820"/>
    </row>
    <row r="3" spans="1:37" ht="18" customHeight="1" thickBot="1">
      <c r="A3" s="1829" t="s">
        <v>1505</v>
      </c>
      <c r="B3" s="1830">
        <f ca="1">IF(ISERROR(B2*10000/F43),0,ROUND(B2*10000/F43,0))</f>
        <v>50881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4880</v>
      </c>
      <c r="D5" s="1802" t="s">
        <v>1390</v>
      </c>
      <c r="E5" s="1275"/>
      <c r="F5" s="1276"/>
      <c r="G5" s="1831"/>
      <c r="H5" s="344">
        <v>1</v>
      </c>
      <c r="I5" s="345" t="s">
        <v>1389</v>
      </c>
      <c r="J5" s="1274">
        <f ca="1">J6+J10+J12</f>
        <v>0</v>
      </c>
      <c r="K5" s="1802" t="s">
        <v>1390</v>
      </c>
      <c r="L5" s="1275"/>
      <c r="M5" s="1276"/>
    </row>
    <row r="6" spans="1:37" ht="18" customHeight="1">
      <c r="A6" s="1273" t="s">
        <v>1032</v>
      </c>
      <c r="B6" s="3766" t="s">
        <v>1391</v>
      </c>
      <c r="C6" s="1278">
        <f ca="1">ROUND(F6*F8*F7*(1-F9)/10000,0)</f>
        <v>4874</v>
      </c>
      <c r="D6" s="164" t="s">
        <v>3004</v>
      </c>
      <c r="E6" s="347" t="s">
        <v>1393</v>
      </c>
      <c r="F6" s="348">
        <f ca="1">INDIRECT("'数据-取费表'!u"&amp;$G$1)</f>
        <v>11.59</v>
      </c>
      <c r="G6" s="1831"/>
      <c r="H6" s="1273" t="s">
        <v>1032</v>
      </c>
      <c r="I6" s="3766" t="s">
        <v>1391</v>
      </c>
      <c r="J6" s="346">
        <f ca="1">ROUND(M6*M8*M7*(1-M9)/10000,0)</f>
        <v>0</v>
      </c>
      <c r="K6" s="164" t="s">
        <v>3003</v>
      </c>
      <c r="L6" s="347" t="s">
        <v>1393</v>
      </c>
      <c r="M6" s="348">
        <f ca="1">INDIRECT("'数据-取费表'!z"&amp;$G$1)</f>
        <v>0</v>
      </c>
    </row>
    <row r="7" spans="1:37" ht="18" customHeight="1">
      <c r="A7" s="1277"/>
      <c r="B7" s="3767"/>
      <c r="C7" s="1279"/>
      <c r="D7" s="352"/>
      <c r="E7" s="3407" t="s">
        <v>1394</v>
      </c>
      <c r="F7" s="348">
        <f ca="1">IF(INDIRECT("'数据-取费表'!ah"&amp;$G$1)="",INDIRECT("'数据-取费表'!k"&amp;$G$1),INDIRECT("'数据-取费表'!ah"&amp;$G$1))</f>
        <v>12128.399999999991</v>
      </c>
      <c r="G7" s="1831"/>
      <c r="H7" s="349"/>
      <c r="I7" s="3767"/>
      <c r="J7" s="351"/>
      <c r="K7" s="352"/>
      <c r="L7" s="347" t="s">
        <v>1394</v>
      </c>
      <c r="M7" s="348">
        <f ca="1">F7</f>
        <v>12128.399999999991</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0.05</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6</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5394</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4245</v>
      </c>
      <c r="D14" s="3400" t="s">
        <v>1406</v>
      </c>
      <c r="E14" s="3398"/>
      <c r="F14" s="364"/>
      <c r="G14" s="1831"/>
      <c r="H14" s="1183" t="s">
        <v>1032</v>
      </c>
      <c r="I14" s="347" t="s">
        <v>1407</v>
      </c>
      <c r="J14" s="24">
        <f ca="1">C29</f>
        <v>6742</v>
      </c>
      <c r="K14" s="3406"/>
      <c r="L14" s="969"/>
      <c r="M14" s="970"/>
    </row>
    <row r="15" spans="1:37" s="1838" customFormat="1" ht="18" customHeight="1" thickBot="1">
      <c r="A15" s="1183" t="s">
        <v>1033</v>
      </c>
      <c r="B15" s="347" t="s">
        <v>1408</v>
      </c>
      <c r="C15" s="24">
        <f ca="1">ROUND(C14*F15,0)</f>
        <v>127</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102</v>
      </c>
      <c r="K16" s="1319" t="s">
        <v>1413</v>
      </c>
      <c r="L16" s="3402"/>
      <c r="M16" s="1276"/>
    </row>
    <row r="17" spans="1:37" s="1838" customFormat="1" ht="18" customHeight="1">
      <c r="A17" s="1183" t="s">
        <v>1378</v>
      </c>
      <c r="B17" s="347" t="s">
        <v>1414</v>
      </c>
      <c r="C17" s="24">
        <f ca="1">ROUND(F17*(F43+INDIRECT("'数据-取费表'!S"&amp;$G$1))/10000,0)</f>
        <v>254</v>
      </c>
      <c r="D17" s="347" t="s">
        <v>1415</v>
      </c>
      <c r="E17" s="347" t="s">
        <v>1416</v>
      </c>
      <c r="F17" s="26">
        <f>'数据-取费表'!B35</f>
        <v>200</v>
      </c>
      <c r="G17" s="1834"/>
      <c r="H17" s="1183" t="s">
        <v>1032</v>
      </c>
      <c r="I17" s="347" t="s">
        <v>1417</v>
      </c>
      <c r="J17" s="24">
        <f ca="1">ROUND(IF(项目基本情况!B11="自然人",J6*M17/(1+'数据-取费表'!C42),J18+J19+J20),1)</f>
        <v>0.9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64</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4690</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94</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2912.76</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101.1</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227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-102</v>
      </c>
      <c r="K25" s="1327" t="s">
        <v>1452</v>
      </c>
      <c r="L25" s="1328"/>
      <c r="M25" s="1329"/>
    </row>
    <row r="26" spans="1:37">
      <c r="A26" s="1183" t="s">
        <v>1031</v>
      </c>
      <c r="B26" s="347" t="s">
        <v>1453</v>
      </c>
      <c r="C26" s="24">
        <f ca="1">ROUND((C19+C20)*F26,0)</f>
        <v>1196</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6742</v>
      </c>
      <c r="D29" s="1324"/>
      <c r="E29" s="1322"/>
      <c r="F29" s="1325"/>
      <c r="G29" s="1834"/>
      <c r="H29" s="380" t="s">
        <v>1030</v>
      </c>
      <c r="I29" s="381" t="s">
        <v>1467</v>
      </c>
      <c r="J29" s="382">
        <f ca="1">ROUND(J26/(1+F40)^F41,0)</f>
        <v>0</v>
      </c>
      <c r="K29" s="383" t="s">
        <v>1468</v>
      </c>
      <c r="L29" s="384"/>
      <c r="M29" s="385">
        <f ca="1">INDIRECT("'数据-取费表'!k"&amp;$G$1)</f>
        <v>12128.399999999991</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1074</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817.9</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259.95</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557.03</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2912.76</v>
      </c>
      <c r="G35" s="1831"/>
      <c r="H35" s="741"/>
      <c r="I35" s="1840"/>
      <c r="J35" s="1841"/>
      <c r="K35" s="1842"/>
      <c r="L35" s="1839"/>
      <c r="M35" s="1839"/>
    </row>
    <row r="36" spans="1:18" ht="18" customHeight="1">
      <c r="A36" s="1334" t="s">
        <v>1036</v>
      </c>
      <c r="B36" s="347" t="s">
        <v>1437</v>
      </c>
      <c r="C36" s="24">
        <f ca="1">ROUND(C29*F36,1)</f>
        <v>101.1</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8.1</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146.4</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3806</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61711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50881</v>
      </c>
      <c r="D43" s="383" t="s">
        <v>1476</v>
      </c>
      <c r="E43" s="384" t="s">
        <v>1477</v>
      </c>
      <c r="F43" s="385">
        <f ca="1">INDIRECT("'数据-取费表'!k"&amp;$G$1)</f>
        <v>12128.399999999991</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-70064</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61711</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6742</v>
      </c>
      <c r="R49" s="1866" t="s">
        <v>1517</v>
      </c>
    </row>
    <row r="50" spans="1:18" s="1822" customFormat="1" ht="13.5" thickBot="1">
      <c r="A50" s="1177"/>
      <c r="B50" s="1180"/>
      <c r="C50" s="1350"/>
      <c r="D50" s="1154"/>
      <c r="E50" s="1259" t="s">
        <v>1394</v>
      </c>
      <c r="F50" s="1260">
        <f ca="1">F7</f>
        <v>12128.399999999991</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43298</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61711</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5394</v>
      </c>
      <c r="D56" s="1893"/>
      <c r="E56" s="1894"/>
      <c r="F56" s="1886"/>
      <c r="I56" s="1895" t="s">
        <v>1542</v>
      </c>
      <c r="J56" s="1896" t="s">
        <v>3042</v>
      </c>
      <c r="K56" s="1867" t="s">
        <v>1543</v>
      </c>
      <c r="L56" s="1870" t="str">
        <f ca="1">IF(L48&lt;J51,"——",L48-J53)</f>
        <v>——</v>
      </c>
      <c r="O56" s="1864" t="s">
        <v>1037</v>
      </c>
      <c r="P56" s="1865" t="s">
        <v>1516</v>
      </c>
      <c r="Q56" s="1866">
        <f ca="1">C40+J29</f>
        <v>61711</v>
      </c>
      <c r="R56" s="1866" t="s">
        <v>1517</v>
      </c>
    </row>
    <row r="57" spans="1:18" s="1822" customFormat="1" ht="24.75" thickBot="1">
      <c r="A57" s="1897"/>
      <c r="B57" s="1151" t="s">
        <v>1466</v>
      </c>
      <c r="C57" s="282">
        <f ca="1">C29</f>
        <v>6742</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676</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567.20000000000005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566.33000000000004</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0.87</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61711</v>
      </c>
      <c r="R62" s="1866" t="s">
        <v>1044</v>
      </c>
    </row>
    <row r="63" spans="1:18" s="1822" customFormat="1" ht="13.5" thickBot="1">
      <c r="A63" s="372"/>
      <c r="B63" s="1157"/>
      <c r="C63" s="29"/>
      <c r="D63" s="1167"/>
      <c r="E63" s="1151" t="s">
        <v>1435</v>
      </c>
      <c r="F63" s="348">
        <f t="shared" ca="1" si="0"/>
        <v>2912.76</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101.1</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8.1</v>
      </c>
      <c r="D65" s="1165" t="s">
        <v>1442</v>
      </c>
      <c r="E65" s="1151" t="s">
        <v>1410</v>
      </c>
      <c r="F65" s="376">
        <f t="shared" ca="1" si="0"/>
        <v>1.5E-3</v>
      </c>
      <c r="I65" s="1908" t="s">
        <v>1567</v>
      </c>
      <c r="J65" s="1909">
        <v>40</v>
      </c>
      <c r="K65" s="1909">
        <v>30</v>
      </c>
      <c r="L65" s="1909">
        <v>50</v>
      </c>
      <c r="M65" s="1911">
        <v>0.02</v>
      </c>
      <c r="O65" s="1864" t="s">
        <v>1037</v>
      </c>
      <c r="P65" s="1865" t="s">
        <v>1516</v>
      </c>
      <c r="Q65" s="1866">
        <f ca="1">C40+J29</f>
        <v>61711</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-676</v>
      </c>
      <c r="D67" s="1164" t="s">
        <v>1452</v>
      </c>
      <c r="E67" s="1169"/>
      <c r="F67" s="1170"/>
      <c r="O67" s="1874" t="s">
        <v>1039</v>
      </c>
      <c r="P67" s="1865" t="s">
        <v>1550</v>
      </c>
      <c r="Q67" s="1912">
        <f ca="1">L51</f>
        <v>43298</v>
      </c>
      <c r="R67" s="1866" t="s">
        <v>1570</v>
      </c>
    </row>
    <row r="68" spans="1:18" s="1822" customFormat="1" ht="16.5" thickBot="1">
      <c r="A68" s="1148" t="s">
        <v>1029</v>
      </c>
      <c r="B68" s="1149" t="s">
        <v>1473</v>
      </c>
      <c r="C68" s="346">
        <f ca="1">ROUND(C67*(1-((1+F70)/(1+F68))^F69)/(F68-F70),0)</f>
        <v>-8353</v>
      </c>
      <c r="D68" s="1166" t="s">
        <v>1457</v>
      </c>
      <c r="E68" s="1151" t="s">
        <v>1458</v>
      </c>
      <c r="F68" s="357">
        <f ca="1">F40</f>
        <v>0.06</v>
      </c>
      <c r="O68" s="1874" t="s">
        <v>1040</v>
      </c>
      <c r="P68" s="1913" t="s">
        <v>1571</v>
      </c>
      <c r="Q68" s="1866">
        <f ca="1">ROUND(Q69-Q70*Q71,0)</f>
        <v>3348</v>
      </c>
      <c r="R68" s="1866" t="s">
        <v>1048</v>
      </c>
    </row>
    <row r="69" spans="1:18" s="1822" customFormat="1" ht="13.5" thickBot="1">
      <c r="A69" s="1152"/>
      <c r="B69" s="1153"/>
      <c r="C69" s="351"/>
      <c r="D69" s="1171" t="s">
        <v>1461</v>
      </c>
      <c r="E69" s="1151" t="s">
        <v>1462</v>
      </c>
      <c r="F69" s="379">
        <f ca="1">F41</f>
        <v>23.21</v>
      </c>
      <c r="O69" s="1874" t="s">
        <v>1045</v>
      </c>
      <c r="P69" s="1913" t="s">
        <v>1572</v>
      </c>
      <c r="Q69" s="1866">
        <f ca="1">C39</f>
        <v>3806</v>
      </c>
      <c r="R69" s="1866" t="s">
        <v>1517</v>
      </c>
    </row>
    <row r="70" spans="1:18" s="1822" customFormat="1" ht="13.5" thickBot="1">
      <c r="A70" s="1155"/>
      <c r="B70" s="1156"/>
      <c r="C70" s="355"/>
      <c r="D70" s="1167"/>
      <c r="E70" s="1151" t="s">
        <v>1465</v>
      </c>
      <c r="F70" s="1257"/>
      <c r="O70" s="1874" t="s">
        <v>1046</v>
      </c>
      <c r="P70" s="1913" t="s">
        <v>1573</v>
      </c>
      <c r="Q70" s="1866">
        <f ca="1">C13</f>
        <v>5394</v>
      </c>
      <c r="R70" s="1866" t="s">
        <v>1517</v>
      </c>
    </row>
    <row r="71" spans="1:18" s="1822" customFormat="1" ht="13.5" thickBot="1">
      <c r="A71" s="1172" t="s">
        <v>1030</v>
      </c>
      <c r="B71" s="1173" t="s">
        <v>1475</v>
      </c>
      <c r="C71" s="382">
        <f ca="1">ROUND(C68*10000/F71,0)</f>
        <v>-6887</v>
      </c>
      <c r="D71" s="1174" t="s">
        <v>1476</v>
      </c>
      <c r="E71" s="1175" t="s">
        <v>1477</v>
      </c>
      <c r="F71" s="385">
        <f ca="1">F43</f>
        <v>12128.399999999991</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458</v>
      </c>
      <c r="D75" s="1822"/>
      <c r="E75" s="1822"/>
      <c r="F75" s="1822"/>
      <c r="K75" s="1848"/>
      <c r="L75" s="1822"/>
      <c r="O75" s="1864" t="s">
        <v>1043</v>
      </c>
      <c r="P75" s="1865" t="s">
        <v>1537</v>
      </c>
      <c r="Q75" s="1866">
        <f ca="1">Q65+Q66</f>
        <v>61711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0.88</v>
      </c>
    </row>
    <row r="80" spans="1:18">
      <c r="B80" s="386" t="s">
        <v>1499</v>
      </c>
      <c r="C80" s="318">
        <f ca="1">ROUND(C75/C39,3)</f>
        <v>0.12</v>
      </c>
    </row>
    <row r="81" spans="2:3">
      <c r="B81" s="314" t="s">
        <v>1500</v>
      </c>
      <c r="C81" s="282"/>
    </row>
    <row r="82" spans="2:3">
      <c r="B82" s="317" t="s">
        <v>1501</v>
      </c>
      <c r="C82" s="319">
        <f ca="1">1-C83</f>
        <v>0.91300000000000003</v>
      </c>
    </row>
    <row r="83" spans="2:3">
      <c r="B83" s="317" t="s">
        <v>1502</v>
      </c>
      <c r="C83" s="318">
        <f ca="1">ROUND(C13/C40,3)</f>
        <v>8.6999999999999994E-2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估价对象为北京市朝阳区广顺北大街16号院1、2、3号楼房地产，为所有。根据《国有土地使用证》[]，估价对象（分摊）出让国有建设用地使用权面积为10126.19平方米，建筑面积为44104.41平方米。</v>
      </c>
    </row>
    <row r="8" spans="1:1" ht="57.75">
      <c r="A8" s="1930" t="s">
        <v>1602</v>
      </c>
    </row>
    <row r="9" spans="1:1" ht="18.75">
      <c r="A9" s="1929" t="s">
        <v>1603</v>
      </c>
    </row>
    <row r="10" spans="1:1" ht="72">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10126.19平方米，规划建筑面积为44104.41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13" sqref="I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3708</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1469</v>
      </c>
      <c r="C2" s="1825" t="s">
        <v>1504</v>
      </c>
      <c r="D2" s="1825"/>
      <c r="E2" s="1826"/>
      <c r="F2" s="1827"/>
      <c r="G2" s="1828"/>
      <c r="H2" s="1820"/>
      <c r="I2" s="1820"/>
      <c r="J2" s="1820"/>
      <c r="K2" s="1821"/>
      <c r="L2" s="1820"/>
      <c r="M2" s="1820"/>
    </row>
    <row r="3" spans="1:37" ht="18" customHeight="1" thickBot="1">
      <c r="A3" s="1829" t="s">
        <v>1505</v>
      </c>
      <c r="B3" s="1830">
        <f ca="1">IF(ISERROR(B2*10000/F43),0,ROUND(B2*10000/F43,0))</f>
        <v>37763</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135</v>
      </c>
      <c r="D5" s="1802" t="s">
        <v>1390</v>
      </c>
      <c r="E5" s="1275"/>
      <c r="F5" s="1276"/>
      <c r="G5" s="1831"/>
      <c r="H5" s="344">
        <v>1</v>
      </c>
      <c r="I5" s="345" t="s">
        <v>1389</v>
      </c>
      <c r="J5" s="1274">
        <f ca="1">J6+J10+J12</f>
        <v>129</v>
      </c>
      <c r="K5" s="1802" t="s">
        <v>1390</v>
      </c>
      <c r="L5" s="1275"/>
      <c r="M5" s="1276"/>
    </row>
    <row r="6" spans="1:37" ht="18" customHeight="1">
      <c r="A6" s="1273" t="s">
        <v>1032</v>
      </c>
      <c r="B6" s="3766" t="s">
        <v>1391</v>
      </c>
      <c r="C6" s="1278">
        <f ca="1">ROUND(F6*F8*F7*(1-F9)/10000,0)</f>
        <v>135</v>
      </c>
      <c r="D6" s="164" t="s">
        <v>3004</v>
      </c>
      <c r="E6" s="347" t="s">
        <v>1393</v>
      </c>
      <c r="F6" s="348">
        <f ca="1">INDIRECT("'数据-取费表'!u"&amp;$G$1)</f>
        <v>9.5</v>
      </c>
      <c r="G6" s="1831"/>
      <c r="H6" s="1273" t="s">
        <v>1032</v>
      </c>
      <c r="I6" s="3766" t="s">
        <v>1391</v>
      </c>
      <c r="J6" s="346">
        <f ca="1">ROUND(M6*M8*M7*(1-M9)/10000,0)</f>
        <v>129</v>
      </c>
      <c r="K6" s="164" t="s">
        <v>3003</v>
      </c>
      <c r="L6" s="347" t="s">
        <v>1393</v>
      </c>
      <c r="M6" s="348">
        <f ca="1">INDIRECT("'数据-取费表'!z"&amp;$G$1)</f>
        <v>9.57</v>
      </c>
    </row>
    <row r="7" spans="1:37" ht="18" customHeight="1">
      <c r="A7" s="1277"/>
      <c r="B7" s="3767"/>
      <c r="C7" s="1279"/>
      <c r="D7" s="352"/>
      <c r="E7" s="3430" t="s">
        <v>1394</v>
      </c>
      <c r="F7" s="348">
        <f ca="1">IF(INDIRECT("'数据-取费表'!ah"&amp;$G$1)="",INDIRECT("'数据-取费表'!k"&amp;$G$1),INDIRECT("'数据-取费表'!ah"&amp;$G$1))</f>
        <v>389</v>
      </c>
      <c r="G7" s="1831"/>
      <c r="H7" s="349"/>
      <c r="I7" s="3767"/>
      <c r="J7" s="351"/>
      <c r="K7" s="352"/>
      <c r="L7" s="347" t="s">
        <v>1394</v>
      </c>
      <c r="M7" s="348">
        <f ca="1">F7</f>
        <v>389</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0</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166</v>
      </c>
      <c r="D13" s="1313" t="s">
        <v>1403</v>
      </c>
      <c r="E13" s="1313" t="s">
        <v>1404</v>
      </c>
      <c r="F13" s="1314">
        <f ca="1">INDIRECT("'数据-取费表'!y"&amp;$G$1)</f>
        <v>0.8</v>
      </c>
      <c r="G13" s="1831"/>
      <c r="H13" s="1311">
        <v>2</v>
      </c>
      <c r="I13" s="1312" t="s">
        <v>1402</v>
      </c>
      <c r="J13" s="1272">
        <f ca="1">ROUND(J14*J15,0)</f>
        <v>151</v>
      </c>
      <c r="K13" s="1319" t="s">
        <v>1403</v>
      </c>
      <c r="L13" s="1832"/>
      <c r="M13" s="1833"/>
    </row>
    <row r="14" spans="1:37" ht="18" customHeight="1">
      <c r="A14" s="1183" t="s">
        <v>1031</v>
      </c>
      <c r="B14" s="347" t="s">
        <v>1405</v>
      </c>
      <c r="C14" s="363">
        <f ca="1">INDIRECT("'数据-取费表'!m"&amp;$G$1)+INDIRECT("'数据-取费表'!t"&amp;$G$1)</f>
        <v>136</v>
      </c>
      <c r="D14" s="3433" t="s">
        <v>1406</v>
      </c>
      <c r="E14" s="3432"/>
      <c r="F14" s="364"/>
      <c r="G14" s="1831"/>
      <c r="H14" s="1183" t="s">
        <v>1032</v>
      </c>
      <c r="I14" s="347" t="s">
        <v>1407</v>
      </c>
      <c r="J14" s="24">
        <f ca="1">C29</f>
        <v>207</v>
      </c>
      <c r="K14" s="3429"/>
      <c r="L14" s="969"/>
      <c r="M14" s="970"/>
    </row>
    <row r="15" spans="1:37" s="1838" customFormat="1" ht="18" customHeight="1" thickBot="1">
      <c r="A15" s="1183" t="s">
        <v>1033</v>
      </c>
      <c r="B15" s="347" t="s">
        <v>1408</v>
      </c>
      <c r="C15" s="24">
        <f ca="1">ROUND(C14*F15,0)</f>
        <v>4</v>
      </c>
      <c r="D15" s="365" t="s">
        <v>1409</v>
      </c>
      <c r="E15" s="365" t="s">
        <v>1410</v>
      </c>
      <c r="F15" s="366">
        <f>'数据-取费表'!B33</f>
        <v>0.03</v>
      </c>
      <c r="G15" s="1834"/>
      <c r="H15" s="1321" t="s">
        <v>1036</v>
      </c>
      <c r="I15" s="1322" t="s">
        <v>1404</v>
      </c>
      <c r="J15" s="1331">
        <f ca="1">INDIRECT("'数据-取费表'!ad"&amp;$G$1)</f>
        <v>0.73</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29</v>
      </c>
      <c r="K16" s="1319" t="s">
        <v>1413</v>
      </c>
      <c r="L16" s="3435"/>
      <c r="M16" s="1276"/>
    </row>
    <row r="17" spans="1:37" s="1838" customFormat="1" ht="18" customHeight="1">
      <c r="A17" s="1183" t="s">
        <v>1378</v>
      </c>
      <c r="B17" s="347" t="s">
        <v>1414</v>
      </c>
      <c r="C17" s="24">
        <f ca="1">ROUND(F17*(F43+INDIRECT("'数据-取费表'!S"&amp;$G$1))/10000,0)</f>
        <v>8</v>
      </c>
      <c r="D17" s="347" t="s">
        <v>1415</v>
      </c>
      <c r="E17" s="347" t="s">
        <v>1416</v>
      </c>
      <c r="F17" s="26">
        <f>'数据-取费表'!B35</f>
        <v>200</v>
      </c>
      <c r="G17" s="1834"/>
      <c r="H17" s="1183" t="s">
        <v>1032</v>
      </c>
      <c r="I17" s="347" t="s">
        <v>1417</v>
      </c>
      <c r="J17" s="24">
        <f ca="1">ROUND(IF(项目基本情况!B11="自然人",J6*M17/(1+'数据-取费表'!C42),J18+J19+J20),1)</f>
        <v>21.7</v>
      </c>
      <c r="K17" s="3433" t="s">
        <v>1418</v>
      </c>
      <c r="L17" s="3434"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2</v>
      </c>
      <c r="D18" s="347" t="s">
        <v>1409</v>
      </c>
      <c r="E18" s="347" t="s">
        <v>1410</v>
      </c>
      <c r="F18" s="367">
        <f>'数据-取费表'!B36</f>
        <v>1.4999999999999999E-2</v>
      </c>
      <c r="G18" s="1834"/>
      <c r="H18" s="1183" t="s">
        <v>1031</v>
      </c>
      <c r="I18" s="347" t="s">
        <v>1421</v>
      </c>
      <c r="J18" s="24">
        <f ca="1">ROUND(J6*M18/(1+'数据-取费表'!C42),2)</f>
        <v>6.88</v>
      </c>
      <c r="K18" s="3434"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150</v>
      </c>
      <c r="D19" s="140" t="s">
        <v>1424</v>
      </c>
      <c r="E19" s="3428"/>
      <c r="F19" s="26"/>
      <c r="G19" s="1831"/>
      <c r="H19" s="1183" t="s">
        <v>1033</v>
      </c>
      <c r="I19" s="347" t="s">
        <v>1425</v>
      </c>
      <c r="J19" s="24">
        <f ca="1">IF(K19="按租金收入计税",ROUND(J6*M19/(1+'数据-取费表'!C42),2),ROUND(C29*M19*0.7,2))</f>
        <v>14.74</v>
      </c>
      <c r="K19" s="1808" t="s">
        <v>3060</v>
      </c>
      <c r="L19" s="347" t="s">
        <v>1410</v>
      </c>
      <c r="M19" s="367">
        <f>IF(K19="按租金收入计税",'数据-取费表'!B51,'数据-取费表'!B50)</f>
        <v>0.12</v>
      </c>
    </row>
    <row r="20" spans="1:37" s="1838" customFormat="1" ht="18" customHeight="1">
      <c r="A20" s="1183" t="s">
        <v>1036</v>
      </c>
      <c r="B20" s="347" t="s">
        <v>1427</v>
      </c>
      <c r="C20" s="24">
        <f ca="1">ROUND(C19*F20,0)</f>
        <v>3</v>
      </c>
      <c r="D20" s="369" t="s">
        <v>1428</v>
      </c>
      <c r="E20" s="347" t="s">
        <v>1410</v>
      </c>
      <c r="F20" s="367">
        <f>'数据-取费表'!B37</f>
        <v>0.02</v>
      </c>
      <c r="G20" s="1834"/>
      <c r="H20" s="1183" t="s">
        <v>1377</v>
      </c>
      <c r="I20" s="164" t="s">
        <v>1429</v>
      </c>
      <c r="J20" s="25">
        <f ca="1">ROUND(M20*M21/10000,2)</f>
        <v>0.03</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93.42</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28"/>
      <c r="F22" s="26"/>
      <c r="G22" s="1831"/>
      <c r="H22" s="1183" t="s">
        <v>1036</v>
      </c>
      <c r="I22" s="347" t="s">
        <v>1437</v>
      </c>
      <c r="J22" s="24">
        <f ca="1">ROUND(J14*M22,1)</f>
        <v>3.1</v>
      </c>
      <c r="K22" s="3434"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0.2</v>
      </c>
      <c r="K23" s="3434"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3.9</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28"/>
      <c r="F25" s="26"/>
      <c r="G25" s="1831"/>
      <c r="H25" s="1311" t="s">
        <v>1028</v>
      </c>
      <c r="I25" s="1326" t="s">
        <v>1451</v>
      </c>
      <c r="J25" s="355">
        <f ca="1">J5-J16</f>
        <v>100</v>
      </c>
      <c r="K25" s="1327" t="s">
        <v>1452</v>
      </c>
      <c r="L25" s="1328"/>
      <c r="M25" s="1329"/>
    </row>
    <row r="26" spans="1:37">
      <c r="A26" s="1183" t="s">
        <v>1031</v>
      </c>
      <c r="B26" s="347" t="s">
        <v>1453</v>
      </c>
      <c r="C26" s="24">
        <f ca="1">ROUND((C19+C20)*F26,0)</f>
        <v>31</v>
      </c>
      <c r="D26" s="369" t="s">
        <v>1454</v>
      </c>
      <c r="E26" s="358" t="s">
        <v>1455</v>
      </c>
      <c r="F26" s="357">
        <f ca="1">INDIRECT("'数据-取费表'!q"&amp;$G$1)</f>
        <v>0.2</v>
      </c>
      <c r="G26" s="1831"/>
      <c r="H26" s="344" t="s">
        <v>1029</v>
      </c>
      <c r="I26" s="345" t="s">
        <v>1456</v>
      </c>
      <c r="J26" s="346">
        <f ca="1">IF(J5&lt;&gt;0,ROUND(J25*(1-((1+M28)/(1+M26))^M27)/(M26-M28),0),0)</f>
        <v>1384</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18.68</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207</v>
      </c>
      <c r="D29" s="1324"/>
      <c r="E29" s="1322"/>
      <c r="F29" s="1325"/>
      <c r="G29" s="1834"/>
      <c r="H29" s="380" t="s">
        <v>1030</v>
      </c>
      <c r="I29" s="381" t="s">
        <v>1467</v>
      </c>
      <c r="J29" s="382">
        <f ca="1">ROUND(J26/(1+F40)^F41,0)</f>
        <v>1063</v>
      </c>
      <c r="K29" s="383" t="s">
        <v>1468</v>
      </c>
      <c r="L29" s="384"/>
      <c r="M29" s="385">
        <f ca="1">INDIRECT("'数据-取费表'!k"&amp;$G$1)</f>
        <v>389</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30</v>
      </c>
      <c r="D30" s="1319" t="s">
        <v>1413</v>
      </c>
      <c r="E30" s="3435"/>
      <c r="F30" s="1276"/>
      <c r="G30" s="1831"/>
      <c r="H30" s="741"/>
      <c r="I30" s="742"/>
      <c r="J30" s="743"/>
      <c r="K30" s="744"/>
      <c r="L30" s="745"/>
      <c r="M30" s="746"/>
    </row>
    <row r="31" spans="1:37" ht="18" customHeight="1">
      <c r="A31" s="1183" t="s">
        <v>1032</v>
      </c>
      <c r="B31" s="347" t="s">
        <v>1417</v>
      </c>
      <c r="C31" s="24">
        <f ca="1">ROUND(IF(项目基本情况!B11="自然人",C6*F31/(1+'数据-取费表'!C42),C32+C33+C34),1)</f>
        <v>22.7</v>
      </c>
      <c r="D31" s="3433" t="s">
        <v>1418</v>
      </c>
      <c r="E31" s="3434"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7.2</v>
      </c>
      <c r="D32" s="3434"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15.43</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0.03</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93.42</v>
      </c>
      <c r="G35" s="1831"/>
      <c r="H35" s="741"/>
      <c r="I35" s="1840"/>
      <c r="J35" s="1841"/>
      <c r="K35" s="1842"/>
      <c r="L35" s="1839"/>
      <c r="M35" s="1839"/>
    </row>
    <row r="36" spans="1:18" ht="18" customHeight="1">
      <c r="A36" s="1334" t="s">
        <v>1036</v>
      </c>
      <c r="B36" s="347" t="s">
        <v>1437</v>
      </c>
      <c r="C36" s="24">
        <f ca="1">ROUND(C29*F36,1)</f>
        <v>3.1</v>
      </c>
      <c r="D36" s="3434"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0.2</v>
      </c>
      <c r="D37" s="3434"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4.0999999999999996</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105</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406</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4.53</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10437</v>
      </c>
      <c r="D43" s="383" t="s">
        <v>1476</v>
      </c>
      <c r="E43" s="384" t="s">
        <v>1477</v>
      </c>
      <c r="F43" s="385">
        <f ca="1">INDIRECT("'数据-取费表'!k"&amp;$G$1)</f>
        <v>389</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-487</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1469</v>
      </c>
      <c r="R47" s="1866" t="s">
        <v>1517</v>
      </c>
    </row>
    <row r="48" spans="1:18" s="1822" customFormat="1" ht="28.5" thickBot="1">
      <c r="A48" s="1342" t="s">
        <v>1125</v>
      </c>
      <c r="B48" s="345" t="s">
        <v>1389</v>
      </c>
      <c r="C48" s="342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207</v>
      </c>
      <c r="R49" s="1866" t="s">
        <v>1517</v>
      </c>
    </row>
    <row r="50" spans="1:18" s="1822" customFormat="1" ht="13.5" thickBot="1">
      <c r="A50" s="1177"/>
      <c r="B50" s="1180"/>
      <c r="C50" s="1350"/>
      <c r="D50" s="1154"/>
      <c r="E50" s="1259" t="s">
        <v>1394</v>
      </c>
      <c r="F50" s="1260">
        <f ca="1">F7</f>
        <v>389</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1176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1469</v>
      </c>
      <c r="R53" s="1866" t="s">
        <v>1044</v>
      </c>
    </row>
    <row r="54" spans="1:18" s="1822" customFormat="1" ht="13.5" thickBot="1">
      <c r="A54" s="1387"/>
      <c r="B54" s="1805" t="s">
        <v>1376</v>
      </c>
      <c r="C54" s="1160"/>
      <c r="D54" s="1804"/>
      <c r="E54" s="3431"/>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31"/>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166</v>
      </c>
      <c r="D56" s="1893"/>
      <c r="E56" s="1894"/>
      <c r="F56" s="1886"/>
      <c r="I56" s="1895" t="s">
        <v>1542</v>
      </c>
      <c r="J56" s="1896" t="s">
        <v>3042</v>
      </c>
      <c r="K56" s="1867" t="s">
        <v>1543</v>
      </c>
      <c r="L56" s="1870" t="str">
        <f ca="1">IF(L48&lt;J51,"——",L48-J53)</f>
        <v>——</v>
      </c>
      <c r="O56" s="1864" t="s">
        <v>1037</v>
      </c>
      <c r="P56" s="1865" t="s">
        <v>1516</v>
      </c>
      <c r="Q56" s="1866">
        <f ca="1">C40+J29</f>
        <v>1469</v>
      </c>
      <c r="R56" s="1866" t="s">
        <v>1517</v>
      </c>
    </row>
    <row r="57" spans="1:18" s="1822" customFormat="1" ht="24.75" thickBot="1">
      <c r="A57" s="1897"/>
      <c r="B57" s="1151" t="s">
        <v>1466</v>
      </c>
      <c r="C57" s="282">
        <f ca="1">C29</f>
        <v>207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21</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17.399999999999999</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17.39</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0.03</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1469</v>
      </c>
      <c r="R62" s="1866" t="s">
        <v>1044</v>
      </c>
    </row>
    <row r="63" spans="1:18" s="1822" customFormat="1" ht="13.5" thickBot="1">
      <c r="A63" s="372"/>
      <c r="B63" s="1157"/>
      <c r="C63" s="29"/>
      <c r="D63" s="1167"/>
      <c r="E63" s="1151" t="s">
        <v>1435</v>
      </c>
      <c r="F63" s="348">
        <f t="shared" ca="1" si="0"/>
        <v>93.42</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3.1</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0.2</v>
      </c>
      <c r="D65" s="1165" t="s">
        <v>1442</v>
      </c>
      <c r="E65" s="1151" t="s">
        <v>1410</v>
      </c>
      <c r="F65" s="376">
        <f t="shared" ca="1" si="0"/>
        <v>1.5E-3</v>
      </c>
      <c r="I65" s="1908" t="s">
        <v>1567</v>
      </c>
      <c r="J65" s="1909">
        <v>40</v>
      </c>
      <c r="K65" s="1909">
        <v>30</v>
      </c>
      <c r="L65" s="1909">
        <v>50</v>
      </c>
      <c r="M65" s="1911">
        <v>0.02</v>
      </c>
      <c r="O65" s="1864" t="s">
        <v>1037</v>
      </c>
      <c r="P65" s="1865" t="s">
        <v>1516</v>
      </c>
      <c r="Q65" s="1866">
        <f ca="1">C40+J29</f>
        <v>1469</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-21</v>
      </c>
      <c r="D67" s="1164" t="s">
        <v>1452</v>
      </c>
      <c r="E67" s="1169"/>
      <c r="F67" s="1170"/>
      <c r="O67" s="1874" t="s">
        <v>1039</v>
      </c>
      <c r="P67" s="1865" t="s">
        <v>1550</v>
      </c>
      <c r="Q67" s="1912">
        <f ca="1">L51</f>
        <v>1176</v>
      </c>
      <c r="R67" s="1866" t="s">
        <v>1570</v>
      </c>
    </row>
    <row r="68" spans="1:18" s="1822" customFormat="1" ht="16.5" thickBot="1">
      <c r="A68" s="1148" t="s">
        <v>1029</v>
      </c>
      <c r="B68" s="1149" t="s">
        <v>1473</v>
      </c>
      <c r="C68" s="346">
        <f ca="1">ROUND(C67*(1-((1+F70)/(1+F68))^F69)/(F68-F70),0)</f>
        <v>-81</v>
      </c>
      <c r="D68" s="1166" t="s">
        <v>1457</v>
      </c>
      <c r="E68" s="1151" t="s">
        <v>1458</v>
      </c>
      <c r="F68" s="357">
        <f ca="1">F40</f>
        <v>0.06</v>
      </c>
      <c r="O68" s="1874" t="s">
        <v>1040</v>
      </c>
      <c r="P68" s="1913" t="s">
        <v>1571</v>
      </c>
      <c r="Q68" s="1866">
        <f ca="1">ROUND(Q69-Q70*Q71,0)</f>
        <v>91</v>
      </c>
      <c r="R68" s="1866" t="s">
        <v>1048</v>
      </c>
    </row>
    <row r="69" spans="1:18" s="1822" customFormat="1" ht="13.5" thickBot="1">
      <c r="A69" s="1152"/>
      <c r="B69" s="1153"/>
      <c r="C69" s="351"/>
      <c r="D69" s="1171" t="s">
        <v>1461</v>
      </c>
      <c r="E69" s="1151" t="s">
        <v>1462</v>
      </c>
      <c r="F69" s="379">
        <f ca="1">F41</f>
        <v>4.53</v>
      </c>
      <c r="O69" s="1874" t="s">
        <v>1045</v>
      </c>
      <c r="P69" s="1913" t="s">
        <v>1572</v>
      </c>
      <c r="Q69" s="1866">
        <f ca="1">C39</f>
        <v>105</v>
      </c>
      <c r="R69" s="1866" t="s">
        <v>1517</v>
      </c>
    </row>
    <row r="70" spans="1:18" s="1822" customFormat="1" ht="13.5" thickBot="1">
      <c r="A70" s="1155"/>
      <c r="B70" s="1156"/>
      <c r="C70" s="355"/>
      <c r="D70" s="1167"/>
      <c r="E70" s="1151" t="s">
        <v>1465</v>
      </c>
      <c r="F70" s="1257"/>
      <c r="O70" s="1874" t="s">
        <v>1046</v>
      </c>
      <c r="P70" s="1913" t="s">
        <v>1573</v>
      </c>
      <c r="Q70" s="1866">
        <f ca="1">C13</f>
        <v>166</v>
      </c>
      <c r="R70" s="1866" t="s">
        <v>1517</v>
      </c>
    </row>
    <row r="71" spans="1:18" s="1822" customFormat="1" ht="13.5" thickBot="1">
      <c r="A71" s="1172" t="s">
        <v>1030</v>
      </c>
      <c r="B71" s="1173" t="s">
        <v>1475</v>
      </c>
      <c r="C71" s="382">
        <f ca="1">ROUND(C68*10000/F71,0)</f>
        <v>-2082</v>
      </c>
      <c r="D71" s="1174" t="s">
        <v>1476</v>
      </c>
      <c r="E71" s="1175" t="s">
        <v>1477</v>
      </c>
      <c r="F71" s="385">
        <f ca="1">F43</f>
        <v>389</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14</v>
      </c>
      <c r="D75" s="1822"/>
      <c r="E75" s="1822"/>
      <c r="F75" s="1822"/>
      <c r="K75" s="1848"/>
      <c r="L75" s="1822"/>
      <c r="O75" s="1864" t="s">
        <v>1043</v>
      </c>
      <c r="P75" s="1865" t="s">
        <v>1537</v>
      </c>
      <c r="Q75" s="1866">
        <f ca="1">Q65+Q66</f>
        <v>1469</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0.86699999999999999</v>
      </c>
    </row>
    <row r="80" spans="1:18">
      <c r="B80" s="386" t="s">
        <v>1499</v>
      </c>
      <c r="C80" s="318">
        <f ca="1">ROUND(C75/C39,3)</f>
        <v>0.13300000000000001</v>
      </c>
    </row>
    <row r="81" spans="2:3">
      <c r="B81" s="314" t="s">
        <v>1500</v>
      </c>
      <c r="C81" s="282"/>
    </row>
    <row r="82" spans="2:3">
      <c r="B82" s="317" t="s">
        <v>1501</v>
      </c>
      <c r="C82" s="319">
        <f ca="1">1-C83</f>
        <v>0.59099999999999997</v>
      </c>
    </row>
    <row r="83" spans="2:3">
      <c r="B83" s="317" t="s">
        <v>1502</v>
      </c>
      <c r="C83" s="318">
        <f ca="1">ROUND(C13/C40,3)</f>
        <v>0.40899999999999997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6" sqref="D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3709</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211</v>
      </c>
      <c r="C2" s="1825" t="s">
        <v>1504</v>
      </c>
      <c r="D2" s="1825"/>
      <c r="E2" s="1826"/>
      <c r="F2" s="1827"/>
      <c r="G2" s="1828"/>
      <c r="H2" s="1820"/>
      <c r="I2" s="1820"/>
      <c r="J2" s="1820"/>
      <c r="K2" s="1821"/>
      <c r="L2" s="1820"/>
      <c r="M2" s="1820"/>
    </row>
    <row r="3" spans="1:37" ht="18" customHeight="1" thickBot="1">
      <c r="A3" s="1829" t="s">
        <v>1505</v>
      </c>
      <c r="B3" s="1830">
        <f ca="1">IF(ISERROR(B2*10000/F43),0,ROUND(B2*10000/F43,0))</f>
        <v>66020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17</v>
      </c>
      <c r="D5" s="1802" t="s">
        <v>1390</v>
      </c>
      <c r="E5" s="1275"/>
      <c r="F5" s="1276"/>
      <c r="G5" s="1831"/>
      <c r="H5" s="344">
        <v>1</v>
      </c>
      <c r="I5" s="345" t="s">
        <v>1389</v>
      </c>
      <c r="J5" s="1274">
        <f ca="1">J6+J10+J12</f>
        <v>0</v>
      </c>
      <c r="K5" s="1802" t="s">
        <v>1390</v>
      </c>
      <c r="L5" s="1275"/>
      <c r="M5" s="1276"/>
    </row>
    <row r="6" spans="1:37" ht="18" customHeight="1">
      <c r="A6" s="1273" t="s">
        <v>1032</v>
      </c>
      <c r="B6" s="3766" t="s">
        <v>1391</v>
      </c>
      <c r="C6" s="1278">
        <f ca="1">ROUND(F6*F8*F7*(1-F9)/10000,0)</f>
        <v>17</v>
      </c>
      <c r="D6" s="164" t="s">
        <v>3004</v>
      </c>
      <c r="E6" s="347" t="s">
        <v>1393</v>
      </c>
      <c r="F6" s="348">
        <f ca="1">INDIRECT("'数据-取费表'!u"&amp;$G$1)</f>
        <v>15</v>
      </c>
      <c r="G6" s="1831"/>
      <c r="H6" s="1273" t="s">
        <v>1032</v>
      </c>
      <c r="I6" s="3766" t="s">
        <v>1391</v>
      </c>
      <c r="J6" s="346">
        <f ca="1">ROUND(M6*M8*M7*(1-M9)/10000,0)</f>
        <v>0</v>
      </c>
      <c r="K6" s="164" t="s">
        <v>3003</v>
      </c>
      <c r="L6" s="347" t="s">
        <v>1393</v>
      </c>
      <c r="M6" s="348">
        <f ca="1">INDIRECT("'数据-取费表'!z"&amp;$G$1)</f>
        <v>0</v>
      </c>
    </row>
    <row r="7" spans="1:37" ht="18" customHeight="1">
      <c r="A7" s="1277"/>
      <c r="B7" s="3767"/>
      <c r="C7" s="1279"/>
      <c r="D7" s="352"/>
      <c r="E7" s="3430" t="s">
        <v>1394</v>
      </c>
      <c r="F7" s="348">
        <f ca="1">IF(INDIRECT("'数据-取费表'!ah"&amp;$G$1)="",INDIRECT("'数据-取费表'!k"&amp;$G$1),INDIRECT("'数据-取费表'!ah"&amp;$G$1))</f>
        <v>31.96</v>
      </c>
      <c r="G7" s="1831"/>
      <c r="H7" s="349"/>
      <c r="I7" s="3767"/>
      <c r="J7" s="351"/>
      <c r="K7" s="352"/>
      <c r="L7" s="347" t="s">
        <v>1394</v>
      </c>
      <c r="M7" s="348">
        <f ca="1">F7</f>
        <v>31.96</v>
      </c>
    </row>
    <row r="8" spans="1:37" ht="18" customHeight="1">
      <c r="A8" s="349"/>
      <c r="B8" s="3767"/>
      <c r="C8" s="351"/>
      <c r="D8" s="352"/>
      <c r="E8" s="347" t="s">
        <v>1395</v>
      </c>
      <c r="F8" s="348">
        <f ca="1">INDIRECT("'数据-取费表'!ai"&amp;$G$1)</f>
        <v>365</v>
      </c>
      <c r="G8" s="1831"/>
      <c r="H8" s="349"/>
      <c r="I8" s="3767"/>
      <c r="J8" s="351"/>
      <c r="K8" s="352"/>
      <c r="L8" s="347" t="s">
        <v>1395</v>
      </c>
      <c r="M8" s="348">
        <f ca="1">INDIRECT("'数据-取费表'!ai"&amp;$G$1)</f>
        <v>365</v>
      </c>
    </row>
    <row r="9" spans="1:37" ht="18" customHeight="1">
      <c r="A9" s="349"/>
      <c r="B9" s="3768"/>
      <c r="C9" s="351"/>
      <c r="D9" s="352"/>
      <c r="E9" s="347" t="s">
        <v>1396</v>
      </c>
      <c r="F9" s="357">
        <f ca="1">INDIRECT("'数据-取费表'!w"&amp;$G$1)</f>
        <v>0.05</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11</v>
      </c>
      <c r="D14" s="3433" t="s">
        <v>1406</v>
      </c>
      <c r="E14" s="3432"/>
      <c r="F14" s="364"/>
      <c r="G14" s="1831"/>
      <c r="H14" s="1183" t="s">
        <v>1032</v>
      </c>
      <c r="I14" s="347" t="s">
        <v>1407</v>
      </c>
      <c r="J14" s="24">
        <f ca="1">C29</f>
        <v>16</v>
      </c>
      <c r="K14" s="3429"/>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35"/>
      <c r="M16" s="1276"/>
    </row>
    <row r="17" spans="1:37" s="1838" customFormat="1" ht="18" customHeight="1">
      <c r="A17" s="1183" t="s">
        <v>1378</v>
      </c>
      <c r="B17" s="347" t="s">
        <v>1414</v>
      </c>
      <c r="C17" s="24">
        <f ca="1">ROUND(F17*(F43+INDIRECT("'数据-取费表'!S"&amp;$G$1))/10000,0)</f>
        <v>1</v>
      </c>
      <c r="D17" s="347" t="s">
        <v>1415</v>
      </c>
      <c r="E17" s="347" t="s">
        <v>1416</v>
      </c>
      <c r="F17" s="26">
        <f>'数据-取费表'!B35</f>
        <v>200</v>
      </c>
      <c r="G17" s="1834"/>
      <c r="H17" s="1183" t="s">
        <v>1032</v>
      </c>
      <c r="I17" s="347" t="s">
        <v>1417</v>
      </c>
      <c r="J17" s="24">
        <f ca="1">ROUND(IF(项目基本情况!B11="自然人",J6*M17/(1+'数据-取费表'!C42),J18+J19+J20),1)</f>
        <v>0</v>
      </c>
      <c r="K17" s="3433" t="s">
        <v>1418</v>
      </c>
      <c r="L17" s="3434"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434"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12</v>
      </c>
      <c r="D19" s="140" t="s">
        <v>1424</v>
      </c>
      <c r="E19" s="342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7.68</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28"/>
      <c r="F22" s="26"/>
      <c r="G22" s="1831"/>
      <c r="H22" s="1183" t="s">
        <v>1036</v>
      </c>
      <c r="I22" s="347" t="s">
        <v>1437</v>
      </c>
      <c r="J22" s="24">
        <f ca="1">ROUND(J14*M22,1)</f>
        <v>0.2</v>
      </c>
      <c r="K22" s="3434"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434"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28"/>
      <c r="F25" s="26"/>
      <c r="G25" s="1831"/>
      <c r="H25" s="1311" t="s">
        <v>1028</v>
      </c>
      <c r="I25" s="1326" t="s">
        <v>1451</v>
      </c>
      <c r="J25" s="355">
        <f ca="1">J5-J16</f>
        <v>0</v>
      </c>
      <c r="K25" s="1327" t="s">
        <v>1452</v>
      </c>
      <c r="L25" s="1328"/>
      <c r="M25" s="1329"/>
    </row>
    <row r="26" spans="1:37">
      <c r="A26" s="1183" t="s">
        <v>1031</v>
      </c>
      <c r="B26" s="347" t="s">
        <v>1453</v>
      </c>
      <c r="C26" s="24">
        <f ca="1">ROUND((C19+C20)*F26,0)</f>
        <v>2</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v>
      </c>
      <c r="D29" s="1324"/>
      <c r="E29" s="1322"/>
      <c r="F29" s="1325"/>
      <c r="G29" s="1834"/>
      <c r="H29" s="380" t="s">
        <v>1030</v>
      </c>
      <c r="I29" s="381" t="s">
        <v>1467</v>
      </c>
      <c r="J29" s="382">
        <f ca="1">ROUND(J26/(1+F40)^F41,0)</f>
        <v>0</v>
      </c>
      <c r="K29" s="383" t="s">
        <v>1468</v>
      </c>
      <c r="L29" s="384"/>
      <c r="M29" s="385">
        <f ca="1">INDIRECT("'数据-取费表'!k"&amp;$G$1)</f>
        <v>31.96</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4</v>
      </c>
      <c r="D30" s="1319" t="s">
        <v>1413</v>
      </c>
      <c r="E30" s="3435"/>
      <c r="F30" s="1276"/>
      <c r="G30" s="1831"/>
      <c r="H30" s="741"/>
      <c r="I30" s="742"/>
      <c r="J30" s="743"/>
      <c r="K30" s="744"/>
      <c r="L30" s="745"/>
      <c r="M30" s="746"/>
    </row>
    <row r="31" spans="1:37" ht="18" customHeight="1">
      <c r="A31" s="1183" t="s">
        <v>1032</v>
      </c>
      <c r="B31" s="347" t="s">
        <v>1417</v>
      </c>
      <c r="C31" s="24">
        <f ca="1">ROUND(IF(项目基本情况!B11="自然人",C6*F31/(1+'数据-取费表'!C42),C32+C33+C34),1)</f>
        <v>2.9</v>
      </c>
      <c r="D31" s="3433" t="s">
        <v>1418</v>
      </c>
      <c r="E31" s="3434"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0.91</v>
      </c>
      <c r="D32" s="3434"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1.94</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7.68</v>
      </c>
      <c r="G35" s="1831"/>
      <c r="H35" s="741"/>
      <c r="I35" s="1840"/>
      <c r="J35" s="1841"/>
      <c r="K35" s="1842"/>
      <c r="L35" s="1839"/>
      <c r="M35" s="1839"/>
    </row>
    <row r="36" spans="1:18" ht="18" customHeight="1">
      <c r="A36" s="1334" t="s">
        <v>1036</v>
      </c>
      <c r="B36" s="347" t="s">
        <v>1437</v>
      </c>
      <c r="C36" s="24">
        <f ca="1">ROUND(C29*F36,1)</f>
        <v>0.2</v>
      </c>
      <c r="D36" s="3434"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0</v>
      </c>
      <c r="D37" s="3434"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0.5</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13</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211</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66020</v>
      </c>
      <c r="D43" s="383" t="s">
        <v>1476</v>
      </c>
      <c r="E43" s="384" t="s">
        <v>1477</v>
      </c>
      <c r="F43" s="385">
        <f ca="1">INDIRECT("'数据-取费表'!k"&amp;$G$1)</f>
        <v>31.96</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-236</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211</v>
      </c>
      <c r="R47" s="1866" t="s">
        <v>1517</v>
      </c>
    </row>
    <row r="48" spans="1:18" s="1822" customFormat="1" ht="28.5" thickBot="1">
      <c r="A48" s="1342" t="s">
        <v>1125</v>
      </c>
      <c r="B48" s="345" t="s">
        <v>1389</v>
      </c>
      <c r="C48" s="342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v>
      </c>
      <c r="R49" s="1866" t="s">
        <v>1517</v>
      </c>
    </row>
    <row r="50" spans="1:18" s="1822" customFormat="1" ht="13.5" thickBot="1">
      <c r="A50" s="1177"/>
      <c r="B50" s="1180"/>
      <c r="C50" s="1350"/>
      <c r="D50" s="1154"/>
      <c r="E50" s="1259" t="s">
        <v>1394</v>
      </c>
      <c r="F50" s="1260">
        <f ca="1">F7</f>
        <v>31.96</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154</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69" t="s">
        <v>1536</v>
      </c>
      <c r="L53" s="3770"/>
      <c r="O53" s="1864" t="s">
        <v>1043</v>
      </c>
      <c r="P53" s="1865" t="s">
        <v>1537</v>
      </c>
      <c r="Q53" s="1866">
        <f ca="1">Q47+Q48</f>
        <v>211</v>
      </c>
      <c r="R53" s="1866" t="s">
        <v>1044</v>
      </c>
    </row>
    <row r="54" spans="1:18" s="1822" customFormat="1" ht="13.5" thickBot="1">
      <c r="A54" s="1387"/>
      <c r="B54" s="1805" t="s">
        <v>1376</v>
      </c>
      <c r="C54" s="1160"/>
      <c r="D54" s="1804"/>
      <c r="E54" s="3431"/>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31"/>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v>
      </c>
      <c r="D56" s="1893"/>
      <c r="E56" s="1894"/>
      <c r="F56" s="1886"/>
      <c r="I56" s="1895" t="s">
        <v>1542</v>
      </c>
      <c r="J56" s="1896" t="s">
        <v>3042</v>
      </c>
      <c r="K56" s="1867" t="s">
        <v>1543</v>
      </c>
      <c r="L56" s="1870" t="str">
        <f ca="1">IF(L48&lt;J51,"——",L48-J53)</f>
        <v>——</v>
      </c>
      <c r="O56" s="1864" t="s">
        <v>1037</v>
      </c>
      <c r="P56" s="1865" t="s">
        <v>1516</v>
      </c>
      <c r="Q56" s="1866">
        <f ca="1">C40+J29</f>
        <v>211</v>
      </c>
      <c r="R56" s="1866" t="s">
        <v>1517</v>
      </c>
    </row>
    <row r="57" spans="1:18" s="1822" customFormat="1" ht="24.75" thickBot="1">
      <c r="A57" s="1897"/>
      <c r="B57" s="1151" t="s">
        <v>1466</v>
      </c>
      <c r="C57" s="282">
        <f ca="1">C29</f>
        <v>16</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2</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1.3</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1.34</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211</v>
      </c>
      <c r="R62" s="1866" t="s">
        <v>1044</v>
      </c>
    </row>
    <row r="63" spans="1:18" s="1822" customFormat="1" ht="13.5" thickBot="1">
      <c r="A63" s="372"/>
      <c r="B63" s="1157"/>
      <c r="C63" s="29"/>
      <c r="D63" s="1167"/>
      <c r="E63" s="1151" t="s">
        <v>1435</v>
      </c>
      <c r="F63" s="348">
        <f t="shared" ca="1" si="0"/>
        <v>7.68</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0.2</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1.5E-3</v>
      </c>
      <c r="I65" s="1908" t="s">
        <v>1567</v>
      </c>
      <c r="J65" s="1909">
        <v>40</v>
      </c>
      <c r="K65" s="1909">
        <v>30</v>
      </c>
      <c r="L65" s="1909">
        <v>50</v>
      </c>
      <c r="M65" s="1911">
        <v>0.02</v>
      </c>
      <c r="O65" s="1864" t="s">
        <v>1037</v>
      </c>
      <c r="P65" s="1865" t="s">
        <v>1516</v>
      </c>
      <c r="Q65" s="1866">
        <f ca="1">C40+J29</f>
        <v>211</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-2</v>
      </c>
      <c r="D67" s="1164" t="s">
        <v>1452</v>
      </c>
      <c r="E67" s="1169"/>
      <c r="F67" s="1170"/>
      <c r="O67" s="1874" t="s">
        <v>1039</v>
      </c>
      <c r="P67" s="1865" t="s">
        <v>1550</v>
      </c>
      <c r="Q67" s="1912">
        <f ca="1">L51</f>
        <v>154</v>
      </c>
      <c r="R67" s="1866" t="s">
        <v>1570</v>
      </c>
    </row>
    <row r="68" spans="1:18" s="1822" customFormat="1" ht="16.5" thickBot="1">
      <c r="A68" s="1148" t="s">
        <v>1029</v>
      </c>
      <c r="B68" s="1149" t="s">
        <v>1473</v>
      </c>
      <c r="C68" s="346">
        <f ca="1">ROUND(C67*(1-((1+F70)/(1+F68))^F69)/(F68-F70),0)</f>
        <v>-25</v>
      </c>
      <c r="D68" s="1166" t="s">
        <v>1457</v>
      </c>
      <c r="E68" s="1151" t="s">
        <v>1458</v>
      </c>
      <c r="F68" s="357">
        <f ca="1">F40</f>
        <v>0.06</v>
      </c>
      <c r="O68" s="1874" t="s">
        <v>1040</v>
      </c>
      <c r="P68" s="1913" t="s">
        <v>1571</v>
      </c>
      <c r="Q68" s="1866">
        <f ca="1">ROUND(Q69-Q70*Q71,0)</f>
        <v>12</v>
      </c>
      <c r="R68" s="1866" t="s">
        <v>1048</v>
      </c>
    </row>
    <row r="69" spans="1:18" s="1822" customFormat="1" ht="13.5" thickBot="1">
      <c r="A69" s="1152"/>
      <c r="B69" s="1153"/>
      <c r="C69" s="351"/>
      <c r="D69" s="1171" t="s">
        <v>1461</v>
      </c>
      <c r="E69" s="1151" t="s">
        <v>1462</v>
      </c>
      <c r="F69" s="379">
        <f ca="1">F41</f>
        <v>23.21</v>
      </c>
      <c r="O69" s="1874" t="s">
        <v>1045</v>
      </c>
      <c r="P69" s="1913" t="s">
        <v>1572</v>
      </c>
      <c r="Q69" s="1866">
        <f ca="1">C39</f>
        <v>13</v>
      </c>
      <c r="R69" s="1866" t="s">
        <v>1517</v>
      </c>
    </row>
    <row r="70" spans="1:18" s="1822" customFormat="1" ht="13.5" thickBot="1">
      <c r="A70" s="1155"/>
      <c r="B70" s="1156"/>
      <c r="C70" s="355"/>
      <c r="D70" s="1167"/>
      <c r="E70" s="1151" t="s">
        <v>1465</v>
      </c>
      <c r="F70" s="1257"/>
      <c r="O70" s="1874" t="s">
        <v>1046</v>
      </c>
      <c r="P70" s="1913" t="s">
        <v>1573</v>
      </c>
      <c r="Q70" s="1866">
        <f ca="1">C13</f>
        <v>13</v>
      </c>
      <c r="R70" s="1866" t="s">
        <v>1517</v>
      </c>
    </row>
    <row r="71" spans="1:18" s="1822" customFormat="1" ht="13.5" thickBot="1">
      <c r="A71" s="1172" t="s">
        <v>1030</v>
      </c>
      <c r="B71" s="1173" t="s">
        <v>1475</v>
      </c>
      <c r="C71" s="382">
        <f ca="1">ROUND(C68*10000/F71,0)</f>
        <v>-7822</v>
      </c>
      <c r="D71" s="1174" t="s">
        <v>1476</v>
      </c>
      <c r="E71" s="1175" t="s">
        <v>1477</v>
      </c>
      <c r="F71" s="385">
        <f ca="1">F43</f>
        <v>31.96</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v>
      </c>
      <c r="D75" s="1822"/>
      <c r="E75" s="1822"/>
      <c r="F75" s="1822"/>
      <c r="K75" s="1848"/>
      <c r="L75" s="1822"/>
      <c r="O75" s="1864" t="s">
        <v>1043</v>
      </c>
      <c r="P75" s="1865" t="s">
        <v>1537</v>
      </c>
      <c r="Q75" s="1866">
        <f ca="1">Q65+Q66</f>
        <v>211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0.92300000000000004</v>
      </c>
    </row>
    <row r="80" spans="1:18">
      <c r="B80" s="386" t="s">
        <v>1499</v>
      </c>
      <c r="C80" s="318">
        <f ca="1">ROUND(C75/C39,3)</f>
        <v>7.6999999999999999E-2</v>
      </c>
    </row>
    <row r="81" spans="2:3">
      <c r="B81" s="314" t="s">
        <v>1500</v>
      </c>
      <c r="C81" s="282"/>
    </row>
    <row r="82" spans="2:3">
      <c r="B82" s="317" t="s">
        <v>1501</v>
      </c>
      <c r="C82" s="319">
        <f ca="1">1-C83</f>
        <v>0.93799999999999994</v>
      </c>
    </row>
    <row r="83" spans="2:3">
      <c r="B83" s="317" t="s">
        <v>1502</v>
      </c>
      <c r="C83" s="318">
        <f ca="1">ROUND(C13/C40,3)</f>
        <v>6.2E-2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9" sqref="H9"/>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130205</v>
      </c>
      <c r="C2" s="2539" t="s">
        <v>2507</v>
      </c>
      <c r="D2" s="2540" t="s">
        <v>2508</v>
      </c>
      <c r="E2" s="2541">
        <f>SUM(E6:E13)</f>
        <v>44104.409999999996</v>
      </c>
    </row>
    <row r="3" spans="1:6" ht="15.75">
      <c r="A3" s="2537" t="s">
        <v>1383</v>
      </c>
      <c r="B3" s="2538">
        <f ca="1">ROUND(B2*10000/E2,0)</f>
        <v>29522</v>
      </c>
      <c r="C3" s="2539" t="s">
        <v>2515</v>
      </c>
      <c r="D3" s="2542"/>
      <c r="E3" s="2543"/>
    </row>
    <row r="4" spans="1:6" ht="15.75">
      <c r="A4" s="2544"/>
      <c r="B4" s="2542"/>
      <c r="C4" s="2542"/>
      <c r="D4" s="2542"/>
      <c r="E4" s="2543"/>
    </row>
    <row r="5" spans="1:6" ht="15">
      <c r="A5" s="2545" t="s">
        <v>2509</v>
      </c>
      <c r="B5" s="3771" t="s">
        <v>2510</v>
      </c>
      <c r="C5" s="3771"/>
      <c r="D5" s="2546"/>
      <c r="E5" s="2547" t="s">
        <v>2511</v>
      </c>
      <c r="F5" s="2548" t="s">
        <v>2512</v>
      </c>
    </row>
    <row r="6" spans="1:6">
      <c r="A6" s="2549" t="str">
        <f>'数据-取费表'!AN6</f>
        <v>收益法商租</v>
      </c>
      <c r="B6" s="2548">
        <f ca="1">IF(F6="是",'数据-取费表'!AO6,0)</f>
        <v>66814</v>
      </c>
      <c r="C6" s="2539" t="s">
        <v>2507</v>
      </c>
      <c r="D6" s="2542"/>
      <c r="E6" s="2550">
        <f>IF(OR(A6=0,F6="否"),0,'数据-取费表'!K6+'数据-取费表'!S6)</f>
        <v>30977.600000000002</v>
      </c>
      <c r="F6" s="2551" t="s">
        <v>2513</v>
      </c>
    </row>
    <row r="7" spans="1:6">
      <c r="A7" s="2549" t="str">
        <f>'数据-取费表'!AN7</f>
        <v>收益法商自</v>
      </c>
      <c r="B7" s="2548">
        <f ca="1">IF(F7="是",'数据-取费表'!AO7,0)</f>
        <v>61711</v>
      </c>
      <c r="C7" s="2539" t="s">
        <v>2507</v>
      </c>
      <c r="D7" s="2542"/>
      <c r="E7" s="2550">
        <f>IF(OR(A7=0,F7="否"),0,'数据-取费表'!K7+'数据-取费表'!S7)</f>
        <v>12686.47999999999</v>
      </c>
      <c r="F7" s="2551" t="s">
        <v>2513</v>
      </c>
    </row>
    <row r="8" spans="1:6">
      <c r="A8" s="2549" t="str">
        <f>'数据-取费表'!AN8</f>
        <v>收益法1号楼</v>
      </c>
      <c r="B8" s="2548">
        <f ca="1">IF(F8="是",'数据-取费表'!AO8,0)</f>
        <v>1469</v>
      </c>
      <c r="C8" s="2539" t="s">
        <v>2507</v>
      </c>
      <c r="D8" s="2542"/>
      <c r="E8" s="2550">
        <f>IF(OR(A8=0,F8="否"),0,'数据-取费表'!K8+'数据-取费表'!S8)</f>
        <v>406.9</v>
      </c>
      <c r="F8" s="2551" t="s">
        <v>3042</v>
      </c>
    </row>
    <row r="9" spans="1:6">
      <c r="A9" s="2549" t="str">
        <f>'数据-取费表'!AN9</f>
        <v>收益法2号楼</v>
      </c>
      <c r="B9" s="2548">
        <f ca="1">IF(F9="是",'数据-取费表'!AO9,0)</f>
        <v>211</v>
      </c>
      <c r="C9" s="2539" t="s">
        <v>2507</v>
      </c>
      <c r="D9" s="2542"/>
      <c r="E9" s="2550">
        <f>IF(OR(A9=0,F9="否"),0,'数据-取费表'!K9+'数据-取费表'!S9)</f>
        <v>33.43</v>
      </c>
      <c r="F9" s="2551" t="s">
        <v>3042</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2.75">
      <c r="A3" s="3651" t="s">
        <v>2107</v>
      </c>
      <c r="B3" s="3652"/>
      <c r="C3" s="3652"/>
      <c r="D3" s="3652"/>
      <c r="E3" s="3652"/>
      <c r="F3" s="3652"/>
      <c r="G3" s="3652"/>
      <c r="H3" s="3652"/>
      <c r="I3" s="3652"/>
    </row>
    <row r="4" spans="1:12" ht="14.25">
      <c r="A4" s="2396" t="s">
        <v>2108</v>
      </c>
      <c r="B4" s="2397" t="s">
        <v>2109</v>
      </c>
      <c r="C4" s="2398" t="s">
        <v>3687</v>
      </c>
      <c r="D4" s="2398" t="s">
        <v>3683</v>
      </c>
      <c r="E4" s="3635" t="s">
        <v>2110</v>
      </c>
      <c r="F4" s="3645"/>
      <c r="G4" s="3645"/>
      <c r="H4" s="3645"/>
      <c r="I4" s="3636"/>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26" t="s">
        <v>2111</v>
      </c>
      <c r="B5" s="3521">
        <v>25</v>
      </c>
      <c r="C5" s="3653"/>
      <c r="D5" s="3641"/>
      <c r="E5" s="140" t="s">
        <v>2112</v>
      </c>
      <c r="F5" s="2400"/>
      <c r="G5" s="2400"/>
      <c r="H5" s="2400"/>
      <c r="I5" s="1811"/>
    </row>
    <row r="6" spans="1:12" ht="12.75">
      <c r="A6" s="3626"/>
      <c r="B6" s="3521"/>
      <c r="C6" s="3655"/>
      <c r="D6" s="3641"/>
      <c r="E6" s="140" t="s">
        <v>2113</v>
      </c>
      <c r="F6" s="2400"/>
      <c r="G6" s="2400"/>
      <c r="H6" s="2400"/>
      <c r="I6" s="1811"/>
    </row>
    <row r="7" spans="1:12" ht="12.75">
      <c r="A7" s="3626"/>
      <c r="B7" s="3521"/>
      <c r="C7" s="3654"/>
      <c r="D7" s="3641"/>
      <c r="E7" s="140" t="s">
        <v>2114</v>
      </c>
      <c r="F7" s="2400"/>
      <c r="G7" s="2400"/>
      <c r="H7" s="2400"/>
      <c r="I7" s="1811"/>
    </row>
    <row r="8" spans="1:12" ht="12.75">
      <c r="A8" s="3626" t="s">
        <v>2115</v>
      </c>
      <c r="B8" s="3521">
        <v>15</v>
      </c>
      <c r="C8" s="3653"/>
      <c r="D8" s="3641"/>
      <c r="E8" s="140" t="s">
        <v>2116</v>
      </c>
      <c r="F8" s="2400"/>
      <c r="G8" s="2400"/>
      <c r="H8" s="2400"/>
      <c r="I8" s="1811"/>
    </row>
    <row r="9" spans="1:12" ht="12.75">
      <c r="A9" s="3626"/>
      <c r="B9" s="3521"/>
      <c r="C9" s="3654"/>
      <c r="D9" s="3641"/>
      <c r="E9" s="140" t="s">
        <v>2117</v>
      </c>
      <c r="F9" s="2400"/>
      <c r="G9" s="2400"/>
      <c r="H9" s="2400"/>
      <c r="I9" s="1811"/>
    </row>
    <row r="10" spans="1:12" ht="12.75">
      <c r="A10" s="3626" t="s">
        <v>2118</v>
      </c>
      <c r="B10" s="3521">
        <v>15</v>
      </c>
      <c r="C10" s="3653"/>
      <c r="D10" s="3641"/>
      <c r="E10" s="140" t="s">
        <v>2119</v>
      </c>
      <c r="F10" s="2400"/>
      <c r="G10" s="2400"/>
      <c r="H10" s="2400"/>
      <c r="I10" s="1811"/>
    </row>
    <row r="11" spans="1:12" ht="12.75">
      <c r="A11" s="3626"/>
      <c r="B11" s="3521"/>
      <c r="C11" s="3654"/>
      <c r="D11" s="3641"/>
      <c r="E11" s="140" t="s">
        <v>2120</v>
      </c>
      <c r="F11" s="2400"/>
      <c r="G11" s="2400"/>
      <c r="H11" s="2400"/>
      <c r="I11" s="1811"/>
    </row>
    <row r="12" spans="1:12" ht="12.75">
      <c r="A12" s="3626" t="s">
        <v>2121</v>
      </c>
      <c r="B12" s="3521">
        <v>15</v>
      </c>
      <c r="C12" s="3653"/>
      <c r="D12" s="3641"/>
      <c r="E12" s="140" t="s">
        <v>2122</v>
      </c>
      <c r="F12" s="2400"/>
      <c r="G12" s="2400"/>
      <c r="H12" s="2400"/>
      <c r="I12" s="1811"/>
    </row>
    <row r="13" spans="1:12" ht="12.75">
      <c r="A13" s="3626"/>
      <c r="B13" s="3521"/>
      <c r="C13" s="3654"/>
      <c r="D13" s="3641"/>
      <c r="E13" s="140" t="s">
        <v>2123</v>
      </c>
      <c r="F13" s="2400"/>
      <c r="G13" s="2400"/>
      <c r="H13" s="2400"/>
      <c r="I13" s="1811"/>
    </row>
    <row r="14" spans="1:12" ht="12.75">
      <c r="A14" s="3626" t="s">
        <v>2124</v>
      </c>
      <c r="B14" s="3521">
        <v>30</v>
      </c>
      <c r="C14" s="3653">
        <v>6</v>
      </c>
      <c r="D14" s="3641">
        <v>4</v>
      </c>
      <c r="E14" s="140" t="s">
        <v>2125</v>
      </c>
      <c r="F14" s="2400"/>
      <c r="G14" s="2400"/>
      <c r="H14" s="2400"/>
      <c r="I14" s="1811"/>
    </row>
    <row r="15" spans="1:12" ht="12.75">
      <c r="A15" s="3626"/>
      <c r="B15" s="3521"/>
      <c r="C15" s="3655"/>
      <c r="D15" s="3641"/>
      <c r="E15" s="140" t="s">
        <v>2126</v>
      </c>
      <c r="F15" s="2400"/>
      <c r="G15" s="2400"/>
      <c r="H15" s="2400"/>
      <c r="I15" s="1811"/>
    </row>
    <row r="16" spans="1:12" ht="12.75">
      <c r="A16" s="3626"/>
      <c r="B16" s="3521"/>
      <c r="C16" s="3654"/>
      <c r="D16" s="3641"/>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66873</v>
      </c>
      <c r="D19" s="144">
        <f ca="1">SUMIF(INDIRECT("'"&amp;D4&amp;"'"&amp;"!A:A"),结果表办!B19,INDIRECT("'"&amp;D4&amp;"'"&amp;"!B:B"))</f>
        <v>1680</v>
      </c>
      <c r="E19" s="2405" t="s">
        <v>2135</v>
      </c>
      <c r="F19" s="2406" t="s">
        <v>2134</v>
      </c>
      <c r="G19" s="145">
        <f ca="1">ROUND(C19*$C$18+D19*$D$18,0)</f>
        <v>40796</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41389</v>
      </c>
      <c r="D20" s="147">
        <f ca="1">SUMIF(INDIRECT("'"&amp;D4&amp;"'"&amp;"!A:A"),结果表办!B20,INDIRECT("'"&amp;D4&amp;"'"&amp;"!B:B"))</f>
        <v>38153</v>
      </c>
      <c r="E20" s="2408"/>
      <c r="F20" s="1229" t="s">
        <v>2138</v>
      </c>
      <c r="G20" s="148">
        <f ca="1">ROUND(C20*$C$18+D20*$D$18,0)</f>
        <v>40095</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f ca="1">IF(C19&lt;D19,D19/C19-1,C19/D19-1)</f>
        <v>38.80535714285714</v>
      </c>
      <c r="E22" s="138"/>
      <c r="F22" s="138"/>
      <c r="G22" s="138"/>
      <c r="H22" s="138"/>
      <c r="I22" s="138"/>
    </row>
    <row r="23" spans="1:35" ht="13.5" thickBot="1">
      <c r="A23" s="2389"/>
      <c r="B23" s="2389"/>
      <c r="C23" s="2389"/>
      <c r="D23" s="2389"/>
      <c r="E23" s="138"/>
      <c r="F23" s="138"/>
      <c r="G23" s="138"/>
      <c r="H23" s="138"/>
      <c r="I23" s="138"/>
    </row>
    <row r="24" spans="1:35" ht="14.25">
      <c r="A24" s="3662" t="s">
        <v>2142</v>
      </c>
      <c r="B24" s="2406" t="s">
        <v>2134</v>
      </c>
      <c r="C24" s="145">
        <f>IF(B30=0,0,D30)</f>
        <v>0</v>
      </c>
      <c r="D24" s="2413"/>
      <c r="E24" s="138"/>
      <c r="F24" s="138"/>
      <c r="G24" s="138"/>
      <c r="H24" s="138"/>
      <c r="I24" s="138"/>
    </row>
    <row r="25" spans="1:35" ht="14.25">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40796</v>
      </c>
      <c r="D32" s="2420" t="s">
        <v>2149</v>
      </c>
      <c r="E32" s="138"/>
      <c r="F32" s="138"/>
      <c r="G32" s="138"/>
      <c r="H32" s="138"/>
      <c r="I32" s="138"/>
    </row>
    <row r="33" spans="1:15" ht="15">
      <c r="A33" s="947" t="s">
        <v>2150</v>
      </c>
      <c r="B33" s="2421"/>
      <c r="C33" s="2422" t="s">
        <v>3670</v>
      </c>
      <c r="D33" s="2423" t="s">
        <v>3047</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642" t="s">
        <v>2156</v>
      </c>
      <c r="B36" s="2432" t="s">
        <v>2157</v>
      </c>
      <c r="C36" s="154"/>
      <c r="D36" s="2433"/>
      <c r="E36" s="2434"/>
      <c r="F36" s="2435"/>
      <c r="G36" s="138"/>
      <c r="H36" s="138"/>
      <c r="I36" s="138"/>
    </row>
    <row r="37" spans="1:15" ht="15.75" thickBot="1">
      <c r="A37" s="3643"/>
      <c r="B37" s="2241" t="s">
        <v>2158</v>
      </c>
      <c r="C37" s="156"/>
      <c r="D37" s="1373"/>
      <c r="E37" s="1373"/>
      <c r="F37" s="2435"/>
      <c r="G37" s="138"/>
      <c r="H37" s="138"/>
      <c r="I37" s="138"/>
    </row>
    <row r="38" spans="1:15" ht="15.75" thickBot="1">
      <c r="A38" s="3644"/>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f ca="1">ROUND(H101*F45,0)</f>
        <v>40796</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2936">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2936">
        <v>2</v>
      </c>
      <c r="K47" s="3587" t="s">
        <v>2181</v>
      </c>
      <c r="L47" s="3587"/>
      <c r="M47" s="3589">
        <f>'数据-取费表'!B2</f>
        <v>43836</v>
      </c>
      <c r="N47" s="3589"/>
      <c r="O47" s="3589"/>
    </row>
    <row r="48" spans="1:15" ht="25.5">
      <c r="A48" s="3646" t="s">
        <v>2182</v>
      </c>
      <c r="B48" s="3647"/>
      <c r="C48" s="3647"/>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87" t="s">
        <v>2185</v>
      </c>
      <c r="L48" s="3587"/>
      <c r="M48" s="3590">
        <f ca="1">H101</f>
        <v>40796</v>
      </c>
      <c r="N48" s="3590"/>
      <c r="O48" s="3590"/>
    </row>
    <row r="49" spans="1:35" ht="25.5" customHeight="1">
      <c r="A49" s="176" t="s">
        <v>2186</v>
      </c>
      <c r="B49" s="3629" t="s">
        <v>2187</v>
      </c>
      <c r="C49" s="3629"/>
      <c r="D49" s="177">
        <v>0</v>
      </c>
      <c r="E49" s="23" t="s">
        <v>2188</v>
      </c>
      <c r="F49" s="28" t="s">
        <v>34</v>
      </c>
      <c r="G49" s="3610"/>
      <c r="H49" s="138"/>
      <c r="I49" s="2454"/>
      <c r="J49" s="2936">
        <v>4</v>
      </c>
      <c r="K49" s="3587" t="str">
        <f>IF(项目基本情况!E8="房地产抵押价值","房地产抵押价值","抵押担保权已注销时的房地产抵押价值")</f>
        <v>房地产抵押价值</v>
      </c>
      <c r="L49" s="3587"/>
      <c r="M49" s="3590">
        <f ca="1">IF(项目基本情况!E8="房地产抵押价值",H107,H109)</f>
        <v>40796</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2935" t="s">
        <v>2192</v>
      </c>
      <c r="K51" s="3587" t="s">
        <v>2193</v>
      </c>
      <c r="L51" s="3587"/>
      <c r="M51" s="2935" t="s">
        <v>2194</v>
      </c>
      <c r="N51" s="2935" t="s">
        <v>2195</v>
      </c>
      <c r="O51" s="2935" t="s">
        <v>2196</v>
      </c>
    </row>
    <row r="52" spans="1:35" ht="24" customHeight="1">
      <c r="A52" s="183" t="s">
        <v>2197</v>
      </c>
      <c r="B52" s="3629" t="s">
        <v>2198</v>
      </c>
      <c r="C52" s="3629"/>
      <c r="D52" s="182">
        <f ca="1">ROUND(D45*'数据-取费表'!B41/(1+'数据-取费表'!C42),0)</f>
        <v>2176</v>
      </c>
      <c r="E52" s="11" t="s">
        <v>2199</v>
      </c>
      <c r="F52" s="184">
        <f>'数据-取费表'!B41</f>
        <v>5.6000000000000001E-2</v>
      </c>
      <c r="G52" s="2456"/>
      <c r="H52" s="138"/>
      <c r="I52" s="2454"/>
      <c r="J52" s="2936">
        <v>1</v>
      </c>
      <c r="K52" s="3604" t="s">
        <v>2200</v>
      </c>
      <c r="L52" s="3604"/>
      <c r="M52" s="1731">
        <f>D48</f>
        <v>0</v>
      </c>
      <c r="N52" s="2936" t="str">
        <f>E48</f>
        <v>销售额×税（费）率</v>
      </c>
      <c r="O52" s="1732" t="str">
        <f>F48</f>
        <v>免征</v>
      </c>
    </row>
    <row r="53" spans="1:35" ht="12" customHeight="1">
      <c r="A53" s="183" t="s">
        <v>2201</v>
      </c>
      <c r="B53" s="3630" t="s">
        <v>2202</v>
      </c>
      <c r="C53" s="3631"/>
      <c r="D53" s="182">
        <f ca="1">ROUND(D45*'数据-取费表'!B41/(1+'数据-取费表'!C42),0)</f>
        <v>2176</v>
      </c>
      <c r="E53" s="11" t="s">
        <v>2199</v>
      </c>
      <c r="F53" s="184">
        <f>'数据-取费表'!B41</f>
        <v>5.6000000000000001E-2</v>
      </c>
      <c r="G53" s="2456"/>
      <c r="H53" s="138"/>
      <c r="I53" s="2454"/>
      <c r="J53" s="2936">
        <v>2</v>
      </c>
      <c r="K53" s="3604" t="s">
        <v>2203</v>
      </c>
      <c r="L53" s="3604"/>
      <c r="M53" s="1731">
        <f t="shared" ref="M53:O54" ca="1" si="0">D55</f>
        <v>20</v>
      </c>
      <c r="N53" s="2936" t="str">
        <f t="shared" si="0"/>
        <v>销售额×税（费）率</v>
      </c>
      <c r="O53" s="1732">
        <f t="shared" si="0"/>
        <v>5.0000000000000001E-4</v>
      </c>
    </row>
    <row r="54" spans="1:35" ht="12" customHeight="1">
      <c r="A54" s="183" t="s">
        <v>2204</v>
      </c>
      <c r="B54" s="3630" t="s">
        <v>2205</v>
      </c>
      <c r="C54" s="3631"/>
      <c r="D54" s="182">
        <f ca="1">C68</f>
        <v>2176</v>
      </c>
      <c r="E54" s="30" t="s">
        <v>2206</v>
      </c>
      <c r="F54" s="184">
        <f>'数据-取费表'!B41</f>
        <v>5.6000000000000001E-2</v>
      </c>
      <c r="G54" s="2456"/>
      <c r="H54" s="2457"/>
      <c r="I54" s="2454"/>
      <c r="J54" s="2936">
        <v>3</v>
      </c>
      <c r="K54" s="3604" t="s">
        <v>2207</v>
      </c>
      <c r="L54" s="3604"/>
      <c r="M54" s="1731">
        <f t="shared" ca="1" si="0"/>
        <v>23090</v>
      </c>
      <c r="N54" s="2936" t="str">
        <f t="shared" si="0"/>
        <v>增值额×税（费）率</v>
      </c>
      <c r="O54" s="1733" t="str">
        <f t="shared" si="0"/>
        <v>——</v>
      </c>
    </row>
    <row r="55" spans="1:35" ht="24" customHeight="1">
      <c r="A55" s="3665" t="s">
        <v>2208</v>
      </c>
      <c r="B55" s="3647"/>
      <c r="C55" s="3647"/>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604" t="str">
        <f>IF(H59="非个人房产","——","个人所得税")</f>
        <v>——</v>
      </c>
      <c r="L55" s="3604"/>
      <c r="M55" s="1734" t="str">
        <f>D59</f>
        <v>——</v>
      </c>
      <c r="N55" s="2937" t="str">
        <f>E59</f>
        <v>——</v>
      </c>
      <c r="O55" s="1735" t="str">
        <f>F59</f>
        <v>——</v>
      </c>
    </row>
    <row r="56" spans="1:35" ht="24.75">
      <c r="A56" s="3665" t="s">
        <v>2211</v>
      </c>
      <c r="B56" s="3647"/>
      <c r="C56" s="3647"/>
      <c r="D56" s="185">
        <f ca="1">IF(H56="个人住宅",D57,D58)</f>
        <v>23090</v>
      </c>
      <c r="E56" s="11" t="s">
        <v>2212</v>
      </c>
      <c r="F56" s="184" t="str">
        <f>IF(H56="正常",F58,"免征")</f>
        <v>——</v>
      </c>
      <c r="G56" s="2458" t="s">
        <v>2213</v>
      </c>
      <c r="H56" s="2459" t="s">
        <v>2210</v>
      </c>
      <c r="I56" s="2460"/>
      <c r="J56" s="2936"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2.75">
      <c r="A57" s="183" t="s">
        <v>2186</v>
      </c>
      <c r="B57" s="3635" t="s">
        <v>2214</v>
      </c>
      <c r="C57" s="3636"/>
      <c r="D57" s="187">
        <v>0</v>
      </c>
      <c r="E57" s="23" t="s">
        <v>2188</v>
      </c>
      <c r="F57" s="155"/>
      <c r="G57" s="2456"/>
      <c r="H57" s="2460"/>
      <c r="I57" s="2460"/>
      <c r="J57" s="3604">
        <f>IF(AND(J55="",J56=""),4,IF(项目基本情况!K6="上海银行",结果表办!J56+1,结果表办!J55+1))</f>
        <v>4</v>
      </c>
      <c r="K57" s="3604" t="s">
        <v>2215</v>
      </c>
      <c r="L57" s="2461" t="s">
        <v>2216</v>
      </c>
      <c r="M57" s="1736"/>
      <c r="N57" s="1737">
        <f ca="1">SUMIF(M52:M56,"&lt;9e307")</f>
        <v>23110</v>
      </c>
      <c r="O57" s="2462"/>
      <c r="P57" s="1730">
        <f ca="1">N57/M49</f>
        <v>0.5664771055985881</v>
      </c>
    </row>
    <row r="58" spans="1:35" ht="24.75">
      <c r="A58" s="183" t="s">
        <v>2197</v>
      </c>
      <c r="B58" s="3635" t="s">
        <v>2217</v>
      </c>
      <c r="C58" s="3645"/>
      <c r="D58" s="185">
        <f ca="1">IF(H58="转让取得",C81,C97)</f>
        <v>23090</v>
      </c>
      <c r="E58" s="11" t="s">
        <v>2212</v>
      </c>
      <c r="F58" s="24" t="s">
        <v>34</v>
      </c>
      <c r="G58" s="2456"/>
      <c r="H58" s="2459" t="s">
        <v>2218</v>
      </c>
      <c r="I58" s="2460"/>
      <c r="J58" s="3604"/>
      <c r="K58" s="3604"/>
      <c r="L58" s="2461" t="s">
        <v>2219</v>
      </c>
      <c r="M58" s="1738"/>
      <c r="N58" s="2463" t="str">
        <f ca="1">NUMBERSTRING(INT(N57*10000),2)&amp;"元整"</f>
        <v>贰亿叁仟壹佰壹拾万元整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2936" t="s">
        <v>2216</v>
      </c>
      <c r="M59" s="1739"/>
      <c r="N59" s="1740">
        <f ca="1">M49-N57</f>
        <v>17686</v>
      </c>
      <c r="O59" s="2466"/>
    </row>
    <row r="60" spans="1:35" ht="12" customHeight="1">
      <c r="A60" s="2467"/>
      <c r="B60" s="2389"/>
      <c r="C60" s="2389"/>
      <c r="D60" s="2389"/>
      <c r="E60" s="2141"/>
      <c r="F60" s="2460"/>
      <c r="G60" s="2460"/>
      <c r="H60" s="2468"/>
      <c r="I60" s="138"/>
      <c r="J60" s="3607"/>
      <c r="K60" s="3604"/>
      <c r="L60" s="2461" t="s">
        <v>2219</v>
      </c>
      <c r="M60" s="1738"/>
      <c r="N60" s="2463" t="str">
        <f ca="1">NUMBERSTRING(INT(N59*10000),2)&amp;"元整"</f>
        <v>壹亿柒仟陆佰捌拾陆万元整</v>
      </c>
      <c r="O60" s="2464"/>
    </row>
    <row r="61" spans="1:35" ht="13.5" thickBot="1">
      <c r="A61" s="3664" t="s">
        <v>2223</v>
      </c>
      <c r="B61" s="3664"/>
      <c r="C61" s="3664"/>
      <c r="D61" s="3664"/>
      <c r="E61" s="3664"/>
      <c r="F61" s="2460"/>
      <c r="G61" s="2460"/>
      <c r="H61" s="2468"/>
      <c r="I61" s="138"/>
      <c r="J61" s="2936">
        <f>J59+1</f>
        <v>6</v>
      </c>
      <c r="K61" s="3604" t="s">
        <v>2224</v>
      </c>
      <c r="L61" s="3604"/>
      <c r="M61" s="1741"/>
      <c r="N61" s="1742">
        <f ca="1">ROUND(N59*10000/'数据-汇总表'!E3,0)</f>
        <v>4010</v>
      </c>
      <c r="O61" s="2469"/>
    </row>
    <row r="62" spans="1:35" ht="12.75">
      <c r="A62" s="3624" t="s">
        <v>2225</v>
      </c>
      <c r="B62" s="3625"/>
      <c r="C62" s="2931"/>
      <c r="D62" s="2931" t="s">
        <v>2226</v>
      </c>
      <c r="E62" s="192" t="s">
        <v>2227</v>
      </c>
      <c r="F62" s="2460"/>
      <c r="G62" s="2460"/>
      <c r="H62" s="2468"/>
      <c r="I62" s="138"/>
    </row>
    <row r="63" spans="1:35" ht="12.75">
      <c r="A63" s="203" t="s">
        <v>775</v>
      </c>
      <c r="B63" s="193" t="s">
        <v>2228</v>
      </c>
      <c r="C63" s="194">
        <f ca="1">ROUND((C64+C65)/(1+'数据-取费表'!C42),0)</f>
        <v>38853</v>
      </c>
      <c r="D63" s="195"/>
      <c r="E63" s="196"/>
      <c r="F63" s="2460"/>
      <c r="G63" s="2460"/>
      <c r="H63" s="2468"/>
      <c r="I63" s="138"/>
      <c r="J63" s="3595" t="s">
        <v>2229</v>
      </c>
      <c r="K63" s="2940" t="s">
        <v>2230</v>
      </c>
      <c r="L63" s="1729">
        <f ca="1">IF(M49&gt;10000,M49*0.5%,IF(AND(M49&gt;1000,M49&lt;=10000),M49*1%,IF(AND(M49&gt;100,M49&lt;=1000),M49*3%,IF(AND(M49&gt;10,M49&lt;=100),M49*5%,M49*8%))))</f>
        <v>203.98000000000002</v>
      </c>
      <c r="M63" s="24">
        <f ca="1">ROUND(L63,1)</f>
        <v>204</v>
      </c>
      <c r="Z63" s="2394"/>
      <c r="AI63" s="2395"/>
    </row>
    <row r="64" spans="1:35" ht="14.25" customHeight="1">
      <c r="A64" s="197" t="s">
        <v>770</v>
      </c>
      <c r="B64" s="198" t="s">
        <v>2231</v>
      </c>
      <c r="C64" s="199">
        <f ca="1">D45</f>
        <v>40796</v>
      </c>
      <c r="D64" s="200" t="s">
        <v>32</v>
      </c>
      <c r="E64" s="201"/>
      <c r="F64" s="2460"/>
      <c r="G64" s="2460"/>
      <c r="H64" s="2468"/>
      <c r="I64" s="138"/>
      <c r="J64" s="3595"/>
      <c r="K64" s="2940" t="s">
        <v>2232</v>
      </c>
      <c r="L64" s="1729">
        <f ca="1">IF(M49&gt;2000,M49*0.5%,IF(AND(M49&gt;1000,M49&lt;=2000),M49*0.6%,IF(AND(M49&gt;500,M49&lt;=1000),M49*0.7%,IF(AND(M49&gt;200,M49&lt;=500),M49*0.8%,IF(AND(M49&gt;100,M49&lt;=200),M49*0.9%,IF(AND(M49&gt;50,M49&lt;=100),M49*1%,IF(AND(M49&gt;20,M49&lt;=50),M49*1.5%,IF(AND(M49&gt;10,M49&lt;=20),M49*2%,IF(AND(M49&gt;1,M49&lt;=10),M49*2.5%)))))))))</f>
        <v>203.98000000000002</v>
      </c>
      <c r="M64" s="24">
        <f t="shared" ref="M64:M65" ca="1" si="1">ROUND(L64,1)</f>
        <v>204</v>
      </c>
      <c r="N64" s="138" t="s">
        <v>2233</v>
      </c>
      <c r="Z64" s="2394"/>
      <c r="AI64" s="2395"/>
    </row>
    <row r="65" spans="1:35" ht="14.25" customHeight="1">
      <c r="A65" s="197" t="s">
        <v>771</v>
      </c>
      <c r="B65" s="198" t="s">
        <v>2234</v>
      </c>
      <c r="C65" s="202"/>
      <c r="D65" s="200"/>
      <c r="E65" s="201"/>
      <c r="F65" s="2460"/>
      <c r="G65" s="2460"/>
      <c r="H65" s="2468"/>
      <c r="I65" s="138"/>
      <c r="J65" s="3595"/>
      <c r="K65" s="2940" t="s">
        <v>2235</v>
      </c>
      <c r="L65" s="1729">
        <f ca="1">IF(M49&gt;1000,M49*0.1%,IF(AND(M49&gt;500,M49&lt;=1000),M49*0.5%,IF(AND(M49&gt;50,M49&lt;=500),M49*1%,IF(AND(M49&gt;1,M49&lt;=50),M49*1.5%))))</f>
        <v>40.795999999999999</v>
      </c>
      <c r="M65" s="24">
        <f t="shared" ca="1" si="1"/>
        <v>40.799999999999997</v>
      </c>
      <c r="N65" s="138" t="s">
        <v>2233</v>
      </c>
      <c r="Z65" s="2394"/>
      <c r="AI65" s="2395"/>
    </row>
    <row r="66" spans="1:35" ht="14.25" customHeight="1">
      <c r="A66" s="203" t="s">
        <v>772</v>
      </c>
      <c r="B66" s="204" t="s">
        <v>2236</v>
      </c>
      <c r="C66" s="205"/>
      <c r="D66" s="206" t="s">
        <v>32</v>
      </c>
      <c r="E66" s="1753" t="s">
        <v>1360</v>
      </c>
      <c r="F66" s="2460"/>
      <c r="G66" s="2460"/>
      <c r="H66" s="2468"/>
      <c r="I66" s="138"/>
      <c r="J66" s="3595"/>
      <c r="K66" s="2940" t="s">
        <v>2237</v>
      </c>
      <c r="L66" s="1729">
        <f ca="1">M49*0.5%</f>
        <v>203.98000000000002</v>
      </c>
      <c r="M66" s="24">
        <f ca="1">IF(L66&gt;0.5,0.5,ROUND(L66,0))</f>
        <v>0.5</v>
      </c>
      <c r="N66" s="138" t="s">
        <v>2238</v>
      </c>
      <c r="Z66" s="2394"/>
      <c r="AI66" s="2395"/>
    </row>
    <row r="67" spans="1:35" ht="14.25" customHeight="1">
      <c r="A67" s="203" t="s">
        <v>773</v>
      </c>
      <c r="B67" s="204" t="s">
        <v>2239</v>
      </c>
      <c r="C67" s="207">
        <f ca="1">C63-C66</f>
        <v>38853</v>
      </c>
      <c r="D67" s="200" t="s">
        <v>32</v>
      </c>
      <c r="E67" s="201"/>
      <c r="F67" s="2460"/>
      <c r="G67" s="2460"/>
      <c r="H67" s="2468"/>
      <c r="I67" s="138"/>
      <c r="J67" s="3595"/>
      <c r="K67" s="2940" t="s">
        <v>2240</v>
      </c>
      <c r="L67" s="1729">
        <f ca="1">IF(M49&gt;=10000,(8.25+(M49-10000)*0.01%),IF(AND(M49&gt;=8000,M49&lt;10000),(7.85+(M49-8000)*0.02%),IF(AND(M49&gt;=5000,M49&lt;8000),(6.65+(M49-5000)*0.04%),IF(AND(M49&gt;=2000,M49&lt;5000),(4.25+(PM49-2000)*0.08%),IF(AND(M49&gt;=1000,M49&lt;2000),(2.75+(M49-1000)*0.15%),IF(AND(M49&gt;=100,M49&lt;1000),(0.5+(M49-100)*0.25%),IF(AND(M49&gt;0,M49&lt;100),M49*0.5%)))))))</f>
        <v>11.329599999999999</v>
      </c>
      <c r="M67" s="24">
        <f ca="1">ROUND(L67*0.9,1)</f>
        <v>10.199999999999999</v>
      </c>
      <c r="Z67" s="2394"/>
      <c r="AI67" s="2395"/>
    </row>
    <row r="68" spans="1:35" ht="14.25" customHeight="1" thickBot="1">
      <c r="A68" s="208" t="s">
        <v>774</v>
      </c>
      <c r="B68" s="209" t="s">
        <v>2241</v>
      </c>
      <c r="C68" s="210">
        <f ca="1">IF(C67&lt;=0,0,ROUND(C67*D68,0))</f>
        <v>2176</v>
      </c>
      <c r="D68" s="211">
        <f>'数据-取费表'!B41</f>
        <v>5.6000000000000001E-2</v>
      </c>
      <c r="E68" s="212"/>
      <c r="F68" s="2460"/>
      <c r="G68" s="2460"/>
      <c r="H68" s="2468"/>
      <c r="I68" s="138"/>
      <c r="J68" s="3595"/>
      <c r="K68" s="2940" t="s">
        <v>2242</v>
      </c>
      <c r="L68" s="1729">
        <f ca="1">IF(M49&gt;10000,M49*0.5%,IF(AND(M49&gt;5000,M49&lt;=10000),M49*1%,IF(AND(M49&gt;1000,M49&lt;=5000),M49*2%,IF(AND(M49&gt;200,M49&lt;=1000),M49*3%,M49*5%))))</f>
        <v>203.98000000000002</v>
      </c>
      <c r="M68" s="24">
        <f ca="1">ROUND(L68,1)</f>
        <v>204</v>
      </c>
      <c r="Z68" s="2394"/>
      <c r="AI68" s="2395"/>
    </row>
    <row r="69" spans="1:35" s="2417" customFormat="1" ht="16.5" customHeight="1">
      <c r="A69" s="2471"/>
      <c r="B69" s="2472"/>
      <c r="C69" s="2473"/>
      <c r="D69" s="2474"/>
      <c r="E69" s="2475"/>
      <c r="F69" s="2141"/>
      <c r="G69" s="2141"/>
      <c r="H69" s="2140"/>
      <c r="I69" s="2389"/>
      <c r="J69" s="3595"/>
      <c r="K69" s="2940" t="s">
        <v>2243</v>
      </c>
      <c r="L69" s="2476"/>
      <c r="M69" s="24">
        <f ca="1">ROUND(SUM(M63:M68),0)</f>
        <v>664</v>
      </c>
      <c r="N69" s="1730">
        <f ca="1">M69/M49</f>
        <v>1.6276105500539269E-2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24" t="s">
        <v>2225</v>
      </c>
      <c r="B71" s="3625"/>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38853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233</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233</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38620</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165.75107296137338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23090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24" t="s">
        <v>2225</v>
      </c>
      <c r="B84" s="3625"/>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38853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233</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621" t="s">
        <v>2271</v>
      </c>
      <c r="F91" s="3622"/>
      <c r="G91" s="3622"/>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233</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38620</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165.75107296137338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23090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典型户型修正办</v>
      </c>
      <c r="D101" s="733" t="str">
        <f>D4</f>
        <v>收益法办（汇总）</v>
      </c>
      <c r="E101" s="3591" t="s">
        <v>2284</v>
      </c>
      <c r="F101" s="3592"/>
      <c r="G101" s="2491" t="s">
        <v>2285</v>
      </c>
      <c r="H101" s="1035">
        <f ca="1">H118</f>
        <v>40796</v>
      </c>
      <c r="I101" s="138"/>
    </row>
    <row r="102" spans="1:35" ht="18.75" customHeight="1">
      <c r="A102" s="3615" t="s">
        <v>2286</v>
      </c>
      <c r="B102" s="2491" t="s">
        <v>2285</v>
      </c>
      <c r="C102" s="732">
        <f ca="1">C19</f>
        <v>66873</v>
      </c>
      <c r="D102" s="733">
        <f ca="1">D19</f>
        <v>1680</v>
      </c>
      <c r="E102" s="3591"/>
      <c r="F102" s="3592"/>
      <c r="G102" s="2491" t="s">
        <v>2287</v>
      </c>
      <c r="H102" s="371" t="e">
        <f ca="1">I118</f>
        <v>#DIV/0!</v>
      </c>
      <c r="I102" s="138"/>
    </row>
    <row r="103" spans="1:35" ht="42.75" customHeight="1">
      <c r="A103" s="3615"/>
      <c r="B103" s="2491" t="s">
        <v>2287</v>
      </c>
      <c r="C103" s="734">
        <f ca="1">C20</f>
        <v>41389</v>
      </c>
      <c r="D103" s="735">
        <f ca="1">D20</f>
        <v>38153</v>
      </c>
      <c r="E103" s="3585" t="s">
        <v>2288</v>
      </c>
      <c r="F103" s="3586"/>
      <c r="G103" s="2492" t="s">
        <v>2289</v>
      </c>
      <c r="H103" s="1035">
        <f>IF(D36="正常操作",H104+H105+H106,H105+H106)</f>
        <v>0</v>
      </c>
      <c r="I103" s="138"/>
    </row>
    <row r="104" spans="1:35" ht="18.75" customHeight="1">
      <c r="A104" s="3615" t="s">
        <v>2290</v>
      </c>
      <c r="B104" s="2493" t="s">
        <v>2285</v>
      </c>
      <c r="C104" s="736">
        <f ca="1">H118</f>
        <v>40796</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f ca="1">IF(E107="——","——",H101-H103)</f>
        <v>40796</v>
      </c>
      <c r="I107" s="138"/>
    </row>
    <row r="108" spans="1:35" ht="18.75" customHeight="1">
      <c r="A108" s="138"/>
      <c r="B108" s="138"/>
      <c r="C108" s="138"/>
      <c r="D108" s="138"/>
      <c r="E108" s="3616"/>
      <c r="F108" s="3592"/>
      <c r="G108" s="2491" t="s">
        <v>2287</v>
      </c>
      <c r="H108" s="371">
        <f ca="1">ROUND(H107*10000/'数据-汇总表'!E3,0)</f>
        <v>9250</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2300</v>
      </c>
      <c r="G116" s="3527"/>
      <c r="H116" s="3521" t="s">
        <v>2301</v>
      </c>
      <c r="I116" s="3521"/>
    </row>
    <row r="117" spans="1:11" ht="18.75" customHeight="1">
      <c r="A117" s="3521"/>
      <c r="B117" s="3523"/>
      <c r="C117" s="3523"/>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40796</v>
      </c>
      <c r="I118" s="2923" t="e">
        <f ca="1">ROUND(IF(D32="楼面单价",C32,H118*10000/B118),0)</f>
        <v>#DIV/0!</v>
      </c>
    </row>
    <row r="119" spans="1:11" ht="18.75" customHeight="1">
      <c r="A119" s="3521" t="s">
        <v>2305</v>
      </c>
      <c r="B119" s="3521"/>
      <c r="C119" s="3521"/>
      <c r="D119" s="3516" t="e">
        <f ca="1">NUMBERSTRING(INT(D118*10000),2)&amp;"元整"</f>
        <v>#REF!</v>
      </c>
      <c r="E119" s="3517"/>
      <c r="F119" s="3516" t="e">
        <f ca="1">NUMBERSTRING(INT(F118*10000),2)&amp;"元整"</f>
        <v>#REF!</v>
      </c>
      <c r="G119" s="3517"/>
      <c r="H119" s="3516" t="str">
        <f ca="1">NUMBERSTRING(INT(H118*10000),2)&amp;"元整"</f>
        <v>肆亿零柒佰玖拾陆万元整</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f ca="1">H107</f>
        <v>40796</v>
      </c>
      <c r="E122" s="3599"/>
      <c r="F122" s="3599"/>
      <c r="G122" s="3599"/>
      <c r="H122" s="3599"/>
      <c r="I122" s="3600"/>
    </row>
    <row r="123" spans="1:11" ht="18.75" customHeight="1">
      <c r="A123" s="3521" t="s">
        <v>2305</v>
      </c>
      <c r="B123" s="3521"/>
      <c r="C123" s="3521"/>
      <c r="D123" s="3516" t="str">
        <f ca="1">NUMBERSTRING(INT(D122*10000),2)&amp;"元整"</f>
        <v>肆亿零柒佰玖拾陆万元整</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80" t="s">
        <v>2639</v>
      </c>
      <c r="Q4" s="3781"/>
      <c r="R4" s="3773" t="s">
        <v>2635</v>
      </c>
      <c r="S4" s="3774"/>
      <c r="T4" s="3773" t="s">
        <v>2636</v>
      </c>
      <c r="U4" s="3774"/>
      <c r="V4" s="3784" t="s">
        <v>2637</v>
      </c>
      <c r="W4" s="3784"/>
      <c r="X4" s="2643"/>
      <c r="Y4" s="3773" t="s">
        <v>2639</v>
      </c>
      <c r="Z4" s="3774"/>
      <c r="AA4" s="3772" t="s">
        <v>2635</v>
      </c>
      <c r="AB4" s="3772" t="s">
        <v>2636</v>
      </c>
      <c r="AC4" s="3777" t="s">
        <v>2637</v>
      </c>
    </row>
    <row r="5" spans="1:29" ht="15">
      <c r="A5" s="403"/>
      <c r="B5" s="404"/>
      <c r="C5" s="3775" t="s">
        <v>3043</v>
      </c>
      <c r="D5" s="3776"/>
      <c r="E5" s="3728" t="s">
        <v>3689</v>
      </c>
      <c r="F5" s="3729"/>
      <c r="G5" s="3728" t="s">
        <v>3672</v>
      </c>
      <c r="H5" s="3729"/>
      <c r="I5" s="3728" t="s">
        <v>3691</v>
      </c>
      <c r="J5" s="3729"/>
      <c r="K5" s="609"/>
      <c r="L5" s="1113"/>
      <c r="M5" s="1114"/>
      <c r="N5" s="1114"/>
      <c r="O5" s="1114"/>
      <c r="P5" s="3782"/>
      <c r="Q5" s="3742"/>
      <c r="R5" s="3724"/>
      <c r="S5" s="3725"/>
      <c r="T5" s="3724"/>
      <c r="U5" s="3725"/>
      <c r="V5" s="3719"/>
      <c r="W5" s="3719"/>
      <c r="X5" s="1793"/>
      <c r="Y5" s="3724"/>
      <c r="Z5" s="3725"/>
      <c r="AA5" s="3717"/>
      <c r="AB5" s="3717"/>
      <c r="AC5" s="3778"/>
    </row>
    <row r="6" spans="1:29" ht="15.75" thickBot="1">
      <c r="A6" s="405"/>
      <c r="B6" s="406"/>
      <c r="C6" s="3730" t="s">
        <v>2534</v>
      </c>
      <c r="D6" s="3731"/>
      <c r="E6" s="3732" t="s">
        <v>2534</v>
      </c>
      <c r="F6" s="3733"/>
      <c r="G6" s="3730" t="s">
        <v>2534</v>
      </c>
      <c r="H6" s="3731"/>
      <c r="I6" s="3730" t="s">
        <v>2534</v>
      </c>
      <c r="J6" s="3731"/>
      <c r="K6" s="609" t="s">
        <v>2535</v>
      </c>
      <c r="L6" s="1113"/>
      <c r="M6" s="1114"/>
      <c r="N6" s="1114"/>
      <c r="O6" s="1114"/>
      <c r="P6" s="3783"/>
      <c r="Q6" s="3744"/>
      <c r="R6" s="3724"/>
      <c r="S6" s="3725"/>
      <c r="T6" s="3745"/>
      <c r="U6" s="3746"/>
      <c r="V6" s="3719"/>
      <c r="W6" s="3719"/>
      <c r="X6" s="1793"/>
      <c r="Y6" s="3745"/>
      <c r="Z6" s="3746"/>
      <c r="AA6" s="3718"/>
      <c r="AB6" s="3718"/>
      <c r="AC6" s="3779"/>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85" t="s">
        <v>2537</v>
      </c>
      <c r="Q7" s="3747"/>
      <c r="R7" s="766" t="s">
        <v>17</v>
      </c>
      <c r="S7" s="767">
        <f t="shared" ref="S7:S15" si="0">F7</f>
        <v>100</v>
      </c>
      <c r="T7" s="766" t="s">
        <v>17</v>
      </c>
      <c r="U7" s="767">
        <f t="shared" ref="U7:U15" si="1">H7</f>
        <v>100</v>
      </c>
      <c r="V7" s="766" t="s">
        <v>17</v>
      </c>
      <c r="W7" s="767">
        <f t="shared" ref="W7:W15" si="2">J7</f>
        <v>99</v>
      </c>
      <c r="X7" s="768"/>
      <c r="Y7" s="3720" t="s">
        <v>2537</v>
      </c>
      <c r="Z7" s="3721"/>
      <c r="AA7" s="769">
        <f>D7/F7</f>
        <v>1</v>
      </c>
      <c r="AB7" s="769">
        <f>D7/H7</f>
        <v>1</v>
      </c>
      <c r="AC7" s="2644">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85" t="s">
        <v>2540</v>
      </c>
      <c r="Q8" s="3721"/>
      <c r="R8" s="766" t="s">
        <v>17</v>
      </c>
      <c r="S8" s="767">
        <f t="shared" si="0"/>
        <v>100</v>
      </c>
      <c r="T8" s="766" t="s">
        <v>17</v>
      </c>
      <c r="U8" s="767">
        <f t="shared" si="1"/>
        <v>100</v>
      </c>
      <c r="V8" s="766" t="s">
        <v>17</v>
      </c>
      <c r="W8" s="767">
        <f t="shared" si="2"/>
        <v>100</v>
      </c>
      <c r="X8" s="768"/>
      <c r="Y8" s="3720" t="s">
        <v>2540</v>
      </c>
      <c r="Z8" s="3721"/>
      <c r="AA8" s="769">
        <f t="shared" ref="AA8:AA47" si="3">D8/F8</f>
        <v>1</v>
      </c>
      <c r="AB8" s="769">
        <f t="shared" ref="AB8:AB47" si="4">D8/H8</f>
        <v>1</v>
      </c>
      <c r="AC8" s="2644">
        <f t="shared" ref="AC8:AC47" si="5">D8/J8</f>
        <v>1</v>
      </c>
    </row>
    <row r="9" spans="1:29" s="117" customFormat="1">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734"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2644">
        <f t="shared" si="5"/>
        <v>1</v>
      </c>
    </row>
    <row r="10" spans="1:29" s="426" customFormat="1" ht="27">
      <c r="A10" s="420"/>
      <c r="B10" s="421" t="s">
        <v>2545</v>
      </c>
      <c r="C10" s="422" t="s">
        <v>3434</v>
      </c>
      <c r="D10" s="136">
        <v>100</v>
      </c>
      <c r="E10" s="3416" t="s">
        <v>3434</v>
      </c>
      <c r="F10" s="3417">
        <f>SUMIF(66:66,E10,67:67)-SUMIF(66:66,C10,67:67)+100</f>
        <v>100</v>
      </c>
      <c r="G10" s="3416" t="s">
        <v>3434</v>
      </c>
      <c r="H10" s="3417">
        <f>SUMIF(66:66,G10,67:67)-SUMIF(66:66,C10,67:67)+100</f>
        <v>100</v>
      </c>
      <c r="I10" s="3416" t="s">
        <v>3434</v>
      </c>
      <c r="J10" s="3417">
        <f>SUMIF(66:66,I10,67:67)-SUMIF(66:66,C10,67:67)+100</f>
        <v>100</v>
      </c>
      <c r="K10" s="611">
        <v>1</v>
      </c>
      <c r="L10" s="1118"/>
      <c r="M10" s="1119"/>
      <c r="N10" s="1119"/>
      <c r="O10" s="1119"/>
      <c r="P10" s="3734"/>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734"/>
      <c r="Q11" s="1775" t="str">
        <f t="shared" si="6"/>
        <v>容积率</v>
      </c>
      <c r="R11" s="766" t="s">
        <v>17</v>
      </c>
      <c r="S11" s="767">
        <f t="shared" si="0"/>
        <v>100</v>
      </c>
      <c r="T11" s="766" t="s">
        <v>17</v>
      </c>
      <c r="U11" s="767">
        <f t="shared" si="1"/>
        <v>100</v>
      </c>
      <c r="V11" s="766" t="s">
        <v>17</v>
      </c>
      <c r="W11" s="767">
        <f t="shared" si="2"/>
        <v>100</v>
      </c>
      <c r="X11" s="768"/>
      <c r="Y11" s="3521"/>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734"/>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734"/>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734"/>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3667</v>
      </c>
      <c r="F15" s="440">
        <f>SUMIF(77:77,E16,78:78)-SUMIF(77:77,C16,78:78)+100</f>
        <v>100</v>
      </c>
      <c r="G15" s="443" t="s">
        <v>3667</v>
      </c>
      <c r="H15" s="440">
        <f>SUMIF(77:77,G16,78:78)-SUMIF(77:77,C16,78:78)+100</f>
        <v>100</v>
      </c>
      <c r="I15" s="443" t="s">
        <v>3667</v>
      </c>
      <c r="J15" s="440">
        <f>SUMIF(77:77,I16,78:78)-SUMIF(77:77,C16,78:78)+100</f>
        <v>100</v>
      </c>
      <c r="K15" s="613">
        <v>3</v>
      </c>
      <c r="L15" s="1123"/>
      <c r="M15" s="1114"/>
      <c r="N15" s="1114"/>
      <c r="O15" s="1114"/>
      <c r="P15" s="3748" t="s">
        <v>2548</v>
      </c>
      <c r="Q15" s="1790" t="str">
        <f t="shared" si="6"/>
        <v>办公集聚程度</v>
      </c>
      <c r="R15" s="770" t="s">
        <v>17</v>
      </c>
      <c r="S15" s="771">
        <f t="shared" si="0"/>
        <v>100</v>
      </c>
      <c r="T15" s="770" t="s">
        <v>17</v>
      </c>
      <c r="U15" s="771">
        <f t="shared" si="1"/>
        <v>100</v>
      </c>
      <c r="V15" s="770" t="s">
        <v>17</v>
      </c>
      <c r="W15" s="771">
        <f t="shared" si="2"/>
        <v>100</v>
      </c>
      <c r="X15" s="1793"/>
      <c r="Y15" s="3750"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749"/>
      <c r="Q16" s="1790"/>
      <c r="R16" s="770"/>
      <c r="S16" s="771"/>
      <c r="T16" s="770"/>
      <c r="U16" s="771"/>
      <c r="V16" s="770"/>
      <c r="W16" s="771"/>
      <c r="X16" s="1793"/>
      <c r="Y16" s="3751"/>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3668</v>
      </c>
      <c r="F17" s="449">
        <f>SUMIF(79:79,E18,80:80)-SUMIF(79:79,C18,80:80)+100</f>
        <v>100</v>
      </c>
      <c r="G17" s="453" t="s">
        <v>3668</v>
      </c>
      <c r="H17" s="454">
        <f>SUMIF(79:79,G18,80:80)-SUMIF(79:79,C18,80:80)+100</f>
        <v>100</v>
      </c>
      <c r="I17" s="453" t="s">
        <v>3668</v>
      </c>
      <c r="J17" s="454">
        <f>SUMIF(79:79,I18,80:80)-SUMIF(79:79,C18,80:80)+100</f>
        <v>100</v>
      </c>
      <c r="K17" s="613">
        <f>'比较法-商业'!K17</f>
        <v>2</v>
      </c>
      <c r="L17" s="1123"/>
      <c r="M17" s="1114"/>
      <c r="N17" s="1114"/>
      <c r="O17" s="1114"/>
      <c r="P17" s="3749"/>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749"/>
      <c r="Q18" s="1790"/>
      <c r="R18" s="770"/>
      <c r="S18" s="771"/>
      <c r="T18" s="770"/>
      <c r="U18" s="771"/>
      <c r="V18" s="770"/>
      <c r="W18" s="771"/>
      <c r="X18" s="1793"/>
      <c r="Y18" s="3751"/>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3669</v>
      </c>
      <c r="F19" s="454">
        <f>SUMIF(81:81,E20,82:82)-SUMIF(81:81,C20,82:82)+100</f>
        <v>100</v>
      </c>
      <c r="G19" s="458" t="s">
        <v>3669</v>
      </c>
      <c r="H19" s="449">
        <f>SUMIF(81:81,G20,82:82)-SUMIF(81:81,C20,82:82)+100</f>
        <v>100</v>
      </c>
      <c r="I19" s="458" t="s">
        <v>3669</v>
      </c>
      <c r="J19" s="449">
        <f>SUMIF(81:81,I20,82:82)-SUMIF(81:81,C20,82:82)+100</f>
        <v>100</v>
      </c>
      <c r="K19" s="613">
        <v>2</v>
      </c>
      <c r="L19" s="1123"/>
      <c r="M19" s="1114"/>
      <c r="N19" s="1114"/>
      <c r="O19" s="1114"/>
      <c r="P19" s="3749"/>
      <c r="Q19" s="1790" t="str">
        <f>B19</f>
        <v>公共配套设施</v>
      </c>
      <c r="R19" s="770" t="s">
        <v>17</v>
      </c>
      <c r="S19" s="771">
        <f>F19</f>
        <v>100</v>
      </c>
      <c r="T19" s="770" t="s">
        <v>17</v>
      </c>
      <c r="U19" s="771">
        <f>H19</f>
        <v>100</v>
      </c>
      <c r="V19" s="770" t="s">
        <v>17</v>
      </c>
      <c r="W19" s="771">
        <f>J19</f>
        <v>100</v>
      </c>
      <c r="X19" s="1793"/>
      <c r="Y19" s="3751"/>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749"/>
      <c r="Q20" s="1790"/>
      <c r="R20" s="770"/>
      <c r="S20" s="771"/>
      <c r="T20" s="770"/>
      <c r="U20" s="771"/>
      <c r="V20" s="770"/>
      <c r="W20" s="771"/>
      <c r="X20" s="1793"/>
      <c r="Y20" s="3751"/>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749"/>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749"/>
      <c r="Q22" s="1790"/>
      <c r="R22" s="770"/>
      <c r="S22" s="771"/>
      <c r="T22" s="770"/>
      <c r="U22" s="771"/>
      <c r="V22" s="770"/>
      <c r="W22" s="771"/>
      <c r="X22" s="1793"/>
      <c r="Y22" s="3751"/>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749"/>
      <c r="Q23" s="1790" t="str">
        <f>B23</f>
        <v>环境质量</v>
      </c>
      <c r="R23" s="770" t="s">
        <v>17</v>
      </c>
      <c r="S23" s="771">
        <f>F23</f>
        <v>100</v>
      </c>
      <c r="T23" s="770" t="s">
        <v>17</v>
      </c>
      <c r="U23" s="771">
        <f>H23</f>
        <v>100</v>
      </c>
      <c r="V23" s="770" t="s">
        <v>17</v>
      </c>
      <c r="W23" s="771">
        <f>J23</f>
        <v>100</v>
      </c>
      <c r="X23" s="1793"/>
      <c r="Y23" s="3751"/>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749"/>
      <c r="Q24" s="1790"/>
      <c r="R24" s="770"/>
      <c r="S24" s="771"/>
      <c r="T24" s="770"/>
      <c r="U24" s="771"/>
      <c r="V24" s="770"/>
      <c r="W24" s="771"/>
      <c r="X24" s="1793"/>
      <c r="Y24" s="3751"/>
      <c r="Z24" s="1794"/>
      <c r="AA24" s="1791">
        <v>1</v>
      </c>
      <c r="AB24" s="1791">
        <v>1</v>
      </c>
      <c r="AC24" s="2647">
        <v>1</v>
      </c>
    </row>
    <row r="25" spans="1:29" ht="27">
      <c r="A25" s="403"/>
      <c r="B25" s="630" t="s">
        <v>2679</v>
      </c>
      <c r="C25" s="2977" t="s">
        <v>3666</v>
      </c>
      <c r="D25" s="434">
        <v>100</v>
      </c>
      <c r="E25" s="3420" t="s">
        <v>3671</v>
      </c>
      <c r="F25" s="3417">
        <f>SUMIF(87:87,E26,88:88)-SUMIF(87:87,C26,88:88)+100</f>
        <v>99</v>
      </c>
      <c r="G25" s="3420" t="s">
        <v>3690</v>
      </c>
      <c r="H25" s="3417">
        <f>SUMIF(87:87,G26,88:88)-SUMIF(87:87,C26,88:88)+100</f>
        <v>99</v>
      </c>
      <c r="I25" s="3420" t="s">
        <v>3692</v>
      </c>
      <c r="J25" s="434">
        <f>SUMIF(87:87,I26,88:88)-SUMIF(87:87,C26,88:88)+100</f>
        <v>100</v>
      </c>
      <c r="K25" s="613">
        <v>1</v>
      </c>
      <c r="L25" s="1123"/>
      <c r="M25" s="1114"/>
      <c r="N25" s="1114"/>
      <c r="O25" s="1114"/>
      <c r="P25" s="3749"/>
      <c r="Q25" s="1790" t="str">
        <f>B25</f>
        <v>毗邻道路的类型与等级</v>
      </c>
      <c r="R25" s="770" t="s">
        <v>17</v>
      </c>
      <c r="S25" s="771">
        <f>F25</f>
        <v>99</v>
      </c>
      <c r="T25" s="770" t="s">
        <v>17</v>
      </c>
      <c r="U25" s="771">
        <f>H25</f>
        <v>99</v>
      </c>
      <c r="V25" s="770" t="s">
        <v>17</v>
      </c>
      <c r="W25" s="771">
        <f>J25</f>
        <v>100</v>
      </c>
      <c r="X25" s="1793"/>
      <c r="Y25" s="3751"/>
      <c r="Z25" s="1794" t="str">
        <f>Q25</f>
        <v>毗邻道路的类型与等级</v>
      </c>
      <c r="AA25" s="1791">
        <f t="shared" si="3"/>
        <v>1.0101010101010102</v>
      </c>
      <c r="AB25" s="1791">
        <f t="shared" si="4"/>
        <v>1.0101010101010102</v>
      </c>
      <c r="AC25" s="2647">
        <f t="shared" si="5"/>
        <v>1</v>
      </c>
    </row>
    <row r="26" spans="1:29" ht="15">
      <c r="A26" s="403"/>
      <c r="B26" s="631"/>
      <c r="C26" s="633" t="s">
        <v>3625</v>
      </c>
      <c r="D26" s="434"/>
      <c r="E26" s="633" t="s">
        <v>3141</v>
      </c>
      <c r="F26" s="434"/>
      <c r="G26" s="633" t="s">
        <v>3141</v>
      </c>
      <c r="H26" s="434"/>
      <c r="I26" s="633" t="s">
        <v>3625</v>
      </c>
      <c r="J26" s="434"/>
      <c r="K26" s="614"/>
      <c r="L26" s="1123"/>
      <c r="M26" s="1114"/>
      <c r="N26" s="1114"/>
      <c r="O26" s="1114"/>
      <c r="P26" s="3749"/>
      <c r="Q26" s="1790"/>
      <c r="R26" s="770"/>
      <c r="S26" s="771"/>
      <c r="T26" s="770"/>
      <c r="U26" s="771"/>
      <c r="V26" s="770"/>
      <c r="W26" s="771"/>
      <c r="X26" s="1793"/>
      <c r="Y26" s="3751"/>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749"/>
      <c r="Q27" s="1790" t="str">
        <f t="shared" ref="Q27:Q47" si="11">B27</f>
        <v>楼层</v>
      </c>
      <c r="R27" s="770" t="s">
        <v>17</v>
      </c>
      <c r="S27" s="771">
        <f>F27</f>
        <v>104</v>
      </c>
      <c r="T27" s="770" t="s">
        <v>17</v>
      </c>
      <c r="U27" s="771">
        <f>H27</f>
        <v>104</v>
      </c>
      <c r="V27" s="770" t="s">
        <v>17</v>
      </c>
      <c r="W27" s="771">
        <f>J27</f>
        <v>104</v>
      </c>
      <c r="X27" s="1793"/>
      <c r="Y27" s="3751"/>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749"/>
      <c r="Q28" s="1775" t="str">
        <f t="shared" si="11"/>
        <v>朝向</v>
      </c>
      <c r="R28" s="766" t="s">
        <v>17</v>
      </c>
      <c r="S28" s="767">
        <f>F28</f>
        <v>100</v>
      </c>
      <c r="T28" s="766" t="s">
        <v>17</v>
      </c>
      <c r="U28" s="767">
        <f>H28</f>
        <v>100</v>
      </c>
      <c r="V28" s="766" t="s">
        <v>17</v>
      </c>
      <c r="W28" s="767">
        <f>J28</f>
        <v>100</v>
      </c>
      <c r="X28" s="768"/>
      <c r="Y28" s="3751"/>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749"/>
      <c r="Q29" s="1790">
        <f t="shared" si="11"/>
        <v>111</v>
      </c>
      <c r="R29" s="770" t="s">
        <v>17</v>
      </c>
      <c r="S29" s="771">
        <f t="shared" ref="S29:S47" si="12">F29</f>
        <v>100</v>
      </c>
      <c r="T29" s="770" t="s">
        <v>17</v>
      </c>
      <c r="U29" s="771">
        <f t="shared" ref="U29:U47" si="13">H29</f>
        <v>100</v>
      </c>
      <c r="V29" s="770" t="s">
        <v>17</v>
      </c>
      <c r="W29" s="771">
        <f t="shared" ref="W29:W47" si="14">J29</f>
        <v>100</v>
      </c>
      <c r="X29" s="1793"/>
      <c r="Y29" s="3751"/>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749"/>
      <c r="Q30" s="1790">
        <f t="shared" si="11"/>
        <v>111</v>
      </c>
      <c r="R30" s="770" t="s">
        <v>17</v>
      </c>
      <c r="S30" s="771">
        <f t="shared" si="12"/>
        <v>100</v>
      </c>
      <c r="T30" s="770" t="s">
        <v>17</v>
      </c>
      <c r="U30" s="771">
        <f t="shared" si="13"/>
        <v>100</v>
      </c>
      <c r="V30" s="770" t="s">
        <v>17</v>
      </c>
      <c r="W30" s="771">
        <f t="shared" si="14"/>
        <v>100</v>
      </c>
      <c r="X30" s="1793"/>
      <c r="Y30" s="3751"/>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749"/>
      <c r="Q31" s="1790">
        <f t="shared" si="11"/>
        <v>111</v>
      </c>
      <c r="R31" s="770" t="s">
        <v>17</v>
      </c>
      <c r="S31" s="771">
        <f t="shared" si="12"/>
        <v>100</v>
      </c>
      <c r="T31" s="770" t="s">
        <v>17</v>
      </c>
      <c r="U31" s="771">
        <f t="shared" si="13"/>
        <v>100</v>
      </c>
      <c r="V31" s="770" t="s">
        <v>17</v>
      </c>
      <c r="W31" s="771">
        <f t="shared" si="14"/>
        <v>100</v>
      </c>
      <c r="X31" s="1793"/>
      <c r="Y31" s="3751"/>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749"/>
      <c r="Q32" s="1790">
        <f t="shared" si="11"/>
        <v>111</v>
      </c>
      <c r="R32" s="770" t="s">
        <v>17</v>
      </c>
      <c r="S32" s="771">
        <f t="shared" si="12"/>
        <v>100</v>
      </c>
      <c r="T32" s="770" t="s">
        <v>17</v>
      </c>
      <c r="U32" s="771">
        <f t="shared" si="13"/>
        <v>100</v>
      </c>
      <c r="V32" s="770" t="s">
        <v>17</v>
      </c>
      <c r="W32" s="771">
        <f t="shared" si="14"/>
        <v>100</v>
      </c>
      <c r="X32" s="1793"/>
      <c r="Y32" s="3751"/>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752" t="s">
        <v>2553</v>
      </c>
      <c r="Q33" s="1790" t="str">
        <f t="shared" si="11"/>
        <v>建筑类型</v>
      </c>
      <c r="R33" s="770" t="s">
        <v>17</v>
      </c>
      <c r="S33" s="771">
        <f t="shared" si="12"/>
        <v>100</v>
      </c>
      <c r="T33" s="770" t="s">
        <v>17</v>
      </c>
      <c r="U33" s="771">
        <f t="shared" si="13"/>
        <v>100</v>
      </c>
      <c r="V33" s="770" t="s">
        <v>17</v>
      </c>
      <c r="W33" s="771">
        <f t="shared" si="14"/>
        <v>100</v>
      </c>
      <c r="X33" s="1793"/>
      <c r="Y33" s="3755"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753"/>
      <c r="Q34" s="772" t="str">
        <f t="shared" si="11"/>
        <v>项目建筑规模</v>
      </c>
      <c r="R34" s="773" t="s">
        <v>17</v>
      </c>
      <c r="S34" s="774">
        <f t="shared" si="12"/>
        <v>100</v>
      </c>
      <c r="T34" s="773" t="s">
        <v>17</v>
      </c>
      <c r="U34" s="774">
        <f t="shared" si="13"/>
        <v>98</v>
      </c>
      <c r="V34" s="773" t="s">
        <v>17</v>
      </c>
      <c r="W34" s="774">
        <f t="shared" si="14"/>
        <v>100</v>
      </c>
      <c r="X34" s="775"/>
      <c r="Y34" s="3755"/>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753"/>
      <c r="Q35" s="1790" t="str">
        <f t="shared" si="11"/>
        <v>建筑结构</v>
      </c>
      <c r="R35" s="770" t="s">
        <v>17</v>
      </c>
      <c r="S35" s="771">
        <f t="shared" si="12"/>
        <v>100</v>
      </c>
      <c r="T35" s="770" t="s">
        <v>17</v>
      </c>
      <c r="U35" s="771">
        <f t="shared" si="13"/>
        <v>100</v>
      </c>
      <c r="V35" s="770" t="s">
        <v>17</v>
      </c>
      <c r="W35" s="771">
        <f t="shared" si="14"/>
        <v>100</v>
      </c>
      <c r="X35" s="1793"/>
      <c r="Y35" s="3755"/>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753"/>
      <c r="Q36" s="1790" t="str">
        <f t="shared" si="11"/>
        <v>公共部分装修</v>
      </c>
      <c r="R36" s="770" t="s">
        <v>17</v>
      </c>
      <c r="S36" s="771">
        <f t="shared" si="12"/>
        <v>100</v>
      </c>
      <c r="T36" s="770" t="s">
        <v>17</v>
      </c>
      <c r="U36" s="771">
        <f t="shared" si="13"/>
        <v>100</v>
      </c>
      <c r="V36" s="770" t="s">
        <v>17</v>
      </c>
      <c r="W36" s="771">
        <f t="shared" si="14"/>
        <v>100</v>
      </c>
      <c r="X36" s="1793"/>
      <c r="Y36" s="3755"/>
      <c r="Z36" s="1794" t="str">
        <f t="shared" si="15"/>
        <v>公共部分装修</v>
      </c>
      <c r="AA36" s="1791">
        <f t="shared" si="3"/>
        <v>1</v>
      </c>
      <c r="AB36" s="1791">
        <f t="shared" si="4"/>
        <v>1</v>
      </c>
      <c r="AC36" s="2647">
        <f t="shared" si="5"/>
        <v>1</v>
      </c>
    </row>
    <row r="37" spans="1:29" ht="15">
      <c r="A37" s="471"/>
      <c r="B37" s="421" t="s">
        <v>2650</v>
      </c>
      <c r="C37" s="473">
        <v>0.8</v>
      </c>
      <c r="D37" s="434">
        <v>100</v>
      </c>
      <c r="E37" s="3418">
        <v>0.8</v>
      </c>
      <c r="F37" s="3419">
        <f>LOOKUP(E37,111:111,112:112)-LOOKUP(C37,111:111,112:112)+100</f>
        <v>100</v>
      </c>
      <c r="G37" s="3418">
        <v>0.8</v>
      </c>
      <c r="H37" s="3419">
        <f>LOOKUP(G37,111:111,112:112)-LOOKUP(C37,111:111,112:112)+100</f>
        <v>100</v>
      </c>
      <c r="I37" s="3418">
        <v>0.8</v>
      </c>
      <c r="J37" s="3417">
        <f>LOOKUP(I37,111:111,112:112)-LOOKUP(C37,111:111,112:112)+100</f>
        <v>100</v>
      </c>
      <c r="K37" s="611"/>
      <c r="L37" s="1123"/>
      <c r="M37" s="1114"/>
      <c r="N37" s="1114"/>
      <c r="O37" s="1114"/>
      <c r="P37" s="3753"/>
      <c r="Q37" s="1790" t="str">
        <f t="shared" si="11"/>
        <v>成新度</v>
      </c>
      <c r="R37" s="770" t="s">
        <v>17</v>
      </c>
      <c r="S37" s="771">
        <f t="shared" si="12"/>
        <v>100</v>
      </c>
      <c r="T37" s="770" t="s">
        <v>17</v>
      </c>
      <c r="U37" s="771">
        <f t="shared" si="13"/>
        <v>100</v>
      </c>
      <c r="V37" s="770" t="s">
        <v>17</v>
      </c>
      <c r="W37" s="771">
        <f t="shared" si="14"/>
        <v>100</v>
      </c>
      <c r="X37" s="1793"/>
      <c r="Y37" s="3755"/>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753"/>
      <c r="Q38" s="1775" t="str">
        <f t="shared" si="11"/>
        <v>写字楼等级</v>
      </c>
      <c r="R38" s="766" t="s">
        <v>17</v>
      </c>
      <c r="S38" s="767">
        <f t="shared" si="12"/>
        <v>100</v>
      </c>
      <c r="T38" s="766" t="s">
        <v>17</v>
      </c>
      <c r="U38" s="767">
        <f t="shared" si="13"/>
        <v>100</v>
      </c>
      <c r="V38" s="766" t="s">
        <v>17</v>
      </c>
      <c r="W38" s="767">
        <f t="shared" si="14"/>
        <v>100</v>
      </c>
      <c r="X38" s="768"/>
      <c r="Y38" s="3755"/>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753" t="s">
        <v>2553</v>
      </c>
      <c r="Q39" s="1790" t="str">
        <f t="shared" si="11"/>
        <v>物业管理</v>
      </c>
      <c r="R39" s="770" t="s">
        <v>17</v>
      </c>
      <c r="S39" s="771">
        <f t="shared" si="12"/>
        <v>100</v>
      </c>
      <c r="T39" s="770" t="s">
        <v>17</v>
      </c>
      <c r="U39" s="771">
        <f t="shared" si="13"/>
        <v>100</v>
      </c>
      <c r="V39" s="770" t="s">
        <v>17</v>
      </c>
      <c r="W39" s="771">
        <f t="shared" si="14"/>
        <v>100</v>
      </c>
      <c r="X39" s="1793"/>
      <c r="Y39" s="3755"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753"/>
      <c r="Q40" s="1790" t="str">
        <f t="shared" si="11"/>
        <v>市政基础设施</v>
      </c>
      <c r="R40" s="770" t="s">
        <v>17</v>
      </c>
      <c r="S40" s="771">
        <f t="shared" si="12"/>
        <v>100</v>
      </c>
      <c r="T40" s="770" t="s">
        <v>17</v>
      </c>
      <c r="U40" s="771">
        <f t="shared" si="13"/>
        <v>100</v>
      </c>
      <c r="V40" s="770" t="s">
        <v>17</v>
      </c>
      <c r="W40" s="771">
        <f t="shared" si="14"/>
        <v>100</v>
      </c>
      <c r="X40" s="1793"/>
      <c r="Y40" s="3755"/>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753"/>
      <c r="Q41" s="1790" t="str">
        <f t="shared" si="11"/>
        <v>层高</v>
      </c>
      <c r="R41" s="770" t="s">
        <v>17</v>
      </c>
      <c r="S41" s="771">
        <f t="shared" si="12"/>
        <v>100</v>
      </c>
      <c r="T41" s="770" t="s">
        <v>17</v>
      </c>
      <c r="U41" s="771">
        <f t="shared" si="13"/>
        <v>100</v>
      </c>
      <c r="V41" s="770" t="s">
        <v>17</v>
      </c>
      <c r="W41" s="771">
        <f t="shared" si="14"/>
        <v>100</v>
      </c>
      <c r="X41" s="1793"/>
      <c r="Y41" s="3755"/>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753"/>
      <c r="Q42" s="772" t="str">
        <f t="shared" si="11"/>
        <v>单套建筑面积</v>
      </c>
      <c r="R42" s="773" t="s">
        <v>17</v>
      </c>
      <c r="S42" s="774">
        <f t="shared" si="12"/>
        <v>100</v>
      </c>
      <c r="T42" s="773" t="s">
        <v>17</v>
      </c>
      <c r="U42" s="774">
        <f t="shared" si="13"/>
        <v>100</v>
      </c>
      <c r="V42" s="773" t="s">
        <v>17</v>
      </c>
      <c r="W42" s="774">
        <f t="shared" si="14"/>
        <v>100</v>
      </c>
      <c r="X42" s="775"/>
      <c r="Y42" s="3755"/>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753"/>
      <c r="Q43" s="1790" t="str">
        <f t="shared" si="11"/>
        <v>内部装修</v>
      </c>
      <c r="R43" s="770" t="s">
        <v>17</v>
      </c>
      <c r="S43" s="771">
        <f t="shared" si="12"/>
        <v>100</v>
      </c>
      <c r="T43" s="770" t="s">
        <v>17</v>
      </c>
      <c r="U43" s="771">
        <f t="shared" si="13"/>
        <v>100</v>
      </c>
      <c r="V43" s="770" t="s">
        <v>17</v>
      </c>
      <c r="W43" s="771">
        <f t="shared" si="14"/>
        <v>100</v>
      </c>
      <c r="X43" s="1793"/>
      <c r="Y43" s="3755"/>
      <c r="Z43" s="1794" t="str">
        <f t="shared" si="15"/>
        <v>内部装修</v>
      </c>
      <c r="AA43" s="1791">
        <f t="shared" si="3"/>
        <v>1</v>
      </c>
      <c r="AB43" s="1791">
        <f t="shared" si="4"/>
        <v>1</v>
      </c>
      <c r="AC43" s="2647">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753"/>
      <c r="Q44" s="1790" t="str">
        <f t="shared" si="11"/>
        <v>内部装修维护情况</v>
      </c>
      <c r="R44" s="770" t="s">
        <v>17</v>
      </c>
      <c r="S44" s="771">
        <f t="shared" si="12"/>
        <v>100</v>
      </c>
      <c r="T44" s="770" t="s">
        <v>17</v>
      </c>
      <c r="U44" s="771">
        <f t="shared" si="13"/>
        <v>100</v>
      </c>
      <c r="V44" s="770" t="s">
        <v>17</v>
      </c>
      <c r="W44" s="771">
        <f t="shared" si="14"/>
        <v>100</v>
      </c>
      <c r="X44" s="1793"/>
      <c r="Y44" s="3755"/>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753"/>
      <c r="Q45" s="1775">
        <f t="shared" si="11"/>
        <v>111</v>
      </c>
      <c r="R45" s="766" t="s">
        <v>17</v>
      </c>
      <c r="S45" s="767">
        <f t="shared" si="12"/>
        <v>100</v>
      </c>
      <c r="T45" s="766" t="s">
        <v>17</v>
      </c>
      <c r="U45" s="767">
        <f t="shared" si="13"/>
        <v>100</v>
      </c>
      <c r="V45" s="766" t="s">
        <v>17</v>
      </c>
      <c r="W45" s="767">
        <f t="shared" si="14"/>
        <v>100</v>
      </c>
      <c r="X45" s="768"/>
      <c r="Y45" s="3755"/>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753"/>
      <c r="Q46" s="1790">
        <f t="shared" si="11"/>
        <v>111</v>
      </c>
      <c r="R46" s="770" t="s">
        <v>17</v>
      </c>
      <c r="S46" s="771">
        <f t="shared" si="12"/>
        <v>100</v>
      </c>
      <c r="T46" s="770" t="s">
        <v>17</v>
      </c>
      <c r="U46" s="771">
        <f t="shared" si="13"/>
        <v>100</v>
      </c>
      <c r="V46" s="770" t="s">
        <v>17</v>
      </c>
      <c r="W46" s="771">
        <f t="shared" si="14"/>
        <v>100</v>
      </c>
      <c r="X46" s="1793"/>
      <c r="Y46" s="3755"/>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754"/>
      <c r="Q47" s="1790">
        <f t="shared" si="11"/>
        <v>0.995</v>
      </c>
      <c r="R47" s="770" t="s">
        <v>17</v>
      </c>
      <c r="S47" s="771">
        <f t="shared" si="12"/>
        <v>100</v>
      </c>
      <c r="T47" s="770" t="s">
        <v>17</v>
      </c>
      <c r="U47" s="771">
        <f t="shared" si="13"/>
        <v>100</v>
      </c>
      <c r="V47" s="770" t="s">
        <v>17</v>
      </c>
      <c r="W47" s="771">
        <f t="shared" si="14"/>
        <v>100</v>
      </c>
      <c r="X47" s="1793"/>
      <c r="Y47" s="3756"/>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734" t="str">
        <f>A48</f>
        <v>成交单价（元/平方米）</v>
      </c>
      <c r="Q48" s="3757"/>
      <c r="R48" s="3758">
        <f>E48</f>
        <v>40000</v>
      </c>
      <c r="S48" s="3758"/>
      <c r="T48" s="3758">
        <f>G48</f>
        <v>40000</v>
      </c>
      <c r="U48" s="3758"/>
      <c r="V48" s="3758">
        <f>I48</f>
        <v>40000</v>
      </c>
      <c r="W48" s="3758"/>
      <c r="X48" s="445"/>
      <c r="Y48" s="777"/>
      <c r="Z48" s="445"/>
      <c r="AA48" s="445"/>
      <c r="AB48" s="445"/>
      <c r="AC48" s="629"/>
    </row>
    <row r="49" spans="1:29" ht="15.7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734" t="str">
        <f>A49</f>
        <v>比较价值（元/平方米）</v>
      </c>
      <c r="Q49" s="3757"/>
      <c r="R49" s="3758">
        <f>IF(F1="售价",ROUND(PRODUCT(R48,AA7:AA47),0),ROUND(PRODUCT(R48,AA7:AA47),1))</f>
        <v>38850</v>
      </c>
      <c r="S49" s="3758"/>
      <c r="T49" s="3758">
        <f>IF(F1="售价",ROUND(PRODUCT(T48,AB7:AB47),0),ROUND(PRODUCT(T48,AB7:AB47),1))</f>
        <v>39643</v>
      </c>
      <c r="U49" s="3758"/>
      <c r="V49" s="3758">
        <f>IF(F1="售价",ROUND(PRODUCT(V48,AC7:AC47),0),ROUND(PRODUCT(V48,AC7:AC47),1))</f>
        <v>38850</v>
      </c>
      <c r="W49" s="3758"/>
      <c r="X49" s="445"/>
      <c r="Y49" s="445"/>
      <c r="Z49" s="445"/>
      <c r="AA49" s="445"/>
      <c r="AB49" s="445"/>
      <c r="AC49" s="629"/>
    </row>
    <row r="50" spans="1:29" ht="15.75" thickBot="1">
      <c r="A50" s="491" t="s">
        <v>2658</v>
      </c>
      <c r="B50" s="492"/>
      <c r="C50" s="1398">
        <f>R50</f>
        <v>39114</v>
      </c>
      <c r="D50" s="1398"/>
      <c r="E50" s="1398"/>
      <c r="F50" s="1398"/>
      <c r="G50" s="1398"/>
      <c r="H50" s="1398"/>
      <c r="I50" s="1398"/>
      <c r="J50" s="493"/>
      <c r="K50" s="781"/>
      <c r="L50" s="1126"/>
      <c r="M50" s="1114"/>
      <c r="N50" s="1114"/>
      <c r="O50" s="1114"/>
      <c r="P50" s="3786" t="str">
        <f>A50</f>
        <v>估价对象XX用房的比较价值（楼面单价，元/平方米）</v>
      </c>
      <c r="Q50" s="3787"/>
      <c r="R50" s="3788">
        <f>IF(F1="售价",ROUND(AVERAGE(R49:V49),0),ROUND(AVERAGE(R49:V49),1))</f>
        <v>39114</v>
      </c>
      <c r="S50" s="3788"/>
      <c r="T50" s="3788"/>
      <c r="U50" s="3788"/>
      <c r="V50" s="3788"/>
      <c r="W50" s="3788"/>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10</v>
      </c>
      <c r="H1" s="1264" t="str">
        <f>IF(ISERROR(FIND("住宅",B1)),"非住宅","住宅")</f>
        <v>非住宅</v>
      </c>
    </row>
    <row r="2" spans="1:8" s="244" customFormat="1" ht="18" customHeight="1">
      <c r="A2" s="245" t="s">
        <v>2315</v>
      </c>
      <c r="B2" s="246">
        <f ca="1">ROUND(IF(D2="——",C52/10000,C52/10000-E2),0)</f>
        <v>21380</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4848</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8820882</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8820882</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8820882</v>
      </c>
      <c r="D10" s="1022">
        <f ca="1">IF(B1="",'数据-汇总表'!E6,IF(INDIRECT("'数据-取费表'!c"&amp;$G$1)="住宅",INDIRECT("'数据-取费表'!s"&amp;$G$1),INDIRECT("'数据-取费表'!k"&amp;$G$1)+INDIRECT("'数据-取费表'!s"&amp;$G$1)))</f>
        <v>44104.409999999996</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8820882</v>
      </c>
      <c r="D19" s="1026">
        <f ca="1">D9+D10</f>
        <v>44104.409999999996</v>
      </c>
      <c r="E19" s="255">
        <f>'数据-取费表'!B31</f>
        <v>200</v>
      </c>
      <c r="F19" s="275"/>
      <c r="G19" s="2523"/>
    </row>
    <row r="20" spans="1:7" s="258" customFormat="1" ht="13.5" customHeight="1">
      <c r="A20" s="299" t="s">
        <v>2427</v>
      </c>
      <c r="B20" s="254" t="s">
        <v>2428</v>
      </c>
      <c r="C20" s="276">
        <f ca="1">ROUND((C5+C19)*F20,0)</f>
        <v>352835</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1732532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857886</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857886</v>
      </c>
      <c r="D24" s="282"/>
      <c r="E24" s="282"/>
      <c r="F24" s="283"/>
      <c r="G24" s="284" t="s">
        <v>2439</v>
      </c>
    </row>
    <row r="25" spans="1:7" s="258" customFormat="1" ht="24">
      <c r="A25" s="941" t="s">
        <v>2329</v>
      </c>
      <c r="B25" s="259" t="s">
        <v>2440</v>
      </c>
      <c r="C25" s="1363">
        <f ca="1">ROUND(IF('数据-取费表'!B22&lt;=1,C20*F22*'数据-取费表'!B22/2,C20*(POWER((1+F22),'数据-取费表'!B22/2)-1)),0)</f>
        <v>16760</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4498650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4498650</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26312350</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163036626</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147574875</v>
      </c>
      <c r="D34" s="261"/>
      <c r="E34" s="264"/>
      <c r="F34" s="301"/>
      <c r="G34" s="263"/>
    </row>
    <row r="35" spans="1:7" ht="13.5" customHeight="1">
      <c r="A35" s="941" t="s">
        <v>796</v>
      </c>
      <c r="B35" s="259" t="s">
        <v>2380</v>
      </c>
      <c r="C35" s="264">
        <f ca="1">ROUND(C34*F35,0)</f>
        <v>4427246</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8820882</v>
      </c>
      <c r="D37" s="261">
        <f ca="1">D19</f>
        <v>44104.409999999996</v>
      </c>
      <c r="E37" s="293">
        <f>'数据-取费表'!B35</f>
        <v>200</v>
      </c>
      <c r="F37" s="303"/>
      <c r="G37" s="305"/>
    </row>
    <row r="38" spans="1:7" ht="13.5" customHeight="1">
      <c r="A38" s="941" t="s">
        <v>799</v>
      </c>
      <c r="B38" s="259" t="s">
        <v>2386</v>
      </c>
      <c r="C38" s="264">
        <f ca="1">ROUND(C34*F38,0)</f>
        <v>2213623</v>
      </c>
      <c r="D38" s="264"/>
      <c r="E38" s="264"/>
      <c r="F38" s="303">
        <f>'数据-取费表'!B36</f>
        <v>1.4999999999999999E-2</v>
      </c>
      <c r="G38" s="263" t="s">
        <v>2381</v>
      </c>
    </row>
    <row r="39" spans="1:7" s="258" customFormat="1" ht="13.5" customHeight="1">
      <c r="A39" s="299" t="s">
        <v>2387</v>
      </c>
      <c r="B39" s="254" t="s">
        <v>2388</v>
      </c>
      <c r="C39" s="276">
        <f ca="1">ROUND(C33*F20,0)</f>
        <v>3260733</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7899125</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7744240</v>
      </c>
      <c r="D42" s="282"/>
      <c r="E42" s="282"/>
      <c r="F42" s="283"/>
      <c r="G42" s="3713" t="s">
        <v>2444</v>
      </c>
    </row>
    <row r="43" spans="1:7" ht="13.5" customHeight="1">
      <c r="A43" s="941" t="s">
        <v>792</v>
      </c>
      <c r="B43" s="259" t="s">
        <v>2398</v>
      </c>
      <c r="C43" s="282">
        <f ca="1">ROUND(IF('数据-取费表'!B22&lt;=1,C39*F22*'数据-取费表'!B20/2,C39*(POWER((1+F22),'数据-取费表'!B20/2)-1)),0)</f>
        <v>154885</v>
      </c>
      <c r="D43" s="282"/>
      <c r="E43" s="282"/>
      <c r="F43" s="283"/>
      <c r="G43" s="3714"/>
    </row>
    <row r="44" spans="1:7" ht="13.5" customHeight="1">
      <c r="A44" s="941" t="s">
        <v>793</v>
      </c>
      <c r="B44" s="259" t="s">
        <v>2399</v>
      </c>
      <c r="C44" s="282">
        <f ca="1">ROUND(IF('数据-取费表'!B22&lt;=1,C40*F22*'数据-取费表'!B20/2,C40*(POWER((1+F22),'数据-取费表'!B20/2)-1)),4)</f>
        <v>1E-3</v>
      </c>
      <c r="D44" s="282"/>
      <c r="E44" s="282"/>
      <c r="F44" s="283"/>
      <c r="G44" s="3715"/>
    </row>
    <row r="45" spans="1:7" s="258" customFormat="1" ht="13.5" customHeight="1">
      <c r="A45" s="299" t="s">
        <v>2400</v>
      </c>
      <c r="B45" s="288" t="s">
        <v>2366</v>
      </c>
      <c r="C45" s="289">
        <f ca="1">C46</f>
        <v>41574340</v>
      </c>
      <c r="D45" s="279">
        <f ca="1">C47</f>
        <v>5.0000000000000001E-3</v>
      </c>
      <c r="E45" s="280" t="s">
        <v>2392</v>
      </c>
      <c r="F45" s="290"/>
      <c r="G45" s="291" t="s">
        <v>2401</v>
      </c>
    </row>
    <row r="46" spans="1:7" s="258" customFormat="1" ht="13.5" customHeight="1">
      <c r="A46" s="941" t="s">
        <v>791</v>
      </c>
      <c r="B46" s="292" t="s">
        <v>2402</v>
      </c>
      <c r="C46" s="293">
        <f ca="1">ROUND((C33+C39)*F27,0)</f>
        <v>41574340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234355191</v>
      </c>
      <c r="D49" s="276"/>
      <c r="E49" s="276"/>
      <c r="F49" s="308"/>
      <c r="G49" s="278" t="s">
        <v>2407</v>
      </c>
    </row>
    <row r="50" spans="1:7" s="302" customFormat="1">
      <c r="A50" s="299" t="s">
        <v>2408</v>
      </c>
      <c r="B50" s="254" t="s">
        <v>2409</v>
      </c>
      <c r="C50" s="276"/>
      <c r="D50" s="276"/>
      <c r="E50" s="276"/>
      <c r="F50" s="308">
        <f>IF('数据-取费表'!B24=0,'数据-取费表'!N16,1)</f>
        <v>0.8</v>
      </c>
      <c r="G50" s="291"/>
    </row>
    <row r="51" spans="1:7" ht="16.5" customHeight="1">
      <c r="A51" s="299" t="s">
        <v>2411</v>
      </c>
      <c r="B51" s="254" t="s">
        <v>2446</v>
      </c>
      <c r="C51" s="276">
        <f ca="1">ROUND(C49*F50,0)</f>
        <v>187484153</v>
      </c>
      <c r="D51" s="276"/>
      <c r="E51" s="276"/>
      <c r="F51" s="308"/>
      <c r="G51" s="278" t="s">
        <v>2413</v>
      </c>
    </row>
    <row r="52" spans="1:7" s="252" customFormat="1" ht="16.5" thickBot="1">
      <c r="A52" s="309" t="s">
        <v>2414</v>
      </c>
      <c r="B52" s="310"/>
      <c r="C52" s="311">
        <f ca="1">C31+C51</f>
        <v>213796503</v>
      </c>
      <c r="D52" s="310"/>
      <c r="E52" s="310"/>
      <c r="F52" s="310"/>
      <c r="G52" s="312"/>
    </row>
    <row r="55" spans="1:7" ht="15">
      <c r="B55" s="314" t="s">
        <v>2415</v>
      </c>
      <c r="C55" s="315"/>
    </row>
    <row r="56" spans="1:7">
      <c r="B56" s="317" t="s">
        <v>1501</v>
      </c>
      <c r="C56" s="319">
        <f ca="1">1-C57</f>
        <v>0.123</v>
      </c>
    </row>
    <row r="57" spans="1:7">
      <c r="B57" s="317" t="s">
        <v>1502</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10</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44104.409999999996</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44104.409999999996</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882</v>
      </c>
      <c r="D20" s="1023">
        <f ca="1">IF(C1="",'数据-汇总表'!E6,IF(INDIRECT("'数据-取费表'!c"&amp;$K$1)="住宅",INDIRECT("'数据-取费表'!s"&amp;$K$1),INDIRECT("'数据-取费表'!k"&amp;$K$1)+INDIRECT("'数据-取费表'!s"&amp;$K$1)))</f>
        <v>44104.409999999996</v>
      </c>
      <c r="E20" s="24">
        <f>'数据-取费表'!B28</f>
        <v>200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0</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66" t="s">
        <v>1391</v>
      </c>
      <c r="C6" s="1278">
        <f ca="1">ROUND(F6*F8*F7*(1-F9),0)</f>
        <v>0</v>
      </c>
      <c r="D6" s="164" t="s">
        <v>3001</v>
      </c>
      <c r="E6" s="347" t="s">
        <v>1393</v>
      </c>
      <c r="F6" s="348">
        <f ca="1">INDIRECT("'数据-取费表'!u"&amp;$G$1)</f>
        <v>0</v>
      </c>
      <c r="G6" s="1831"/>
      <c r="H6" s="1273" t="s">
        <v>1032</v>
      </c>
      <c r="I6" s="3766" t="s">
        <v>1391</v>
      </c>
      <c r="J6" s="346">
        <f ca="1">ROUND(M6*M8*M7*(1-M9),0)</f>
        <v>0</v>
      </c>
      <c r="K6" s="1814" t="s">
        <v>3002</v>
      </c>
      <c r="L6" s="347" t="s">
        <v>1393</v>
      </c>
      <c r="M6" s="348">
        <f ca="1">INDIRECT("'数据-取费表'!z"&amp;$G$1)</f>
        <v>0</v>
      </c>
    </row>
    <row r="7" spans="1:37" ht="18" customHeight="1">
      <c r="A7" s="1277"/>
      <c r="B7" s="3767"/>
      <c r="C7" s="1279"/>
      <c r="D7" s="352"/>
      <c r="E7" s="1280" t="s">
        <v>1394</v>
      </c>
      <c r="F7" s="348">
        <f ca="1">IF(INDIRECT("'数据-取费表'!ah"&amp;$G$1)="",INDIRECT("'数据-取费表'!k"&amp;$G$1),INDIRECT("'数据-取费表'!ah"&amp;$G$1))</f>
        <v>0</v>
      </c>
      <c r="G7" s="1831"/>
      <c r="H7" s="349"/>
      <c r="I7" s="3767"/>
      <c r="J7" s="351"/>
      <c r="K7" s="352"/>
      <c r="L7" s="347" t="s">
        <v>1394</v>
      </c>
      <c r="M7" s="348">
        <f ca="1">F7</f>
        <v>0</v>
      </c>
    </row>
    <row r="8" spans="1:37" ht="18" customHeight="1">
      <c r="A8" s="349"/>
      <c r="B8" s="3767"/>
      <c r="C8" s="351"/>
      <c r="D8" s="352"/>
      <c r="E8" s="347" t="s">
        <v>1395</v>
      </c>
      <c r="F8" s="348">
        <f ca="1">INDIRECT("'数据-取费表'!ai"&amp;$G$1)</f>
        <v>0</v>
      </c>
      <c r="G8" s="1831"/>
      <c r="H8" s="349"/>
      <c r="I8" s="3767"/>
      <c r="J8" s="351"/>
      <c r="K8" s="352"/>
      <c r="L8" s="347" t="s">
        <v>1395</v>
      </c>
      <c r="M8" s="348">
        <f ca="1">INDIRECT("'数据-取费表'!ai"&amp;$G$1)</f>
        <v>0</v>
      </c>
    </row>
    <row r="9" spans="1:37" ht="18" customHeight="1">
      <c r="A9" s="349"/>
      <c r="B9" s="3768"/>
      <c r="C9" s="351"/>
      <c r="D9" s="352"/>
      <c r="E9" s="347" t="s">
        <v>1396</v>
      </c>
      <c r="F9" s="357">
        <f ca="1">INDIRECT("'数据-取费表'!w"&amp;$G$1)</f>
        <v>0</v>
      </c>
      <c r="G9" s="1831"/>
      <c r="H9" s="349"/>
      <c r="I9" s="376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50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69" t="s">
        <v>1536</v>
      </c>
      <c r="L53" s="3770"/>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33.21</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str">
        <f ca="1">IF(OR(M47="住宅",J51&lt;L48,J56="是"),"0",ROUND(J59/(1+J52)^J53,0))</f>
        <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63" t="s">
        <v>2983</v>
      </c>
      <c r="D1" s="3764"/>
      <c r="E1" s="3764"/>
      <c r="F1" s="3764"/>
      <c r="G1" s="3764"/>
      <c r="H1" s="3764"/>
      <c r="I1" s="3764"/>
      <c r="J1" s="3764"/>
      <c r="K1" s="3764"/>
      <c r="L1" s="3764"/>
      <c r="M1" s="3764"/>
      <c r="N1" s="3764"/>
      <c r="O1" s="3764"/>
      <c r="P1" s="3764"/>
      <c r="Q1" s="3764"/>
      <c r="R1" s="3764"/>
      <c r="S1" s="3765"/>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'[4]比较法-办公'!B123</f>
        <v>内部装修</v>
      </c>
      <c r="C5" s="1198" t="str">
        <f>'[4]比较法-办公'!C123</f>
        <v>精装修</v>
      </c>
      <c r="D5" s="1198" t="str">
        <f>'[4]比较法-办公'!D123</f>
        <v>普装</v>
      </c>
      <c r="E5" s="1198" t="str">
        <f>'[4]比较法-办公'!E123</f>
        <v>简装</v>
      </c>
      <c r="F5" s="1198" t="str">
        <f>'[4]比较法-办公'!F123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593" t="s">
        <v>33</v>
      </c>
      <c r="D22" s="3594"/>
      <c r="E22" s="3594"/>
      <c r="F22" s="3594"/>
      <c r="G22" s="3594"/>
      <c r="H22" s="3594"/>
      <c r="I22" s="3594"/>
      <c r="J22" s="3594"/>
      <c r="K22" s="3594"/>
      <c r="L22" s="3594"/>
      <c r="M22" s="3594"/>
      <c r="N22" s="3594"/>
      <c r="O22" s="3594"/>
      <c r="P22" s="3594"/>
      <c r="Q22" s="3762"/>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3677</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3407"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400" t="s">
        <v>1406</v>
      </c>
      <c r="E14" s="3398"/>
      <c r="F14" s="364"/>
      <c r="G14" s="1831"/>
      <c r="H14" s="1183" t="s">
        <v>1032</v>
      </c>
      <c r="I14" s="347" t="s">
        <v>1407</v>
      </c>
      <c r="J14" s="24" t="e">
        <f ca="1">C29</f>
        <v>#N/A</v>
      </c>
      <c r="K14" s="3406"/>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402"/>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405"/>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t="e">
        <f ca="1">ROUND(J14*M22,1)</f>
        <v>#N/A</v>
      </c>
      <c r="K22" s="3399"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399"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402"/>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399"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399" t="s">
        <v>1442</v>
      </c>
      <c r="E37" s="347" t="s">
        <v>1443</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404"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3403"/>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940"/>
      <c r="B4" s="3477" t="s">
        <v>1618</v>
      </c>
      <c r="C4" s="3477"/>
      <c r="D4" s="3477"/>
      <c r="E4" s="1940"/>
    </row>
    <row r="5" spans="1:5" ht="16.5" thickTop="1">
      <c r="A5" s="1938"/>
      <c r="B5" s="3475" t="s">
        <v>1610</v>
      </c>
      <c r="C5" s="1941" t="s">
        <v>1611</v>
      </c>
      <c r="D5" s="1030">
        <f ca="1">结果表!H101</f>
        <v>167313</v>
      </c>
      <c r="E5" s="1938"/>
    </row>
    <row r="6" spans="1:5" ht="15.75">
      <c r="A6" s="1938"/>
      <c r="B6" s="3475"/>
      <c r="C6" s="1941" t="s">
        <v>1612</v>
      </c>
      <c r="D6" s="1030" t="str">
        <f ca="1">NUMBERSTRING(INT(D5*10000),2)&amp;"元整"</f>
        <v>壹拾陆亿柒仟叁佰壹拾叁万元整</v>
      </c>
      <c r="E6" s="1938"/>
    </row>
    <row r="7" spans="1:5" ht="15.75">
      <c r="A7" s="1938"/>
      <c r="B7" s="3480"/>
      <c r="C7" s="1942" t="s">
        <v>1613</v>
      </c>
      <c r="D7" s="1031">
        <f ca="1">结果表!H102</f>
        <v>37936</v>
      </c>
      <c r="E7" s="1938"/>
    </row>
    <row r="8" spans="1:5" ht="15.75">
      <c r="A8" s="1938"/>
      <c r="B8" s="3481" t="str">
        <f>结果表!E103</f>
        <v>2.估价师知悉的法定优先受偿款</v>
      </c>
      <c r="C8" s="1943" t="s">
        <v>1614</v>
      </c>
      <c r="D8" s="1031">
        <f>结果表!H103</f>
        <v>0</v>
      </c>
      <c r="E8" s="1938"/>
    </row>
    <row r="9" spans="1:5" ht="15.75">
      <c r="A9" s="1938"/>
      <c r="B9" s="3483"/>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74" t="str">
        <f>结果表!E107</f>
        <v>3.房地产抵押价值</v>
      </c>
      <c r="C13" s="1946" t="s">
        <v>1611</v>
      </c>
      <c r="D13" s="1033">
        <f ca="1">结果表!H107</f>
        <v>167313</v>
      </c>
      <c r="E13" s="1938"/>
    </row>
    <row r="14" spans="1:5" ht="15.75">
      <c r="A14" s="1938"/>
      <c r="B14" s="3475"/>
      <c r="C14" s="1941" t="s">
        <v>1612</v>
      </c>
      <c r="D14" s="1030" t="str">
        <f ca="1">NUMBERSTRING(INT(D13*10000),2)&amp;"元整"</f>
        <v>壹拾陆亿柒仟叁佰壹拾叁万元整</v>
      </c>
      <c r="E14" s="1938"/>
    </row>
    <row r="15" spans="1:5" ht="15">
      <c r="A15" s="1938"/>
      <c r="B15" s="3480"/>
      <c r="C15" s="1942" t="s">
        <v>1622</v>
      </c>
      <c r="D15" s="1042">
        <f ca="1">结果表!H108</f>
        <v>37936</v>
      </c>
      <c r="E15" s="1938"/>
    </row>
    <row r="16" spans="1:5" ht="15">
      <c r="A16" s="1938"/>
      <c r="B16" s="3481" t="str">
        <f>结果表!E109</f>
        <v>——</v>
      </c>
      <c r="C16" s="1946" t="s">
        <v>1623</v>
      </c>
      <c r="D16" s="1947" t="str">
        <f>结果表!H109</f>
        <v>——</v>
      </c>
      <c r="E16" s="1938"/>
    </row>
    <row r="17" spans="1:5" ht="15.75">
      <c r="A17" s="1938"/>
      <c r="B17" s="3482"/>
      <c r="C17" s="1941" t="s">
        <v>1624</v>
      </c>
      <c r="D17" s="1030" t="e">
        <f>NUMBERSTRING(INT(D16*10000),2)&amp;"元整"</f>
        <v>#VALUE!</v>
      </c>
      <c r="E17" s="1938"/>
    </row>
    <row r="18" spans="1:5" ht="15">
      <c r="A18" s="1938"/>
      <c r="B18" s="3483"/>
      <c r="C18" s="1942" t="s">
        <v>1613</v>
      </c>
      <c r="D18" s="1042" t="str">
        <f>结果表!H110</f>
        <v>——</v>
      </c>
      <c r="E18" s="1938"/>
    </row>
    <row r="19" spans="1:5" ht="15.75">
      <c r="A19" s="1938"/>
      <c r="B19" s="3474" t="str">
        <f>结果表!E111</f>
        <v>——</v>
      </c>
      <c r="C19" s="1946" t="s">
        <v>1611</v>
      </c>
      <c r="D19" s="1031" t="str">
        <f>结果表!H111</f>
        <v>——</v>
      </c>
      <c r="E19" s="1938"/>
    </row>
    <row r="20" spans="1:5" ht="15.75">
      <c r="A20" s="1938"/>
      <c r="B20" s="3475"/>
      <c r="C20" s="1941" t="s">
        <v>1624</v>
      </c>
      <c r="D20" s="1030" t="e">
        <f>NUMBERSTRING(INT(D19*10000),2)&amp;"元整"</f>
        <v>#VALUE!</v>
      </c>
      <c r="E20" s="1938"/>
    </row>
    <row r="21" spans="1:5" ht="15.75" thickBot="1">
      <c r="A21" s="1938"/>
      <c r="B21" s="3476"/>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1280"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t="e">
        <f ca="1">ROUND(IF(F10="押一",C6/12*F11,IF(F10="押二",C6/12*2*F11,IF(F10="押三",C6/12*3*F11,C11*F11))),0)</f>
        <v>#N/A</v>
      </c>
      <c r="D10" s="1804" t="s">
        <v>3013</v>
      </c>
      <c r="E10" s="358" t="s">
        <v>1398</v>
      </c>
      <c r="F10" s="1348" t="s">
        <v>3049</v>
      </c>
      <c r="G10" s="1831"/>
      <c r="H10" s="1273" t="s">
        <v>1036</v>
      </c>
      <c r="I10" s="1803" t="s">
        <v>1397</v>
      </c>
      <c r="J10" s="346" t="e">
        <f ca="1">ROUND(IF(M10="押一",J6/12*M11,IF(M10="押二",J6/12*2*M11,IF(M10="押三",J6/12*3*M11,J11*M11))),0)</f>
        <v>#N/A</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1780" t="s">
        <v>1406</v>
      </c>
      <c r="E14" s="1774"/>
      <c r="F14" s="364"/>
      <c r="G14" s="1831"/>
      <c r="H14" s="1183" t="s">
        <v>1032</v>
      </c>
      <c r="I14" s="347" t="s">
        <v>1407</v>
      </c>
      <c r="J14" s="24" t="e">
        <f ca="1">C29</f>
        <v>#N/A</v>
      </c>
      <c r="K14" s="15"/>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1320"/>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1798"/>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t="e">
        <f ca="1">ROUND(J14*M22,1)</f>
        <v>#N/A</v>
      </c>
      <c r="K22" s="177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1778" t="s">
        <v>1442</v>
      </c>
      <c r="L23" s="347" t="s">
        <v>1443</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1443</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1320"/>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177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1778" t="s">
        <v>1442</v>
      </c>
      <c r="E37" s="347" t="s">
        <v>1443</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1443</v>
      </c>
      <c r="F38" s="1318" t="e">
        <f ca="1">INDIRECT("'数据-取费表'!Am"&amp;$G$1)</f>
        <v>#N/A</v>
      </c>
      <c r="G38" s="1831"/>
      <c r="H38" s="1839"/>
      <c r="I38" s="1840"/>
      <c r="J38" s="1841"/>
      <c r="K38" s="1845"/>
      <c r="L38" s="1839"/>
      <c r="M38" s="1839"/>
    </row>
    <row r="39" spans="1:18" ht="24.6" customHeight="1" thickTop="1">
      <c r="A39" s="1311" t="s">
        <v>1028</v>
      </c>
      <c r="B39" s="1326" t="s">
        <v>1471</v>
      </c>
      <c r="C39" s="355" t="e">
        <f ca="1">C5-C30</f>
        <v>#N/A</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1797"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3005</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1812"/>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1481</v>
      </c>
      <c r="C61" s="24" t="e">
        <f ca="1">IF(项目基本情况!B11="自然人","——",IF(D61="按租金收入计税",ROUND(C48*F61,2),IF(D61="按房产原值计税",ROUND(C57*F61*0.7,2),INDIRECT("'数据-取费表'!Aj"&amp;$G$1))))</f>
        <v>#N/A</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1484</v>
      </c>
      <c r="C62" s="25" t="e">
        <f ca="1">IF(项目基本情况!B11="自然人","——",ROUND(F62*F63/10000,2))</f>
        <v>#N/A</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#N/A</v>
      </c>
      <c r="R62" s="1866" t="s">
        <v>1044</v>
      </c>
    </row>
    <row r="63" spans="1:18" s="1822" customFormat="1" ht="13.5" thickBot="1">
      <c r="A63" s="372"/>
      <c r="B63" s="1157"/>
      <c r="C63" s="29"/>
      <c r="D63" s="1167"/>
      <c r="E63" s="1151" t="s">
        <v>1487</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t="e">
        <f ca="1">ROUND(C57*F64,1)</f>
        <v>#N/A</v>
      </c>
      <c r="D64" s="1165" t="s">
        <v>1490</v>
      </c>
      <c r="E64" s="1151" t="s">
        <v>1482</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1443</v>
      </c>
      <c r="F65" s="376" t="e">
        <f t="shared" ca="1" si="0"/>
        <v>#N/A</v>
      </c>
      <c r="I65" s="1908" t="s">
        <v>1567</v>
      </c>
      <c r="J65" s="1909">
        <v>40</v>
      </c>
      <c r="K65" s="1909">
        <v>30</v>
      </c>
      <c r="L65" s="1909">
        <v>50</v>
      </c>
      <c r="M65" s="1911">
        <v>0.02</v>
      </c>
      <c r="O65" s="1864" t="s">
        <v>1037</v>
      </c>
      <c r="P65" s="1865" t="s">
        <v>1568</v>
      </c>
      <c r="Q65" s="1866" t="e">
        <f ca="1">C40+J29</f>
        <v>#N/A</v>
      </c>
      <c r="R65" s="1866" t="s">
        <v>1517</v>
      </c>
    </row>
    <row r="66" spans="1:18" s="1822" customFormat="1" ht="16.5" thickBot="1">
      <c r="A66" s="1183" t="s">
        <v>1492</v>
      </c>
      <c r="B66" s="1151" t="s">
        <v>1427</v>
      </c>
      <c r="C66" s="24" t="e">
        <f ca="1">ROUND(C48*F66,1)</f>
        <v>#N/A</v>
      </c>
      <c r="D66" s="1165" t="s">
        <v>1493</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44104.409999999996</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735" t="s">
        <v>2524</v>
      </c>
      <c r="D4" s="3736"/>
      <c r="E4" s="3737" t="s">
        <v>2525</v>
      </c>
      <c r="F4" s="3738"/>
      <c r="G4" s="3735" t="s">
        <v>2526</v>
      </c>
      <c r="H4" s="3736"/>
      <c r="I4" s="3735" t="s">
        <v>2527</v>
      </c>
      <c r="J4" s="3736"/>
      <c r="K4" s="2569" t="s">
        <v>2528</v>
      </c>
      <c r="L4" s="1113"/>
      <c r="M4" s="1114"/>
      <c r="N4" s="1114"/>
      <c r="O4" s="1114"/>
      <c r="P4" s="3739" t="s">
        <v>2529</v>
      </c>
      <c r="Q4" s="3740"/>
      <c r="R4" s="3722" t="s">
        <v>2525</v>
      </c>
      <c r="S4" s="3723"/>
      <c r="T4" s="3722" t="s">
        <v>2526</v>
      </c>
      <c r="U4" s="3723"/>
      <c r="V4" s="3719" t="s">
        <v>2527</v>
      </c>
      <c r="W4" s="3719"/>
      <c r="X4" s="1793"/>
      <c r="Y4" s="3722" t="s">
        <v>2529</v>
      </c>
      <c r="Z4" s="3723"/>
      <c r="AA4" s="3716" t="s">
        <v>2525</v>
      </c>
      <c r="AB4" s="3716" t="s">
        <v>2526</v>
      </c>
      <c r="AC4" s="3716" t="s">
        <v>2527</v>
      </c>
    </row>
    <row r="5" spans="1:29" ht="15">
      <c r="A5" s="403"/>
      <c r="B5" s="404"/>
      <c r="C5" s="3791" t="s">
        <v>2530</v>
      </c>
      <c r="D5" s="3792"/>
      <c r="E5" s="3789" t="s">
        <v>2531</v>
      </c>
      <c r="F5" s="3790"/>
      <c r="G5" s="3791" t="s">
        <v>2532</v>
      </c>
      <c r="H5" s="3792"/>
      <c r="I5" s="3791" t="s">
        <v>2533</v>
      </c>
      <c r="J5" s="3792"/>
      <c r="K5" s="2570"/>
      <c r="L5" s="1113"/>
      <c r="M5" s="1114"/>
      <c r="N5" s="1114"/>
      <c r="O5" s="1114"/>
      <c r="P5" s="3741"/>
      <c r="Q5" s="3742"/>
      <c r="R5" s="3724"/>
      <c r="S5" s="3725"/>
      <c r="T5" s="3724"/>
      <c r="U5" s="3725"/>
      <c r="V5" s="3719"/>
      <c r="W5" s="3719"/>
      <c r="X5" s="1793"/>
      <c r="Y5" s="3724"/>
      <c r="Z5" s="3725"/>
      <c r="AA5" s="3717"/>
      <c r="AB5" s="3717"/>
      <c r="AC5" s="3717"/>
    </row>
    <row r="6" spans="1:29" ht="15.75" thickBot="1">
      <c r="A6" s="405"/>
      <c r="B6" s="406"/>
      <c r="C6" s="3730" t="s">
        <v>2534</v>
      </c>
      <c r="D6" s="3731"/>
      <c r="E6" s="3732" t="s">
        <v>2534</v>
      </c>
      <c r="F6" s="3733"/>
      <c r="G6" s="3730" t="s">
        <v>2534</v>
      </c>
      <c r="H6" s="3731"/>
      <c r="I6" s="3730" t="s">
        <v>2534</v>
      </c>
      <c r="J6" s="3731"/>
      <c r="K6" s="2570" t="s">
        <v>2535</v>
      </c>
      <c r="L6" s="1113"/>
      <c r="M6" s="1114"/>
      <c r="N6" s="1114"/>
      <c r="O6" s="1114"/>
      <c r="P6" s="3743"/>
      <c r="Q6" s="3744"/>
      <c r="R6" s="3724"/>
      <c r="S6" s="3725"/>
      <c r="T6" s="3745"/>
      <c r="U6" s="3746"/>
      <c r="V6" s="3719"/>
      <c r="W6" s="3719"/>
      <c r="X6" s="1793"/>
      <c r="Y6" s="3745"/>
      <c r="Z6" s="3746"/>
      <c r="AA6" s="3718"/>
      <c r="AB6" s="3718"/>
      <c r="AC6" s="3718"/>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720" t="s">
        <v>2537</v>
      </c>
      <c r="Q7" s="3747"/>
      <c r="R7" s="766" t="s">
        <v>23</v>
      </c>
      <c r="S7" s="767">
        <f t="shared" ref="S7:S15" si="0">F7</f>
        <v>0</v>
      </c>
      <c r="T7" s="766" t="s">
        <v>23</v>
      </c>
      <c r="U7" s="767">
        <f t="shared" ref="U7:U15" si="1">H7</f>
        <v>0</v>
      </c>
      <c r="V7" s="766" t="s">
        <v>23</v>
      </c>
      <c r="W7" s="767">
        <f t="shared" ref="W7:W15" si="2">J7</f>
        <v>0</v>
      </c>
      <c r="X7" s="768"/>
      <c r="Y7" s="3720" t="s">
        <v>2537</v>
      </c>
      <c r="Z7" s="3721"/>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720" t="s">
        <v>2540</v>
      </c>
      <c r="Q8" s="3721"/>
      <c r="R8" s="766" t="s">
        <v>23</v>
      </c>
      <c r="S8" s="767">
        <f t="shared" si="0"/>
        <v>0</v>
      </c>
      <c r="T8" s="766" t="s">
        <v>23</v>
      </c>
      <c r="U8" s="767">
        <f t="shared" si="1"/>
        <v>0</v>
      </c>
      <c r="V8" s="766" t="s">
        <v>23</v>
      </c>
      <c r="W8" s="767">
        <f t="shared" si="2"/>
        <v>0</v>
      </c>
      <c r="X8" s="768"/>
      <c r="Y8" s="3720" t="s">
        <v>2540</v>
      </c>
      <c r="Z8" s="3721"/>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734"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734"/>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734"/>
      <c r="Q11" s="1775" t="str">
        <f t="shared" si="6"/>
        <v>容积率</v>
      </c>
      <c r="R11" s="766" t="s">
        <v>21</v>
      </c>
      <c r="S11" s="767" t="e">
        <f t="shared" si="0"/>
        <v>#N/A</v>
      </c>
      <c r="T11" s="766" t="s">
        <v>21</v>
      </c>
      <c r="U11" s="767" t="e">
        <f t="shared" si="1"/>
        <v>#N/A</v>
      </c>
      <c r="V11" s="766" t="s">
        <v>21</v>
      </c>
      <c r="W11" s="767" t="e">
        <f t="shared" si="2"/>
        <v>#N/A</v>
      </c>
      <c r="X11" s="768"/>
      <c r="Y11" s="3521"/>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734"/>
      <c r="Q12" s="1775">
        <f t="shared" si="6"/>
        <v>111</v>
      </c>
      <c r="R12" s="766" t="s">
        <v>21</v>
      </c>
      <c r="S12" s="767">
        <f t="shared" si="0"/>
        <v>100</v>
      </c>
      <c r="T12" s="766" t="s">
        <v>21</v>
      </c>
      <c r="U12" s="767">
        <f t="shared" si="1"/>
        <v>100</v>
      </c>
      <c r="V12" s="766" t="s">
        <v>21</v>
      </c>
      <c r="W12" s="767">
        <f t="shared" si="2"/>
        <v>100</v>
      </c>
      <c r="X12" s="768"/>
      <c r="Y12" s="3521"/>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734"/>
      <c r="Q13" s="1775">
        <f t="shared" si="6"/>
        <v>111</v>
      </c>
      <c r="R13" s="766" t="s">
        <v>21</v>
      </c>
      <c r="S13" s="767">
        <f t="shared" si="0"/>
        <v>100</v>
      </c>
      <c r="T13" s="766" t="s">
        <v>21</v>
      </c>
      <c r="U13" s="767">
        <f t="shared" si="1"/>
        <v>100</v>
      </c>
      <c r="V13" s="766" t="s">
        <v>21</v>
      </c>
      <c r="W13" s="767">
        <f t="shared" si="2"/>
        <v>100</v>
      </c>
      <c r="X13" s="768"/>
      <c r="Y13" s="3521"/>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734"/>
      <c r="Q14" s="1775">
        <f t="shared" si="6"/>
        <v>111</v>
      </c>
      <c r="R14" s="766" t="s">
        <v>21</v>
      </c>
      <c r="S14" s="767">
        <f t="shared" si="0"/>
        <v>100</v>
      </c>
      <c r="T14" s="766" t="s">
        <v>21</v>
      </c>
      <c r="U14" s="767">
        <f t="shared" si="1"/>
        <v>100</v>
      </c>
      <c r="V14" s="766" t="s">
        <v>21</v>
      </c>
      <c r="W14" s="767">
        <f t="shared" si="2"/>
        <v>100</v>
      </c>
      <c r="X14" s="768"/>
      <c r="Y14" s="3521"/>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748" t="s">
        <v>2548</v>
      </c>
      <c r="Q15" s="1790" t="str">
        <f t="shared" si="6"/>
        <v>居住社区成熟度</v>
      </c>
      <c r="R15" s="770" t="s">
        <v>21</v>
      </c>
      <c r="S15" s="771">
        <f t="shared" si="0"/>
        <v>100</v>
      </c>
      <c r="T15" s="770" t="s">
        <v>21</v>
      </c>
      <c r="U15" s="771">
        <f t="shared" si="1"/>
        <v>100</v>
      </c>
      <c r="V15" s="770" t="s">
        <v>21</v>
      </c>
      <c r="W15" s="771">
        <f t="shared" si="2"/>
        <v>100</v>
      </c>
      <c r="X15" s="1793"/>
      <c r="Y15" s="3750"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749"/>
      <c r="Q16" s="1790"/>
      <c r="R16" s="770"/>
      <c r="S16" s="771"/>
      <c r="T16" s="770"/>
      <c r="U16" s="771"/>
      <c r="V16" s="770"/>
      <c r="W16" s="771"/>
      <c r="X16" s="1793"/>
      <c r="Y16" s="3751"/>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749"/>
      <c r="Q17" s="1790" t="str">
        <f>B17</f>
        <v>交通便捷度</v>
      </c>
      <c r="R17" s="770" t="s">
        <v>21</v>
      </c>
      <c r="S17" s="771">
        <f>F17</f>
        <v>100</v>
      </c>
      <c r="T17" s="770" t="s">
        <v>21</v>
      </c>
      <c r="U17" s="771">
        <f>H17</f>
        <v>100</v>
      </c>
      <c r="V17" s="770" t="s">
        <v>21</v>
      </c>
      <c r="W17" s="771">
        <f>J17</f>
        <v>100</v>
      </c>
      <c r="X17" s="1793"/>
      <c r="Y17" s="3751"/>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749"/>
      <c r="Q18" s="1790"/>
      <c r="R18" s="770"/>
      <c r="S18" s="771"/>
      <c r="T18" s="770"/>
      <c r="U18" s="771"/>
      <c r="V18" s="770"/>
      <c r="W18" s="771"/>
      <c r="X18" s="1793"/>
      <c r="Y18" s="3751"/>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749"/>
      <c r="Q19" s="1790" t="str">
        <f>B19</f>
        <v>公共配套设施</v>
      </c>
      <c r="R19" s="770" t="s">
        <v>21</v>
      </c>
      <c r="S19" s="771">
        <f>F19</f>
        <v>100</v>
      </c>
      <c r="T19" s="770" t="s">
        <v>21</v>
      </c>
      <c r="U19" s="771">
        <f>H19</f>
        <v>100</v>
      </c>
      <c r="V19" s="770" t="s">
        <v>21</v>
      </c>
      <c r="W19" s="771">
        <f>J19</f>
        <v>100</v>
      </c>
      <c r="X19" s="1793"/>
      <c r="Y19" s="3751"/>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749"/>
      <c r="Q20" s="1790"/>
      <c r="R20" s="770"/>
      <c r="S20" s="771"/>
      <c r="T20" s="770"/>
      <c r="U20" s="771"/>
      <c r="V20" s="770"/>
      <c r="W20" s="771"/>
      <c r="X20" s="1793"/>
      <c r="Y20" s="3751"/>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749"/>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749"/>
      <c r="Q22" s="1790"/>
      <c r="R22" s="770"/>
      <c r="S22" s="771"/>
      <c r="T22" s="770"/>
      <c r="U22" s="771"/>
      <c r="V22" s="770"/>
      <c r="W22" s="771"/>
      <c r="X22" s="1793"/>
      <c r="Y22" s="3751"/>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749"/>
      <c r="Q23" s="1790" t="str">
        <f>B23</f>
        <v>自然及人文环境</v>
      </c>
      <c r="R23" s="770" t="s">
        <v>21</v>
      </c>
      <c r="S23" s="771">
        <f>F23</f>
        <v>100</v>
      </c>
      <c r="T23" s="770" t="s">
        <v>21</v>
      </c>
      <c r="U23" s="771">
        <f>H23</f>
        <v>100</v>
      </c>
      <c r="V23" s="770" t="s">
        <v>21</v>
      </c>
      <c r="W23" s="771">
        <f>J23</f>
        <v>100</v>
      </c>
      <c r="X23" s="1793"/>
      <c r="Y23" s="3751"/>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749"/>
      <c r="Q24" s="1790"/>
      <c r="R24" s="770"/>
      <c r="S24" s="771"/>
      <c r="T24" s="770"/>
      <c r="U24" s="771"/>
      <c r="V24" s="770"/>
      <c r="W24" s="771"/>
      <c r="X24" s="1793"/>
      <c r="Y24" s="3751"/>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749"/>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751"/>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749"/>
      <c r="Q26" s="1790" t="str">
        <f t="shared" si="11"/>
        <v>朝向</v>
      </c>
      <c r="R26" s="770" t="s">
        <v>21</v>
      </c>
      <c r="S26" s="771">
        <f t="shared" si="12"/>
        <v>100</v>
      </c>
      <c r="T26" s="770" t="s">
        <v>21</v>
      </c>
      <c r="U26" s="771">
        <f t="shared" si="13"/>
        <v>100</v>
      </c>
      <c r="V26" s="770" t="s">
        <v>21</v>
      </c>
      <c r="W26" s="771">
        <f t="shared" si="14"/>
        <v>100</v>
      </c>
      <c r="X26" s="1793"/>
      <c r="Y26" s="3751"/>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749"/>
      <c r="Q27" s="1775">
        <f t="shared" si="11"/>
        <v>111</v>
      </c>
      <c r="R27" s="766" t="s">
        <v>21</v>
      </c>
      <c r="S27" s="767">
        <f t="shared" si="12"/>
        <v>100</v>
      </c>
      <c r="T27" s="766" t="s">
        <v>21</v>
      </c>
      <c r="U27" s="767">
        <f t="shared" si="13"/>
        <v>100</v>
      </c>
      <c r="V27" s="766" t="s">
        <v>21</v>
      </c>
      <c r="W27" s="767">
        <f t="shared" si="14"/>
        <v>100</v>
      </c>
      <c r="X27" s="768"/>
      <c r="Y27" s="3751"/>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749"/>
      <c r="Q28" s="1790">
        <f t="shared" si="11"/>
        <v>111</v>
      </c>
      <c r="R28" s="770" t="s">
        <v>21</v>
      </c>
      <c r="S28" s="771">
        <f t="shared" si="12"/>
        <v>100</v>
      </c>
      <c r="T28" s="770" t="s">
        <v>21</v>
      </c>
      <c r="U28" s="771">
        <f t="shared" si="13"/>
        <v>100</v>
      </c>
      <c r="V28" s="770" t="s">
        <v>21</v>
      </c>
      <c r="W28" s="771">
        <f t="shared" si="14"/>
        <v>100</v>
      </c>
      <c r="X28" s="1793"/>
      <c r="Y28" s="3751"/>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749"/>
      <c r="Q29" s="1790">
        <f t="shared" si="11"/>
        <v>111</v>
      </c>
      <c r="R29" s="770" t="s">
        <v>21</v>
      </c>
      <c r="S29" s="771">
        <f t="shared" si="12"/>
        <v>100</v>
      </c>
      <c r="T29" s="770" t="s">
        <v>21</v>
      </c>
      <c r="U29" s="771">
        <f t="shared" si="13"/>
        <v>100</v>
      </c>
      <c r="V29" s="770" t="s">
        <v>21</v>
      </c>
      <c r="W29" s="771">
        <f t="shared" si="14"/>
        <v>100</v>
      </c>
      <c r="X29" s="1793"/>
      <c r="Y29" s="3751"/>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749"/>
      <c r="Q30" s="1790">
        <f t="shared" si="11"/>
        <v>111</v>
      </c>
      <c r="R30" s="770" t="s">
        <v>21</v>
      </c>
      <c r="S30" s="771">
        <f t="shared" si="12"/>
        <v>100</v>
      </c>
      <c r="T30" s="770" t="s">
        <v>21</v>
      </c>
      <c r="U30" s="771">
        <f t="shared" si="13"/>
        <v>100</v>
      </c>
      <c r="V30" s="770" t="s">
        <v>21</v>
      </c>
      <c r="W30" s="771">
        <f t="shared" si="14"/>
        <v>100</v>
      </c>
      <c r="X30" s="1793"/>
      <c r="Y30" s="3751"/>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749"/>
      <c r="Q31" s="1790">
        <f t="shared" si="11"/>
        <v>111</v>
      </c>
      <c r="R31" s="770" t="s">
        <v>21</v>
      </c>
      <c r="S31" s="771">
        <f t="shared" si="12"/>
        <v>100</v>
      </c>
      <c r="T31" s="770" t="s">
        <v>21</v>
      </c>
      <c r="U31" s="771">
        <f t="shared" si="13"/>
        <v>100</v>
      </c>
      <c r="V31" s="770" t="s">
        <v>21</v>
      </c>
      <c r="W31" s="771">
        <f t="shared" si="14"/>
        <v>100</v>
      </c>
      <c r="X31" s="1793"/>
      <c r="Y31" s="3751"/>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752" t="s">
        <v>2553</v>
      </c>
      <c r="Q32" s="1790" t="str">
        <f t="shared" si="11"/>
        <v>建筑类型</v>
      </c>
      <c r="R32" s="770" t="s">
        <v>21</v>
      </c>
      <c r="S32" s="771">
        <f t="shared" si="12"/>
        <v>100</v>
      </c>
      <c r="T32" s="770" t="s">
        <v>21</v>
      </c>
      <c r="U32" s="771">
        <f t="shared" si="13"/>
        <v>100</v>
      </c>
      <c r="V32" s="770" t="s">
        <v>21</v>
      </c>
      <c r="W32" s="771">
        <f t="shared" si="14"/>
        <v>100</v>
      </c>
      <c r="X32" s="1793"/>
      <c r="Y32" s="3755"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753"/>
      <c r="Q33" s="772" t="str">
        <f t="shared" si="11"/>
        <v>项目建筑规模</v>
      </c>
      <c r="R33" s="773" t="s">
        <v>21</v>
      </c>
      <c r="S33" s="774" t="e">
        <f t="shared" si="12"/>
        <v>#N/A</v>
      </c>
      <c r="T33" s="773" t="s">
        <v>21</v>
      </c>
      <c r="U33" s="774" t="e">
        <f t="shared" si="13"/>
        <v>#N/A</v>
      </c>
      <c r="V33" s="773" t="s">
        <v>21</v>
      </c>
      <c r="W33" s="774" t="e">
        <f t="shared" si="14"/>
        <v>#N/A</v>
      </c>
      <c r="X33" s="775"/>
      <c r="Y33" s="3755"/>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753"/>
      <c r="Q34" s="1790" t="str">
        <f t="shared" si="11"/>
        <v>建筑结构</v>
      </c>
      <c r="R34" s="770" t="s">
        <v>21</v>
      </c>
      <c r="S34" s="771">
        <f t="shared" si="12"/>
        <v>100</v>
      </c>
      <c r="T34" s="770" t="s">
        <v>21</v>
      </c>
      <c r="U34" s="771">
        <f t="shared" si="13"/>
        <v>100</v>
      </c>
      <c r="V34" s="770" t="s">
        <v>21</v>
      </c>
      <c r="W34" s="771">
        <f t="shared" si="14"/>
        <v>100</v>
      </c>
      <c r="X34" s="1793"/>
      <c r="Y34" s="3755"/>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753"/>
      <c r="Q35" s="1790" t="str">
        <f t="shared" si="11"/>
        <v>建筑品质</v>
      </c>
      <c r="R35" s="770" t="s">
        <v>21</v>
      </c>
      <c r="S35" s="771">
        <f t="shared" si="12"/>
        <v>100</v>
      </c>
      <c r="T35" s="770" t="s">
        <v>21</v>
      </c>
      <c r="U35" s="771">
        <f t="shared" si="13"/>
        <v>100</v>
      </c>
      <c r="V35" s="770" t="s">
        <v>21</v>
      </c>
      <c r="W35" s="771">
        <f t="shared" si="14"/>
        <v>100</v>
      </c>
      <c r="X35" s="1793"/>
      <c r="Y35" s="3755"/>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753"/>
      <c r="Q36" s="1790" t="str">
        <f t="shared" si="11"/>
        <v>公共部分装修</v>
      </c>
      <c r="R36" s="770" t="s">
        <v>21</v>
      </c>
      <c r="S36" s="771">
        <f t="shared" si="12"/>
        <v>100</v>
      </c>
      <c r="T36" s="770" t="s">
        <v>21</v>
      </c>
      <c r="U36" s="771">
        <f t="shared" si="13"/>
        <v>100</v>
      </c>
      <c r="V36" s="770" t="s">
        <v>21</v>
      </c>
      <c r="W36" s="771">
        <f t="shared" si="14"/>
        <v>100</v>
      </c>
      <c r="X36" s="1793"/>
      <c r="Y36" s="3755"/>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753"/>
      <c r="Q37" s="1775" t="str">
        <f t="shared" si="11"/>
        <v>成新度</v>
      </c>
      <c r="R37" s="766" t="s">
        <v>21</v>
      </c>
      <c r="S37" s="767" t="e">
        <f t="shared" si="12"/>
        <v>#N/A</v>
      </c>
      <c r="T37" s="766" t="s">
        <v>21</v>
      </c>
      <c r="U37" s="767" t="e">
        <f t="shared" si="13"/>
        <v>#N/A</v>
      </c>
      <c r="V37" s="766" t="s">
        <v>21</v>
      </c>
      <c r="W37" s="767" t="e">
        <f t="shared" si="14"/>
        <v>#N/A</v>
      </c>
      <c r="X37" s="768"/>
      <c r="Y37" s="3755"/>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753" t="s">
        <v>2553</v>
      </c>
      <c r="Q38" s="1790" t="str">
        <f t="shared" si="11"/>
        <v>物业管理</v>
      </c>
      <c r="R38" s="770" t="s">
        <v>21</v>
      </c>
      <c r="S38" s="771">
        <f t="shared" si="12"/>
        <v>100</v>
      </c>
      <c r="T38" s="770" t="s">
        <v>21</v>
      </c>
      <c r="U38" s="771">
        <f t="shared" si="13"/>
        <v>100</v>
      </c>
      <c r="V38" s="770" t="s">
        <v>21</v>
      </c>
      <c r="W38" s="771">
        <f t="shared" si="14"/>
        <v>100</v>
      </c>
      <c r="X38" s="1793"/>
      <c r="Y38" s="3755"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753"/>
      <c r="Q39" s="1790" t="str">
        <f t="shared" si="11"/>
        <v>市政基础设施</v>
      </c>
      <c r="R39" s="770" t="s">
        <v>21</v>
      </c>
      <c r="S39" s="771">
        <f t="shared" si="12"/>
        <v>100</v>
      </c>
      <c r="T39" s="770" t="s">
        <v>21</v>
      </c>
      <c r="U39" s="771">
        <f t="shared" si="13"/>
        <v>100</v>
      </c>
      <c r="V39" s="770" t="s">
        <v>21</v>
      </c>
      <c r="W39" s="771">
        <f t="shared" si="14"/>
        <v>100</v>
      </c>
      <c r="X39" s="1793"/>
      <c r="Y39" s="3755"/>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753"/>
      <c r="Q40" s="1790" t="str">
        <f t="shared" si="11"/>
        <v>房型</v>
      </c>
      <c r="R40" s="770" t="s">
        <v>21</v>
      </c>
      <c r="S40" s="771">
        <f t="shared" si="12"/>
        <v>100</v>
      </c>
      <c r="T40" s="770" t="s">
        <v>21</v>
      </c>
      <c r="U40" s="771">
        <f t="shared" si="13"/>
        <v>100</v>
      </c>
      <c r="V40" s="770" t="s">
        <v>21</v>
      </c>
      <c r="W40" s="771">
        <f t="shared" si="14"/>
        <v>100</v>
      </c>
      <c r="X40" s="1793"/>
      <c r="Y40" s="3755"/>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753"/>
      <c r="Q41" s="772" t="str">
        <f t="shared" si="11"/>
        <v>单套/主力户型建筑面积</v>
      </c>
      <c r="R41" s="773" t="s">
        <v>21</v>
      </c>
      <c r="S41" s="774">
        <f t="shared" si="12"/>
        <v>100</v>
      </c>
      <c r="T41" s="773" t="s">
        <v>21</v>
      </c>
      <c r="U41" s="774">
        <f t="shared" si="13"/>
        <v>100</v>
      </c>
      <c r="V41" s="773" t="s">
        <v>21</v>
      </c>
      <c r="W41" s="774">
        <f t="shared" si="14"/>
        <v>100</v>
      </c>
      <c r="X41" s="775"/>
      <c r="Y41" s="3755"/>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753"/>
      <c r="Q42" s="1790" t="str">
        <f t="shared" si="11"/>
        <v>内部装修</v>
      </c>
      <c r="R42" s="770" t="s">
        <v>21</v>
      </c>
      <c r="S42" s="771">
        <f t="shared" si="12"/>
        <v>100</v>
      </c>
      <c r="T42" s="770" t="s">
        <v>21</v>
      </c>
      <c r="U42" s="771">
        <f t="shared" si="13"/>
        <v>100</v>
      </c>
      <c r="V42" s="770" t="s">
        <v>21</v>
      </c>
      <c r="W42" s="771">
        <f t="shared" si="14"/>
        <v>100</v>
      </c>
      <c r="X42" s="1793"/>
      <c r="Y42" s="3755"/>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753"/>
      <c r="Q43" s="1790" t="str">
        <f t="shared" si="11"/>
        <v>内部装修维护情况</v>
      </c>
      <c r="R43" s="770" t="s">
        <v>21</v>
      </c>
      <c r="S43" s="771">
        <f t="shared" si="12"/>
        <v>100</v>
      </c>
      <c r="T43" s="770" t="s">
        <v>21</v>
      </c>
      <c r="U43" s="771">
        <f t="shared" si="13"/>
        <v>100</v>
      </c>
      <c r="V43" s="770" t="s">
        <v>21</v>
      </c>
      <c r="W43" s="771">
        <f t="shared" si="14"/>
        <v>100</v>
      </c>
      <c r="X43" s="1793"/>
      <c r="Y43" s="3755"/>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753"/>
      <c r="Q44" s="1775">
        <f t="shared" si="11"/>
        <v>111</v>
      </c>
      <c r="R44" s="766" t="s">
        <v>21</v>
      </c>
      <c r="S44" s="767">
        <f t="shared" si="12"/>
        <v>100</v>
      </c>
      <c r="T44" s="766" t="s">
        <v>21</v>
      </c>
      <c r="U44" s="767">
        <f t="shared" si="13"/>
        <v>100</v>
      </c>
      <c r="V44" s="766" t="s">
        <v>21</v>
      </c>
      <c r="W44" s="767">
        <f t="shared" si="14"/>
        <v>100</v>
      </c>
      <c r="X44" s="768"/>
      <c r="Y44" s="3755"/>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753"/>
      <c r="Q45" s="1790">
        <f t="shared" si="11"/>
        <v>111</v>
      </c>
      <c r="R45" s="770" t="s">
        <v>21</v>
      </c>
      <c r="S45" s="771">
        <f t="shared" si="12"/>
        <v>100</v>
      </c>
      <c r="T45" s="770" t="s">
        <v>21</v>
      </c>
      <c r="U45" s="771">
        <f t="shared" si="13"/>
        <v>100</v>
      </c>
      <c r="V45" s="770" t="s">
        <v>21</v>
      </c>
      <c r="W45" s="771">
        <f t="shared" si="14"/>
        <v>100</v>
      </c>
      <c r="X45" s="1793"/>
      <c r="Y45" s="3755"/>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754"/>
      <c r="Q46" s="1790">
        <f t="shared" si="11"/>
        <v>111</v>
      </c>
      <c r="R46" s="770" t="s">
        <v>20</v>
      </c>
      <c r="S46" s="771">
        <f t="shared" si="12"/>
        <v>100</v>
      </c>
      <c r="T46" s="770" t="s">
        <v>20</v>
      </c>
      <c r="U46" s="771">
        <f t="shared" si="13"/>
        <v>100</v>
      </c>
      <c r="V46" s="770" t="s">
        <v>20</v>
      </c>
      <c r="W46" s="771">
        <f t="shared" si="14"/>
        <v>100</v>
      </c>
      <c r="X46" s="1793"/>
      <c r="Y46" s="3756"/>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757" t="str">
        <f>A47</f>
        <v>成交单价（元/平方米）</v>
      </c>
      <c r="Q47" s="3757"/>
      <c r="R47" s="3758">
        <f>E47</f>
        <v>0</v>
      </c>
      <c r="S47" s="3758"/>
      <c r="T47" s="3758">
        <f>G47</f>
        <v>0</v>
      </c>
      <c r="U47" s="3758"/>
      <c r="V47" s="3758">
        <f>I47</f>
        <v>0</v>
      </c>
      <c r="W47" s="3758"/>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757" t="str">
        <f>A48</f>
        <v>比较价值（元/平方米）</v>
      </c>
      <c r="Q48" s="3757"/>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759" t="str">
        <f>A49</f>
        <v>估价对象XX用房的比较价值（楼面单价，元/平方米）</v>
      </c>
      <c r="Q49" s="3760"/>
      <c r="R49" s="3761" t="e">
        <f>IF(F1="售价",ROUND(AVERAGE(R48:V48),0),ROUND(AVERAGE(R48:V48),1))</f>
        <v>#DIV/0!</v>
      </c>
      <c r="S49" s="3761"/>
      <c r="T49" s="3761"/>
      <c r="U49" s="3761"/>
      <c r="V49" s="3761"/>
      <c r="W49" s="3761"/>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44104.409999999996</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ht="15">
      <c r="A5" s="403"/>
      <c r="B5" s="404"/>
      <c r="C5" s="3791" t="s">
        <v>2530</v>
      </c>
      <c r="D5" s="3792"/>
      <c r="E5" s="3789" t="s">
        <v>2531</v>
      </c>
      <c r="F5" s="3790"/>
      <c r="G5" s="3791" t="s">
        <v>2532</v>
      </c>
      <c r="H5" s="3792"/>
      <c r="I5" s="3791" t="s">
        <v>2533</v>
      </c>
      <c r="J5" s="3792"/>
      <c r="K5" s="609"/>
      <c r="L5" s="1113"/>
      <c r="M5" s="1114"/>
      <c r="N5" s="1114"/>
      <c r="O5" s="1114"/>
      <c r="P5" s="3741"/>
      <c r="Q5" s="3742"/>
      <c r="R5" s="3724"/>
      <c r="S5" s="3725"/>
      <c r="T5" s="3724"/>
      <c r="U5" s="3725"/>
      <c r="V5" s="3719"/>
      <c r="W5" s="3719"/>
      <c r="X5" s="1793"/>
      <c r="Y5" s="3724"/>
      <c r="Z5" s="3725"/>
      <c r="AA5" s="3717"/>
      <c r="AB5" s="3717"/>
      <c r="AC5" s="3717"/>
    </row>
    <row r="6" spans="1:29" ht="15.7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720" t="s">
        <v>2537</v>
      </c>
      <c r="Q7" s="3747"/>
      <c r="R7" s="766" t="s">
        <v>17</v>
      </c>
      <c r="S7" s="767">
        <f t="shared" ref="S7:S15" si="0">F7</f>
        <v>0</v>
      </c>
      <c r="T7" s="766" t="s">
        <v>17</v>
      </c>
      <c r="U7" s="767">
        <f t="shared" ref="U7:U15" si="1">H7</f>
        <v>0</v>
      </c>
      <c r="V7" s="766" t="s">
        <v>17</v>
      </c>
      <c r="W7" s="767">
        <f t="shared" ref="W7:W15" si="2">J7</f>
        <v>0</v>
      </c>
      <c r="X7" s="768"/>
      <c r="Y7" s="3720" t="s">
        <v>2537</v>
      </c>
      <c r="Z7" s="3721"/>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720" t="s">
        <v>2540</v>
      </c>
      <c r="Q8" s="3721"/>
      <c r="R8" s="766" t="s">
        <v>17</v>
      </c>
      <c r="S8" s="767">
        <f t="shared" si="0"/>
        <v>0</v>
      </c>
      <c r="T8" s="766" t="s">
        <v>17</v>
      </c>
      <c r="U8" s="767">
        <f t="shared" si="1"/>
        <v>0</v>
      </c>
      <c r="V8" s="766" t="s">
        <v>17</v>
      </c>
      <c r="W8" s="767">
        <f t="shared" si="2"/>
        <v>0</v>
      </c>
      <c r="X8" s="768"/>
      <c r="Y8" s="3720" t="s">
        <v>2540</v>
      </c>
      <c r="Z8" s="3721"/>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757"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757"/>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757"/>
      <c r="Q11" s="1775" t="str">
        <f t="shared" si="6"/>
        <v>容积率</v>
      </c>
      <c r="R11" s="766" t="s">
        <v>17</v>
      </c>
      <c r="S11" s="767" t="e">
        <f t="shared" si="0"/>
        <v>#N/A</v>
      </c>
      <c r="T11" s="766" t="s">
        <v>17</v>
      </c>
      <c r="U11" s="767" t="e">
        <f t="shared" si="1"/>
        <v>#N/A</v>
      </c>
      <c r="V11" s="766" t="s">
        <v>17</v>
      </c>
      <c r="W11" s="767" t="e">
        <f t="shared" si="2"/>
        <v>#N/A</v>
      </c>
      <c r="X11" s="768"/>
      <c r="Y11" s="3521"/>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757"/>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750" t="s">
        <v>2548</v>
      </c>
      <c r="Q15" s="1790" t="str">
        <f t="shared" si="6"/>
        <v>产业集聚程度</v>
      </c>
      <c r="R15" s="770" t="s">
        <v>17</v>
      </c>
      <c r="S15" s="771">
        <f t="shared" si="0"/>
        <v>100</v>
      </c>
      <c r="T15" s="770" t="s">
        <v>17</v>
      </c>
      <c r="U15" s="771">
        <f t="shared" si="1"/>
        <v>100</v>
      </c>
      <c r="V15" s="770" t="s">
        <v>17</v>
      </c>
      <c r="W15" s="771">
        <f t="shared" si="2"/>
        <v>100</v>
      </c>
      <c r="X15" s="1793"/>
      <c r="Y15" s="3750"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751"/>
      <c r="Q16" s="1790"/>
      <c r="R16" s="770"/>
      <c r="S16" s="771"/>
      <c r="T16" s="770"/>
      <c r="U16" s="771"/>
      <c r="V16" s="770"/>
      <c r="W16" s="771"/>
      <c r="X16" s="1793"/>
      <c r="Y16" s="3751"/>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751"/>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751"/>
      <c r="Q18" s="1790"/>
      <c r="R18" s="770"/>
      <c r="S18" s="771"/>
      <c r="T18" s="770"/>
      <c r="U18" s="771"/>
      <c r="V18" s="770"/>
      <c r="W18" s="771"/>
      <c r="X18" s="1793"/>
      <c r="Y18" s="3751"/>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751"/>
      <c r="Q19" s="1790" t="str">
        <f>B19</f>
        <v>公共配套设施</v>
      </c>
      <c r="R19" s="770" t="s">
        <v>17</v>
      </c>
      <c r="S19" s="771">
        <f>F19</f>
        <v>100</v>
      </c>
      <c r="T19" s="770" t="s">
        <v>17</v>
      </c>
      <c r="U19" s="771">
        <f>H19</f>
        <v>100</v>
      </c>
      <c r="V19" s="770" t="s">
        <v>17</v>
      </c>
      <c r="W19" s="771">
        <f>J19</f>
        <v>100</v>
      </c>
      <c r="X19" s="1793"/>
      <c r="Y19" s="3751"/>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751"/>
      <c r="Q20" s="1790"/>
      <c r="R20" s="770"/>
      <c r="S20" s="771"/>
      <c r="T20" s="770"/>
      <c r="U20" s="771"/>
      <c r="V20" s="770"/>
      <c r="W20" s="771"/>
      <c r="X20" s="1793"/>
      <c r="Y20" s="3751"/>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751"/>
      <c r="Q21" s="1790" t="str">
        <f>B21</f>
        <v>基础设施水平</v>
      </c>
      <c r="R21" s="770" t="s">
        <v>17</v>
      </c>
      <c r="S21" s="771">
        <f>F21</f>
        <v>100</v>
      </c>
      <c r="T21" s="770" t="s">
        <v>17</v>
      </c>
      <c r="U21" s="771">
        <f>H21</f>
        <v>100</v>
      </c>
      <c r="V21" s="770" t="s">
        <v>17</v>
      </c>
      <c r="W21" s="771">
        <f>J21</f>
        <v>100</v>
      </c>
      <c r="X21" s="1793"/>
      <c r="Y21" s="3751"/>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751"/>
      <c r="Q22" s="1790"/>
      <c r="R22" s="770"/>
      <c r="S22" s="771"/>
      <c r="T22" s="770"/>
      <c r="U22" s="771"/>
      <c r="V22" s="770"/>
      <c r="W22" s="771"/>
      <c r="X22" s="1793"/>
      <c r="Y22" s="3751"/>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751"/>
      <c r="Q23" s="1790" t="str">
        <f>B23</f>
        <v>环境质量</v>
      </c>
      <c r="R23" s="770" t="s">
        <v>17</v>
      </c>
      <c r="S23" s="771">
        <f>F23</f>
        <v>100</v>
      </c>
      <c r="T23" s="770" t="s">
        <v>17</v>
      </c>
      <c r="U23" s="771">
        <f>H23</f>
        <v>100</v>
      </c>
      <c r="V23" s="770" t="s">
        <v>17</v>
      </c>
      <c r="W23" s="771">
        <f>J23</f>
        <v>100</v>
      </c>
      <c r="X23" s="1793"/>
      <c r="Y23" s="3751"/>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751"/>
      <c r="Q24" s="1790"/>
      <c r="R24" s="770"/>
      <c r="S24" s="771"/>
      <c r="T24" s="770"/>
      <c r="U24" s="771"/>
      <c r="V24" s="770"/>
      <c r="W24" s="771"/>
      <c r="X24" s="1793"/>
      <c r="Y24" s="3751"/>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751"/>
      <c r="Q25" s="1790">
        <f>B25</f>
        <v>111</v>
      </c>
      <c r="R25" s="770" t="s">
        <v>17</v>
      </c>
      <c r="S25" s="771">
        <f>F25</f>
        <v>100</v>
      </c>
      <c r="T25" s="770" t="s">
        <v>17</v>
      </c>
      <c r="U25" s="771">
        <f>H25</f>
        <v>100</v>
      </c>
      <c r="V25" s="770" t="s">
        <v>17</v>
      </c>
      <c r="W25" s="771">
        <f>J25</f>
        <v>100</v>
      </c>
      <c r="X25" s="1793"/>
      <c r="Y25" s="3751"/>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751"/>
      <c r="Q26" s="1790">
        <f t="shared" ref="Q26:Q40" si="11">B26</f>
        <v>111</v>
      </c>
      <c r="R26" s="770" t="s">
        <v>17</v>
      </c>
      <c r="S26" s="771">
        <f>F26</f>
        <v>100</v>
      </c>
      <c r="T26" s="770" t="s">
        <v>17</v>
      </c>
      <c r="U26" s="771">
        <f>H26</f>
        <v>100</v>
      </c>
      <c r="V26" s="770" t="s">
        <v>17</v>
      </c>
      <c r="W26" s="771">
        <f>J26</f>
        <v>100</v>
      </c>
      <c r="X26" s="1793"/>
      <c r="Y26" s="3751"/>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751"/>
      <c r="Q27" s="1775">
        <f t="shared" si="11"/>
        <v>111</v>
      </c>
      <c r="R27" s="766" t="s">
        <v>17</v>
      </c>
      <c r="S27" s="767">
        <f>F27</f>
        <v>100</v>
      </c>
      <c r="T27" s="766" t="s">
        <v>17</v>
      </c>
      <c r="U27" s="767">
        <f>H27</f>
        <v>100</v>
      </c>
      <c r="V27" s="766" t="s">
        <v>17</v>
      </c>
      <c r="W27" s="767">
        <f>J27</f>
        <v>100</v>
      </c>
      <c r="X27" s="768"/>
      <c r="Y27" s="3751"/>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751"/>
      <c r="Q28" s="1790">
        <f t="shared" si="11"/>
        <v>111</v>
      </c>
      <c r="R28" s="770" t="s">
        <v>17</v>
      </c>
      <c r="S28" s="771">
        <f t="shared" ref="S28:S40" si="12">F28</f>
        <v>100</v>
      </c>
      <c r="T28" s="770" t="s">
        <v>17</v>
      </c>
      <c r="U28" s="771">
        <f t="shared" ref="U28:U40" si="13">H28</f>
        <v>100</v>
      </c>
      <c r="V28" s="770" t="s">
        <v>17</v>
      </c>
      <c r="W28" s="771">
        <f t="shared" ref="W28:W40" si="14">J28</f>
        <v>100</v>
      </c>
      <c r="X28" s="1793"/>
      <c r="Y28" s="3751"/>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93" t="s">
        <v>2553</v>
      </c>
      <c r="Q29" s="1790" t="str">
        <f t="shared" si="11"/>
        <v>建筑类型</v>
      </c>
      <c r="R29" s="770" t="s">
        <v>17</v>
      </c>
      <c r="S29" s="771">
        <f t="shared" si="12"/>
        <v>100</v>
      </c>
      <c r="T29" s="770" t="s">
        <v>17</v>
      </c>
      <c r="U29" s="771">
        <f t="shared" si="13"/>
        <v>100</v>
      </c>
      <c r="V29" s="770" t="s">
        <v>17</v>
      </c>
      <c r="W29" s="771">
        <f t="shared" si="14"/>
        <v>100</v>
      </c>
      <c r="X29" s="1793"/>
      <c r="Y29" s="3755"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755"/>
      <c r="Q30" s="772" t="str">
        <f t="shared" si="11"/>
        <v>项目建筑规模</v>
      </c>
      <c r="R30" s="773" t="s">
        <v>17</v>
      </c>
      <c r="S30" s="774" t="e">
        <f t="shared" si="12"/>
        <v>#N/A</v>
      </c>
      <c r="T30" s="773" t="s">
        <v>17</v>
      </c>
      <c r="U30" s="774" t="e">
        <f t="shared" si="13"/>
        <v>#N/A</v>
      </c>
      <c r="V30" s="773" t="s">
        <v>17</v>
      </c>
      <c r="W30" s="774" t="e">
        <f t="shared" si="14"/>
        <v>#N/A</v>
      </c>
      <c r="X30" s="775"/>
      <c r="Y30" s="3755"/>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755"/>
      <c r="Q31" s="1790" t="str">
        <f t="shared" si="11"/>
        <v>建筑结构</v>
      </c>
      <c r="R31" s="770" t="s">
        <v>17</v>
      </c>
      <c r="S31" s="771">
        <f t="shared" si="12"/>
        <v>100</v>
      </c>
      <c r="T31" s="770" t="s">
        <v>17</v>
      </c>
      <c r="U31" s="771">
        <f t="shared" si="13"/>
        <v>100</v>
      </c>
      <c r="V31" s="770" t="s">
        <v>17</v>
      </c>
      <c r="W31" s="771">
        <f t="shared" si="14"/>
        <v>100</v>
      </c>
      <c r="X31" s="1793"/>
      <c r="Y31" s="3755"/>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755"/>
      <c r="Q32" s="1790" t="str">
        <f t="shared" si="11"/>
        <v>公共部分装修</v>
      </c>
      <c r="R32" s="770" t="s">
        <v>17</v>
      </c>
      <c r="S32" s="771">
        <f t="shared" si="12"/>
        <v>100</v>
      </c>
      <c r="T32" s="770" t="s">
        <v>17</v>
      </c>
      <c r="U32" s="771">
        <f t="shared" si="13"/>
        <v>100</v>
      </c>
      <c r="V32" s="770" t="s">
        <v>17</v>
      </c>
      <c r="W32" s="771">
        <f t="shared" si="14"/>
        <v>100</v>
      </c>
      <c r="X32" s="1793"/>
      <c r="Y32" s="3755"/>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755"/>
      <c r="Q33" s="1790" t="str">
        <f t="shared" si="11"/>
        <v>成新度</v>
      </c>
      <c r="R33" s="770" t="s">
        <v>17</v>
      </c>
      <c r="S33" s="771" t="e">
        <f t="shared" si="12"/>
        <v>#N/A</v>
      </c>
      <c r="T33" s="770" t="s">
        <v>17</v>
      </c>
      <c r="U33" s="771" t="e">
        <f t="shared" si="13"/>
        <v>#N/A</v>
      </c>
      <c r="V33" s="770" t="s">
        <v>17</v>
      </c>
      <c r="W33" s="771" t="e">
        <f t="shared" si="14"/>
        <v>#N/A</v>
      </c>
      <c r="X33" s="1793"/>
      <c r="Y33" s="3755"/>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755"/>
      <c r="Q34" s="1775" t="str">
        <f t="shared" si="11"/>
        <v>物业管理</v>
      </c>
      <c r="R34" s="766" t="s">
        <v>17</v>
      </c>
      <c r="S34" s="767">
        <f t="shared" si="12"/>
        <v>100</v>
      </c>
      <c r="T34" s="766" t="s">
        <v>17</v>
      </c>
      <c r="U34" s="767">
        <f t="shared" si="13"/>
        <v>100</v>
      </c>
      <c r="V34" s="766" t="s">
        <v>17</v>
      </c>
      <c r="W34" s="767">
        <f t="shared" si="14"/>
        <v>100</v>
      </c>
      <c r="X34" s="768"/>
      <c r="Y34" s="3755"/>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755" t="s">
        <v>2553</v>
      </c>
      <c r="Q35" s="1790" t="str">
        <f t="shared" si="11"/>
        <v>市政基础设施</v>
      </c>
      <c r="R35" s="770" t="s">
        <v>17</v>
      </c>
      <c r="S35" s="771">
        <f t="shared" si="12"/>
        <v>100</v>
      </c>
      <c r="T35" s="770" t="s">
        <v>17</v>
      </c>
      <c r="U35" s="771">
        <f t="shared" si="13"/>
        <v>100</v>
      </c>
      <c r="V35" s="770" t="s">
        <v>17</v>
      </c>
      <c r="W35" s="771">
        <f t="shared" si="14"/>
        <v>100</v>
      </c>
      <c r="X35" s="1793"/>
      <c r="Y35" s="3755"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755"/>
      <c r="Q36" s="1790" t="str">
        <f t="shared" si="11"/>
        <v>内部装修</v>
      </c>
      <c r="R36" s="770" t="s">
        <v>17</v>
      </c>
      <c r="S36" s="771">
        <f t="shared" si="12"/>
        <v>100</v>
      </c>
      <c r="T36" s="770" t="s">
        <v>17</v>
      </c>
      <c r="U36" s="771">
        <f t="shared" si="13"/>
        <v>100</v>
      </c>
      <c r="V36" s="770" t="s">
        <v>17</v>
      </c>
      <c r="W36" s="771">
        <f t="shared" si="14"/>
        <v>100</v>
      </c>
      <c r="X36" s="1793"/>
      <c r="Y36" s="3755"/>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755"/>
      <c r="Q37" s="1790" t="str">
        <f t="shared" si="11"/>
        <v>内部装修状况</v>
      </c>
      <c r="R37" s="770" t="s">
        <v>17</v>
      </c>
      <c r="S37" s="771">
        <f t="shared" si="12"/>
        <v>100</v>
      </c>
      <c r="T37" s="770" t="s">
        <v>17</v>
      </c>
      <c r="U37" s="771">
        <f t="shared" si="13"/>
        <v>100</v>
      </c>
      <c r="V37" s="770" t="s">
        <v>17</v>
      </c>
      <c r="W37" s="771">
        <f t="shared" si="14"/>
        <v>100</v>
      </c>
      <c r="X37" s="1793"/>
      <c r="Y37" s="3755"/>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755"/>
      <c r="Q38" s="772">
        <f t="shared" si="11"/>
        <v>111</v>
      </c>
      <c r="R38" s="773" t="s">
        <v>17</v>
      </c>
      <c r="S38" s="774">
        <f t="shared" si="12"/>
        <v>100</v>
      </c>
      <c r="T38" s="773" t="s">
        <v>17</v>
      </c>
      <c r="U38" s="774">
        <f t="shared" si="13"/>
        <v>100</v>
      </c>
      <c r="V38" s="773" t="s">
        <v>17</v>
      </c>
      <c r="W38" s="774">
        <f t="shared" si="14"/>
        <v>100</v>
      </c>
      <c r="X38" s="775"/>
      <c r="Y38" s="3755"/>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755"/>
      <c r="Q39" s="1790">
        <f t="shared" si="11"/>
        <v>111</v>
      </c>
      <c r="R39" s="770" t="s">
        <v>17</v>
      </c>
      <c r="S39" s="771">
        <f t="shared" si="12"/>
        <v>100</v>
      </c>
      <c r="T39" s="770" t="s">
        <v>17</v>
      </c>
      <c r="U39" s="771">
        <f t="shared" si="13"/>
        <v>100</v>
      </c>
      <c r="V39" s="770" t="s">
        <v>17</v>
      </c>
      <c r="W39" s="771">
        <f t="shared" si="14"/>
        <v>100</v>
      </c>
      <c r="X39" s="1793"/>
      <c r="Y39" s="3755"/>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756"/>
      <c r="Q40" s="1790">
        <f t="shared" si="11"/>
        <v>111</v>
      </c>
      <c r="R40" s="770" t="s">
        <v>17</v>
      </c>
      <c r="S40" s="771">
        <f t="shared" si="12"/>
        <v>100</v>
      </c>
      <c r="T40" s="770" t="s">
        <v>17</v>
      </c>
      <c r="U40" s="771">
        <f t="shared" si="13"/>
        <v>100</v>
      </c>
      <c r="V40" s="770" t="s">
        <v>17</v>
      </c>
      <c r="W40" s="771">
        <f t="shared" si="14"/>
        <v>100</v>
      </c>
      <c r="X40" s="1793"/>
      <c r="Y40" s="3756"/>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757" t="str">
        <f>A41</f>
        <v>成交单价（元/平方米）</v>
      </c>
      <c r="Q41" s="3757"/>
      <c r="R41" s="3758">
        <f>E41</f>
        <v>0</v>
      </c>
      <c r="S41" s="3758"/>
      <c r="T41" s="3758">
        <f>G41</f>
        <v>0</v>
      </c>
      <c r="U41" s="3758"/>
      <c r="V41" s="3758">
        <f>I41</f>
        <v>0</v>
      </c>
      <c r="W41" s="3758"/>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757" t="str">
        <f>A42</f>
        <v>比较价值（元/平方米）</v>
      </c>
      <c r="Q42" s="3757"/>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759" t="str">
        <f>A43</f>
        <v>估价对象XX用房的比较价值（楼面单价，元/平方米）</v>
      </c>
      <c r="Q43" s="3760"/>
      <c r="R43" s="3761" t="e">
        <f>IF(F1="售价",ROUND(AVERAGE(R42:V42),0),ROUND(AVERAGE(R42:V42),1))</f>
        <v>#DIV/0!</v>
      </c>
      <c r="S43" s="3761"/>
      <c r="T43" s="3761"/>
      <c r="U43" s="3761"/>
      <c r="V43" s="3761"/>
      <c r="W43" s="3761"/>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1680</v>
      </c>
      <c r="C2" s="2539" t="s">
        <v>2507</v>
      </c>
      <c r="D2" s="2540" t="s">
        <v>2508</v>
      </c>
      <c r="E2" s="2541">
        <f>SUM(E6:E13)</f>
        <v>440.33</v>
      </c>
    </row>
    <row r="3" spans="1:6" ht="15.75">
      <c r="A3" s="2537" t="s">
        <v>1383</v>
      </c>
      <c r="B3" s="2538">
        <f ca="1">ROUND(B2*10000/E2,0)</f>
        <v>38153</v>
      </c>
      <c r="C3" s="2539" t="s">
        <v>2515</v>
      </c>
      <c r="D3" s="2542"/>
      <c r="E3" s="2543"/>
    </row>
    <row r="4" spans="1:6" ht="15.75">
      <c r="A4" s="2544"/>
      <c r="B4" s="2542"/>
      <c r="C4" s="2542"/>
      <c r="D4" s="2542"/>
      <c r="E4" s="2543"/>
    </row>
    <row r="5" spans="1:6" ht="15">
      <c r="A5" s="2545" t="s">
        <v>2509</v>
      </c>
      <c r="B5" s="3771" t="s">
        <v>2510</v>
      </c>
      <c r="C5" s="3771"/>
      <c r="D5" s="2546"/>
      <c r="E5" s="2547" t="s">
        <v>2511</v>
      </c>
      <c r="F5" s="2548" t="s">
        <v>2512</v>
      </c>
    </row>
    <row r="6" spans="1:6">
      <c r="A6" s="2549" t="str">
        <f>'数据-取费表'!AN6</f>
        <v>收益法商租</v>
      </c>
      <c r="B6" s="2548">
        <f>IF(F6="是",'数据-取费表'!AO6,0)</f>
        <v>0</v>
      </c>
      <c r="C6" s="2539" t="s">
        <v>2507</v>
      </c>
      <c r="D6" s="2542"/>
      <c r="E6" s="2550">
        <f>IF(OR(A6=0,F6="否"),0,'数据-取费表'!K6+'数据-取费表'!S6)</f>
        <v>0</v>
      </c>
      <c r="F6" s="2551" t="s">
        <v>3095</v>
      </c>
    </row>
    <row r="7" spans="1:6">
      <c r="A7" s="2549" t="str">
        <f>'数据-取费表'!AN7</f>
        <v>收益法商自</v>
      </c>
      <c r="B7" s="2548">
        <f>IF(F7="是",'数据-取费表'!AO7,0)</f>
        <v>0</v>
      </c>
      <c r="C7" s="2539" t="s">
        <v>2507</v>
      </c>
      <c r="D7" s="2542"/>
      <c r="E7" s="2550">
        <f>IF(OR(A7=0,F7="否"),0,'数据-取费表'!K7+'数据-取费表'!S7)</f>
        <v>0</v>
      </c>
      <c r="F7" s="2551" t="s">
        <v>3095</v>
      </c>
    </row>
    <row r="8" spans="1:6">
      <c r="A8" s="2549" t="str">
        <f>'数据-取费表'!AN8</f>
        <v>收益法1号楼</v>
      </c>
      <c r="B8" s="2548">
        <f ca="1">IF(F8="是",'数据-取费表'!AO8,0)</f>
        <v>1469</v>
      </c>
      <c r="C8" s="2539" t="s">
        <v>2507</v>
      </c>
      <c r="D8" s="2542"/>
      <c r="E8" s="2550">
        <f>IF(OR(A8=0,F8="否"),0,'数据-取费表'!K8+'数据-取费表'!S8)</f>
        <v>406.9</v>
      </c>
      <c r="F8" s="2551" t="s">
        <v>2513</v>
      </c>
    </row>
    <row r="9" spans="1:6">
      <c r="A9" s="2549" t="str">
        <f>'数据-取费表'!AN9</f>
        <v>收益法2号楼</v>
      </c>
      <c r="B9" s="2548">
        <f ca="1">IF(F9="是",'数据-取费表'!AO9,0)</f>
        <v>211</v>
      </c>
      <c r="C9" s="2539" t="s">
        <v>2507</v>
      </c>
      <c r="D9" s="2542"/>
      <c r="E9" s="2550">
        <f>IF(OR(A9=0,F9="否"),0,'数据-取费表'!K9+'数据-取费表'!S9)</f>
        <v>33.43</v>
      </c>
      <c r="F9" s="2551" t="s">
        <v>2513</v>
      </c>
    </row>
    <row r="10" spans="1:6">
      <c r="A10" s="2549">
        <f>'数据-取费表'!AN10</f>
        <v>0</v>
      </c>
      <c r="B10" s="2548">
        <f>IF(F10="是",'数据-取费表'!AO10,0)</f>
        <v>0</v>
      </c>
      <c r="C10" s="2539" t="s">
        <v>2507</v>
      </c>
      <c r="D10" s="2542"/>
      <c r="E10" s="2550">
        <f>IF(OR(A10=0,F10="否"),0,'数据-取费表'!K10+'数据-取费表'!S10)</f>
        <v>0</v>
      </c>
      <c r="F10" s="2551" t="s">
        <v>3095</v>
      </c>
    </row>
    <row r="11" spans="1:6">
      <c r="A11" s="2549">
        <f>'数据-取费表'!AN11</f>
        <v>0</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2.75">
      <c r="A3" s="3651" t="s">
        <v>2107</v>
      </c>
      <c r="B3" s="3652"/>
      <c r="C3" s="3652"/>
      <c r="D3" s="3652"/>
      <c r="E3" s="3652"/>
      <c r="F3" s="3652"/>
      <c r="G3" s="3652"/>
      <c r="H3" s="3652"/>
      <c r="I3" s="3652"/>
    </row>
    <row r="4" spans="1:12" ht="14.25">
      <c r="A4" s="2396" t="s">
        <v>2108</v>
      </c>
      <c r="B4" s="2397" t="s">
        <v>2109</v>
      </c>
      <c r="C4" s="2398" t="s">
        <v>3651</v>
      </c>
      <c r="D4" s="2398" t="s">
        <v>3648</v>
      </c>
      <c r="E4" s="3635" t="s">
        <v>2110</v>
      </c>
      <c r="F4" s="3645"/>
      <c r="G4" s="3645"/>
      <c r="H4" s="3645"/>
      <c r="I4" s="3636"/>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26" t="s">
        <v>2111</v>
      </c>
      <c r="B5" s="3521">
        <v>25</v>
      </c>
      <c r="C5" s="3653"/>
      <c r="D5" s="3641"/>
      <c r="E5" s="140" t="s">
        <v>2112</v>
      </c>
      <c r="F5" s="2400"/>
      <c r="G5" s="2400"/>
      <c r="H5" s="2400"/>
      <c r="I5" s="1811"/>
    </row>
    <row r="6" spans="1:12" ht="12.75">
      <c r="A6" s="3626"/>
      <c r="B6" s="3521"/>
      <c r="C6" s="3655"/>
      <c r="D6" s="3641"/>
      <c r="E6" s="140" t="s">
        <v>2113</v>
      </c>
      <c r="F6" s="2400"/>
      <c r="G6" s="2400"/>
      <c r="H6" s="2400"/>
      <c r="I6" s="1811"/>
    </row>
    <row r="7" spans="1:12" ht="12.75">
      <c r="A7" s="3626"/>
      <c r="B7" s="3521"/>
      <c r="C7" s="3654"/>
      <c r="D7" s="3641"/>
      <c r="E7" s="140" t="s">
        <v>2114</v>
      </c>
      <c r="F7" s="2400"/>
      <c r="G7" s="2400"/>
      <c r="H7" s="2400"/>
      <c r="I7" s="1811"/>
    </row>
    <row r="8" spans="1:12" ht="12.75">
      <c r="A8" s="3626" t="s">
        <v>2115</v>
      </c>
      <c r="B8" s="3521">
        <v>15</v>
      </c>
      <c r="C8" s="3653"/>
      <c r="D8" s="3641"/>
      <c r="E8" s="140" t="s">
        <v>2116</v>
      </c>
      <c r="F8" s="2400"/>
      <c r="G8" s="2400"/>
      <c r="H8" s="2400"/>
      <c r="I8" s="1811"/>
    </row>
    <row r="9" spans="1:12" ht="12.75">
      <c r="A9" s="3626"/>
      <c r="B9" s="3521"/>
      <c r="C9" s="3654"/>
      <c r="D9" s="3641"/>
      <c r="E9" s="140" t="s">
        <v>2117</v>
      </c>
      <c r="F9" s="2400"/>
      <c r="G9" s="2400"/>
      <c r="H9" s="2400"/>
      <c r="I9" s="1811"/>
    </row>
    <row r="10" spans="1:12" ht="12.75">
      <c r="A10" s="3626" t="s">
        <v>2118</v>
      </c>
      <c r="B10" s="3521">
        <v>15</v>
      </c>
      <c r="C10" s="3653"/>
      <c r="D10" s="3641"/>
      <c r="E10" s="140" t="s">
        <v>2119</v>
      </c>
      <c r="F10" s="2400"/>
      <c r="G10" s="2400"/>
      <c r="H10" s="2400"/>
      <c r="I10" s="1811"/>
    </row>
    <row r="11" spans="1:12" ht="12.75">
      <c r="A11" s="3626"/>
      <c r="B11" s="3521"/>
      <c r="C11" s="3654"/>
      <c r="D11" s="3641"/>
      <c r="E11" s="140" t="s">
        <v>2120</v>
      </c>
      <c r="F11" s="2400"/>
      <c r="G11" s="2400"/>
      <c r="H11" s="2400"/>
      <c r="I11" s="1811"/>
    </row>
    <row r="12" spans="1:12" ht="12.75">
      <c r="A12" s="3626" t="s">
        <v>2121</v>
      </c>
      <c r="B12" s="3521">
        <v>15</v>
      </c>
      <c r="C12" s="3653"/>
      <c r="D12" s="3641"/>
      <c r="E12" s="140" t="s">
        <v>2122</v>
      </c>
      <c r="F12" s="2400"/>
      <c r="G12" s="2400"/>
      <c r="H12" s="2400"/>
      <c r="I12" s="1811"/>
    </row>
    <row r="13" spans="1:12" ht="12.75">
      <c r="A13" s="3626"/>
      <c r="B13" s="3521"/>
      <c r="C13" s="3654"/>
      <c r="D13" s="3641"/>
      <c r="E13" s="140" t="s">
        <v>2123</v>
      </c>
      <c r="F13" s="2400"/>
      <c r="G13" s="2400"/>
      <c r="H13" s="2400"/>
      <c r="I13" s="1811"/>
    </row>
    <row r="14" spans="1:12" ht="12.75">
      <c r="A14" s="3626" t="s">
        <v>2124</v>
      </c>
      <c r="B14" s="3521">
        <v>30</v>
      </c>
      <c r="C14" s="3653">
        <v>5</v>
      </c>
      <c r="D14" s="3641">
        <v>5</v>
      </c>
      <c r="E14" s="140" t="s">
        <v>2125</v>
      </c>
      <c r="F14" s="2400"/>
      <c r="G14" s="2400"/>
      <c r="H14" s="2400"/>
      <c r="I14" s="1811"/>
    </row>
    <row r="15" spans="1:12" ht="12.75">
      <c r="A15" s="3626"/>
      <c r="B15" s="3521"/>
      <c r="C15" s="3655"/>
      <c r="D15" s="3641"/>
      <c r="E15" s="140" t="s">
        <v>2126</v>
      </c>
      <c r="F15" s="2400"/>
      <c r="G15" s="2400"/>
      <c r="H15" s="2400"/>
      <c r="I15" s="1811"/>
    </row>
    <row r="16" spans="1:12" ht="12.75">
      <c r="A16" s="3626"/>
      <c r="B16" s="3521"/>
      <c r="C16" s="3654"/>
      <c r="D16" s="3641"/>
      <c r="E16" s="140" t="s">
        <v>2127</v>
      </c>
      <c r="F16" s="2400"/>
      <c r="G16" s="2400"/>
      <c r="H16" s="2400"/>
      <c r="I16" s="1811"/>
    </row>
    <row r="17" spans="1:35" ht="15">
      <c r="A17" s="2401" t="s">
        <v>2128</v>
      </c>
      <c r="B17" s="64"/>
      <c r="C17" s="141">
        <f>SUM(C5:C16)</f>
        <v>5</v>
      </c>
      <c r="D17" s="141">
        <f>SUM(D5:D16)</f>
        <v>5</v>
      </c>
      <c r="E17" s="138"/>
      <c r="F17" s="138"/>
      <c r="G17" s="138"/>
      <c r="H17" s="138"/>
      <c r="I17" s="138"/>
      <c r="K17" s="2399"/>
      <c r="L17" s="2402" t="s">
        <v>2129</v>
      </c>
      <c r="M17" s="2402" t="s">
        <v>2130</v>
      </c>
    </row>
    <row r="18" spans="1:35" ht="15.7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SUMIF(INDIRECT("'"&amp;C4&amp;"'"&amp;"!A:A"),结果表车!B19,INDIRECT("'"&amp;C4&amp;"'"&amp;"!B:B"))</f>
        <v>0</v>
      </c>
      <c r="D19" s="144" t="e">
        <f ca="1">SUMIF(INDIRECT("'"&amp;D4&amp;"'"&amp;"!A:A"),结果表车!B19,INDIRECT("'"&amp;D4&amp;"'"&amp;"!B:B"))</f>
        <v>#N/A</v>
      </c>
      <c r="E19" s="2405" t="s">
        <v>2135</v>
      </c>
      <c r="F19" s="2406" t="s">
        <v>2134</v>
      </c>
      <c r="G19" s="145" t="e">
        <f ca="1">ROUND(C19*$C$18+D19*$D$18,0)</f>
        <v>#N/A</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#N/A</v>
      </c>
      <c r="E21" s="990"/>
      <c r="F21" s="2409" t="s">
        <v>2140</v>
      </c>
      <c r="G21" s="149" t="e">
        <f ca="1">ROUND(G19*10000/L19,0)</f>
        <v>#N/A</v>
      </c>
      <c r="H21" s="2410" t="s">
        <v>2139</v>
      </c>
      <c r="I21" s="138"/>
    </row>
    <row r="22" spans="1:35" ht="15" thickBot="1">
      <c r="A22" s="2255" t="s">
        <v>2141</v>
      </c>
      <c r="B22" s="2411"/>
      <c r="C22" s="2412"/>
      <c r="D22" s="786" t="e">
        <f ca="1">IF(C19&lt;D19,D19/C19-1,C19/D19-1)</f>
        <v>#N/A</v>
      </c>
      <c r="E22" s="138"/>
      <c r="F22" s="138"/>
      <c r="G22" s="138"/>
      <c r="H22" s="138"/>
      <c r="I22" s="138"/>
    </row>
    <row r="23" spans="1:35" ht="13.5" thickBot="1">
      <c r="A23" s="2389"/>
      <c r="B23" s="2389"/>
      <c r="C23" s="2389"/>
      <c r="D23" s="2389"/>
      <c r="E23" s="138"/>
      <c r="F23" s="138"/>
      <c r="G23" s="138"/>
      <c r="H23" s="138"/>
      <c r="I23" s="138"/>
    </row>
    <row r="24" spans="1:35" ht="14.25">
      <c r="A24" s="3662" t="s">
        <v>2142</v>
      </c>
      <c r="B24" s="2406" t="s">
        <v>2134</v>
      </c>
      <c r="C24" s="145">
        <f>IF(B30=0,0,D30)</f>
        <v>0</v>
      </c>
      <c r="D24" s="2413"/>
      <c r="E24" s="138"/>
      <c r="F24" s="138"/>
      <c r="G24" s="138"/>
      <c r="H24" s="138"/>
      <c r="I24" s="138"/>
    </row>
    <row r="25" spans="1:35" ht="14.25">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t="e">
        <f ca="1">IF(D32="总价",G19-C24,G20-C25)</f>
        <v>#N/A</v>
      </c>
      <c r="D32" s="2420" t="s">
        <v>2149</v>
      </c>
      <c r="E32" s="138"/>
      <c r="F32" s="138"/>
      <c r="G32" s="138"/>
      <c r="H32" s="138"/>
      <c r="I32" s="138"/>
    </row>
    <row r="33" spans="1:15" ht="15">
      <c r="A33" s="947" t="s">
        <v>2150</v>
      </c>
      <c r="B33" s="2421"/>
      <c r="C33" s="2422" t="s">
        <v>3670</v>
      </c>
      <c r="D33" s="2423" t="s">
        <v>3648</v>
      </c>
      <c r="E33" s="2424" t="s">
        <v>2151</v>
      </c>
      <c r="F33" s="3008" t="str">
        <f>IF(D32="楼面单价","取值（单价）","取值（总价）")</f>
        <v>取值（总价）</v>
      </c>
      <c r="G33" s="138"/>
      <c r="H33" s="138"/>
      <c r="I33" s="138"/>
    </row>
    <row r="34" spans="1:15" ht="15">
      <c r="A34" s="2426"/>
      <c r="B34" s="2427"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8" t="s">
        <v>2153</v>
      </c>
      <c r="F34" s="1716"/>
      <c r="G34" s="138"/>
      <c r="H34" s="138"/>
      <c r="I34" s="138"/>
    </row>
    <row r="35" spans="1:15" ht="15.75" thickBot="1">
      <c r="A35" s="2429"/>
      <c r="B35" s="2430"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1" t="s">
        <v>2155</v>
      </c>
      <c r="F35" s="163"/>
      <c r="G35" s="138"/>
      <c r="H35" s="138"/>
      <c r="I35" s="138"/>
    </row>
    <row r="36" spans="1:15" ht="15.75" thickBot="1">
      <c r="A36" s="3642" t="s">
        <v>2156</v>
      </c>
      <c r="B36" s="2432" t="s">
        <v>2157</v>
      </c>
      <c r="C36" s="154"/>
      <c r="D36" s="2433"/>
      <c r="E36" s="2434"/>
      <c r="F36" s="2435"/>
      <c r="G36" s="138"/>
      <c r="H36" s="138"/>
      <c r="I36" s="138"/>
    </row>
    <row r="37" spans="1:15" ht="15.75" thickBot="1">
      <c r="A37" s="3643"/>
      <c r="B37" s="2241" t="s">
        <v>2158</v>
      </c>
      <c r="C37" s="156"/>
      <c r="D37" s="1373"/>
      <c r="E37" s="1373"/>
      <c r="F37" s="2435"/>
      <c r="G37" s="138"/>
      <c r="H37" s="138"/>
      <c r="I37" s="138"/>
    </row>
    <row r="38" spans="1:15" ht="15.75" thickBot="1">
      <c r="A38" s="3644"/>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t="e">
        <f ca="1">ROUND(H101*F45,0)</f>
        <v>#N/A</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3017">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3017">
        <v>2</v>
      </c>
      <c r="K47" s="3587" t="s">
        <v>2181</v>
      </c>
      <c r="L47" s="3587"/>
      <c r="M47" s="3589">
        <f>'数据-取费表'!B2</f>
        <v>43836</v>
      </c>
      <c r="N47" s="3589"/>
      <c r="O47" s="3589"/>
    </row>
    <row r="48" spans="1:15" ht="25.5">
      <c r="A48" s="3646" t="s">
        <v>2182</v>
      </c>
      <c r="B48" s="3647"/>
      <c r="C48" s="3647"/>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87" t="s">
        <v>2185</v>
      </c>
      <c r="L48" s="3587"/>
      <c r="M48" s="3590" t="e">
        <f ca="1">H101</f>
        <v>#N/A</v>
      </c>
      <c r="N48" s="3590"/>
      <c r="O48" s="3590"/>
    </row>
    <row r="49" spans="1:35" ht="25.5" customHeight="1">
      <c r="A49" s="176" t="s">
        <v>2186</v>
      </c>
      <c r="B49" s="3629" t="s">
        <v>2187</v>
      </c>
      <c r="C49" s="3629"/>
      <c r="D49" s="177">
        <v>0</v>
      </c>
      <c r="E49" s="23" t="s">
        <v>2188</v>
      </c>
      <c r="F49" s="28" t="s">
        <v>34</v>
      </c>
      <c r="G49" s="3610"/>
      <c r="H49" s="138"/>
      <c r="I49" s="2454"/>
      <c r="J49" s="3017">
        <v>4</v>
      </c>
      <c r="K49" s="3587" t="str">
        <f>IF(项目基本情况!E8="房地产抵押价值","房地产抵押价值","抵押担保权已注销时的房地产抵押价值")</f>
        <v>房地产抵押价值</v>
      </c>
      <c r="L49" s="3587"/>
      <c r="M49" s="3590" t="e">
        <f ca="1">IF(项目基本情况!E8="房地产抵押价值",H107,H109)</f>
        <v>#N/A</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3010" t="s">
        <v>2192</v>
      </c>
      <c r="K51" s="3587" t="s">
        <v>2193</v>
      </c>
      <c r="L51" s="3587"/>
      <c r="M51" s="3010" t="s">
        <v>2194</v>
      </c>
      <c r="N51" s="3010" t="s">
        <v>2195</v>
      </c>
      <c r="O51" s="3010" t="s">
        <v>2196</v>
      </c>
    </row>
    <row r="52" spans="1:35" ht="24" customHeight="1">
      <c r="A52" s="183" t="s">
        <v>2197</v>
      </c>
      <c r="B52" s="3629" t="s">
        <v>2198</v>
      </c>
      <c r="C52" s="3629"/>
      <c r="D52" s="182" t="e">
        <f ca="1">ROUND(D45*'数据-取费表'!B41/(1+'数据-取费表'!C42),0)</f>
        <v>#N/A</v>
      </c>
      <c r="E52" s="11" t="s">
        <v>2199</v>
      </c>
      <c r="F52" s="184">
        <f>'数据-取费表'!B41</f>
        <v>5.6000000000000001E-2</v>
      </c>
      <c r="G52" s="2456"/>
      <c r="H52" s="138"/>
      <c r="I52" s="2454"/>
      <c r="J52" s="3017">
        <v>1</v>
      </c>
      <c r="K52" s="3604" t="s">
        <v>2200</v>
      </c>
      <c r="L52" s="3604"/>
      <c r="M52" s="1731">
        <f>D48</f>
        <v>0</v>
      </c>
      <c r="N52" s="3017" t="str">
        <f>E48</f>
        <v>销售额×税（费）率</v>
      </c>
      <c r="O52" s="1732" t="str">
        <f>F48</f>
        <v>免征</v>
      </c>
    </row>
    <row r="53" spans="1:35" ht="12" customHeight="1">
      <c r="A53" s="183" t="s">
        <v>2201</v>
      </c>
      <c r="B53" s="3630" t="s">
        <v>2202</v>
      </c>
      <c r="C53" s="3631"/>
      <c r="D53" s="182" t="e">
        <f ca="1">ROUND(D45*'数据-取费表'!B41/(1+'数据-取费表'!C42),0)</f>
        <v>#N/A</v>
      </c>
      <c r="E53" s="11" t="s">
        <v>2199</v>
      </c>
      <c r="F53" s="184">
        <f>'数据-取费表'!B41</f>
        <v>5.6000000000000001E-2</v>
      </c>
      <c r="G53" s="2456"/>
      <c r="H53" s="138"/>
      <c r="I53" s="2454"/>
      <c r="J53" s="3017">
        <v>2</v>
      </c>
      <c r="K53" s="3604" t="s">
        <v>2203</v>
      </c>
      <c r="L53" s="3604"/>
      <c r="M53" s="1731" t="e">
        <f t="shared" ref="M53:O54" ca="1" si="0">D55</f>
        <v>#N/A</v>
      </c>
      <c r="N53" s="3017" t="str">
        <f t="shared" si="0"/>
        <v>销售额×税（费）率</v>
      </c>
      <c r="O53" s="1732">
        <f t="shared" si="0"/>
        <v>5.0000000000000001E-4</v>
      </c>
    </row>
    <row r="54" spans="1:35" ht="12" customHeight="1">
      <c r="A54" s="183" t="s">
        <v>2204</v>
      </c>
      <c r="B54" s="3630" t="s">
        <v>2205</v>
      </c>
      <c r="C54" s="3631"/>
      <c r="D54" s="182" t="e">
        <f ca="1">C68</f>
        <v>#N/A</v>
      </c>
      <c r="E54" s="30" t="s">
        <v>2206</v>
      </c>
      <c r="F54" s="184">
        <f>'数据-取费表'!B41</f>
        <v>5.6000000000000001E-2</v>
      </c>
      <c r="G54" s="2456"/>
      <c r="H54" s="2457"/>
      <c r="I54" s="2454"/>
      <c r="J54" s="3017">
        <v>3</v>
      </c>
      <c r="K54" s="3604" t="s">
        <v>2207</v>
      </c>
      <c r="L54" s="3604"/>
      <c r="M54" s="1731" t="e">
        <f t="shared" ca="1" si="0"/>
        <v>#N/A</v>
      </c>
      <c r="N54" s="3017" t="str">
        <f t="shared" si="0"/>
        <v>增值额×税（费）率</v>
      </c>
      <c r="O54" s="1733" t="str">
        <f t="shared" si="0"/>
        <v>——</v>
      </c>
    </row>
    <row r="55" spans="1:35" ht="24" customHeight="1">
      <c r="A55" s="3665" t="s">
        <v>2208</v>
      </c>
      <c r="B55" s="3647"/>
      <c r="C55" s="3647"/>
      <c r="D55" s="185" t="e">
        <f ca="1">IF(H55="个人住宅",0,ROUND(D45*I55,0))</f>
        <v>#N/A</v>
      </c>
      <c r="E55" s="11" t="s">
        <v>2209</v>
      </c>
      <c r="F55" s="184">
        <f>IF(H55="正常",I55,"免征")</f>
        <v>5.0000000000000001E-4</v>
      </c>
      <c r="G55" s="2456"/>
      <c r="H55" s="2453" t="s">
        <v>2210</v>
      </c>
      <c r="I55" s="186">
        <f>'数据-取费表'!B49</f>
        <v>5.0000000000000001E-4</v>
      </c>
      <c r="J55" s="3017" t="str">
        <f>IF(H59="非个人房产","",4)</f>
        <v/>
      </c>
      <c r="K55" s="3604" t="str">
        <f>IF(H59="非个人房产","——","个人所得税")</f>
        <v>——</v>
      </c>
      <c r="L55" s="3604"/>
      <c r="M55" s="1734" t="str">
        <f>D59</f>
        <v>——</v>
      </c>
      <c r="N55" s="3018" t="str">
        <f>E59</f>
        <v>——</v>
      </c>
      <c r="O55" s="1735" t="str">
        <f>F59</f>
        <v>——</v>
      </c>
    </row>
    <row r="56" spans="1:35" ht="24.75">
      <c r="A56" s="3665" t="s">
        <v>2211</v>
      </c>
      <c r="B56" s="3647"/>
      <c r="C56" s="3647"/>
      <c r="D56" s="185" t="e">
        <f ca="1">IF(H56="个人住宅",D57,D58)</f>
        <v>#N/A</v>
      </c>
      <c r="E56" s="11" t="s">
        <v>2212</v>
      </c>
      <c r="F56" s="184" t="str">
        <f>IF(H56="正常",F58,"免征")</f>
        <v>——</v>
      </c>
      <c r="G56" s="2458" t="s">
        <v>2213</v>
      </c>
      <c r="H56" s="2459" t="s">
        <v>2210</v>
      </c>
      <c r="I56" s="2460"/>
      <c r="J56" s="3017"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2.75">
      <c r="A57" s="183" t="s">
        <v>2186</v>
      </c>
      <c r="B57" s="3635" t="s">
        <v>2214</v>
      </c>
      <c r="C57" s="3636"/>
      <c r="D57" s="187">
        <v>0</v>
      </c>
      <c r="E57" s="23" t="s">
        <v>2188</v>
      </c>
      <c r="F57" s="155"/>
      <c r="G57" s="2456"/>
      <c r="H57" s="2460"/>
      <c r="I57" s="2460"/>
      <c r="J57" s="3604">
        <f>IF(AND(J55="",J56=""),4,IF(项目基本情况!K6="上海银行",结果表车!J56+1,结果表车!J55+1))</f>
        <v>4</v>
      </c>
      <c r="K57" s="3604" t="s">
        <v>2215</v>
      </c>
      <c r="L57" s="2461" t="s">
        <v>2216</v>
      </c>
      <c r="M57" s="1736"/>
      <c r="N57" s="1737">
        <f ca="1">SUMIF(M52:M56,"&lt;9e307")</f>
        <v>0</v>
      </c>
      <c r="O57" s="2462"/>
      <c r="P57" s="1730" t="e">
        <f ca="1">N57/M49</f>
        <v>#N/A</v>
      </c>
    </row>
    <row r="58" spans="1:35" ht="24.75">
      <c r="A58" s="183" t="s">
        <v>2197</v>
      </c>
      <c r="B58" s="3635" t="s">
        <v>2217</v>
      </c>
      <c r="C58" s="3645"/>
      <c r="D58" s="185" t="e">
        <f ca="1">IF(H58="转让取得",C81,C97)</f>
        <v>#N/A</v>
      </c>
      <c r="E58" s="11" t="s">
        <v>2212</v>
      </c>
      <c r="F58" s="24" t="s">
        <v>34</v>
      </c>
      <c r="G58" s="2456"/>
      <c r="H58" s="2459" t="s">
        <v>2218</v>
      </c>
      <c r="I58" s="2460"/>
      <c r="J58" s="3604"/>
      <c r="K58" s="3604"/>
      <c r="L58" s="2461" t="s">
        <v>2219</v>
      </c>
      <c r="M58" s="1738"/>
      <c r="N58" s="2463" t="str">
        <f ca="1">NUMBERSTRING(INT(N57*10000),2)&amp;"元整"</f>
        <v>零元整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3017" t="s">
        <v>2216</v>
      </c>
      <c r="M59" s="1739"/>
      <c r="N59" s="1740" t="e">
        <f ca="1">M49-N57</f>
        <v>#N/A</v>
      </c>
      <c r="O59" s="2466"/>
    </row>
    <row r="60" spans="1:35" ht="12" customHeight="1">
      <c r="A60" s="2467"/>
      <c r="B60" s="2389"/>
      <c r="C60" s="2389"/>
      <c r="D60" s="2389"/>
      <c r="E60" s="2141"/>
      <c r="F60" s="2460"/>
      <c r="G60" s="2460"/>
      <c r="H60" s="2468"/>
      <c r="I60" s="138"/>
      <c r="J60" s="3607"/>
      <c r="K60" s="3604"/>
      <c r="L60" s="2461" t="s">
        <v>2219</v>
      </c>
      <c r="M60" s="1738"/>
      <c r="N60" s="2463" t="e">
        <f ca="1">NUMBERSTRING(INT(N59*10000),2)&amp;"元整"</f>
        <v>#N/A</v>
      </c>
      <c r="O60" s="2464"/>
    </row>
    <row r="61" spans="1:35" ht="13.5" thickBot="1">
      <c r="A61" s="3664" t="s">
        <v>2223</v>
      </c>
      <c r="B61" s="3664"/>
      <c r="C61" s="3664"/>
      <c r="D61" s="3664"/>
      <c r="E61" s="3664"/>
      <c r="F61" s="2460"/>
      <c r="G61" s="2460"/>
      <c r="H61" s="2468"/>
      <c r="I61" s="138"/>
      <c r="J61" s="3017">
        <f>J59+1</f>
        <v>6</v>
      </c>
      <c r="K61" s="3604" t="s">
        <v>2224</v>
      </c>
      <c r="L61" s="3604"/>
      <c r="M61" s="1741"/>
      <c r="N61" s="1742" t="e">
        <f ca="1">ROUND(N59*10000/'数据-汇总表'!E3,0)</f>
        <v>#N/A</v>
      </c>
      <c r="O61" s="2469"/>
    </row>
    <row r="62" spans="1:35" ht="12.75">
      <c r="A62" s="3624" t="s">
        <v>2225</v>
      </c>
      <c r="B62" s="3625"/>
      <c r="C62" s="3022"/>
      <c r="D62" s="3022" t="s">
        <v>2226</v>
      </c>
      <c r="E62" s="192" t="s">
        <v>2227</v>
      </c>
      <c r="F62" s="2460"/>
      <c r="G62" s="2460"/>
      <c r="H62" s="2468"/>
      <c r="I62" s="138"/>
    </row>
    <row r="63" spans="1:35" ht="12.75">
      <c r="A63" s="203" t="s">
        <v>775</v>
      </c>
      <c r="B63" s="193" t="s">
        <v>2228</v>
      </c>
      <c r="C63" s="194" t="e">
        <f ca="1">ROUND((C64+C65)/(1+'数据-取费表'!C42),0)</f>
        <v>#N/A</v>
      </c>
      <c r="D63" s="195"/>
      <c r="E63" s="196"/>
      <c r="F63" s="2460"/>
      <c r="G63" s="2460"/>
      <c r="H63" s="2468"/>
      <c r="I63" s="138"/>
      <c r="J63" s="3595" t="s">
        <v>2229</v>
      </c>
      <c r="K63" s="3013" t="s">
        <v>2230</v>
      </c>
      <c r="L63" s="1729" t="e">
        <f ca="1">IF(M49&gt;10000,M49*0.5%,IF(AND(M49&gt;1000,M49&lt;=10000),M49*1%,IF(AND(M49&gt;100,M49&lt;=1000),M49*3%,IF(AND(M49&gt;10,M49&lt;=100),M49*5%,M49*8%))))</f>
        <v>#N/A</v>
      </c>
      <c r="M63" s="24" t="e">
        <f ca="1">ROUND(L63,1)</f>
        <v>#N/A</v>
      </c>
      <c r="Z63" s="2394"/>
      <c r="AI63" s="2395"/>
    </row>
    <row r="64" spans="1:35" ht="14.25" customHeight="1">
      <c r="A64" s="197" t="s">
        <v>770</v>
      </c>
      <c r="B64" s="198" t="s">
        <v>2231</v>
      </c>
      <c r="C64" s="199" t="e">
        <f ca="1">D45</f>
        <v>#N/A</v>
      </c>
      <c r="D64" s="200" t="s">
        <v>32</v>
      </c>
      <c r="E64" s="201"/>
      <c r="F64" s="2460"/>
      <c r="G64" s="2460"/>
      <c r="H64" s="2468"/>
      <c r="I64" s="138"/>
      <c r="J64" s="3595"/>
      <c r="K64" s="3013"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4"/>
      <c r="AI64" s="2395"/>
    </row>
    <row r="65" spans="1:35" ht="14.25" customHeight="1">
      <c r="A65" s="197" t="s">
        <v>771</v>
      </c>
      <c r="B65" s="198" t="s">
        <v>2234</v>
      </c>
      <c r="C65" s="202"/>
      <c r="D65" s="200"/>
      <c r="E65" s="201"/>
      <c r="F65" s="2460"/>
      <c r="G65" s="2460"/>
      <c r="H65" s="2468"/>
      <c r="I65" s="138"/>
      <c r="J65" s="3595"/>
      <c r="K65" s="3013" t="s">
        <v>2235</v>
      </c>
      <c r="L65" s="1729" t="e">
        <f ca="1">IF(M49&gt;1000,M49*0.1%,IF(AND(M49&gt;500,M49&lt;=1000),M49*0.5%,IF(AND(M49&gt;50,M49&lt;=500),M49*1%,IF(AND(M49&gt;1,M49&lt;=50),M49*1.5%))))</f>
        <v>#N/A</v>
      </c>
      <c r="M65" s="24" t="e">
        <f t="shared" ca="1" si="1"/>
        <v>#N/A</v>
      </c>
      <c r="N65" s="138" t="s">
        <v>2233</v>
      </c>
      <c r="Z65" s="2394"/>
      <c r="AI65" s="2395"/>
    </row>
    <row r="66" spans="1:35" ht="14.25" customHeight="1">
      <c r="A66" s="203" t="s">
        <v>772</v>
      </c>
      <c r="B66" s="204" t="s">
        <v>2236</v>
      </c>
      <c r="C66" s="205"/>
      <c r="D66" s="206" t="s">
        <v>32</v>
      </c>
      <c r="E66" s="1753" t="s">
        <v>1360</v>
      </c>
      <c r="F66" s="2460"/>
      <c r="G66" s="2460"/>
      <c r="H66" s="2468"/>
      <c r="I66" s="138"/>
      <c r="J66" s="3595"/>
      <c r="K66" s="3013" t="s">
        <v>2237</v>
      </c>
      <c r="L66" s="1729" t="e">
        <f ca="1">M49*0.5%</f>
        <v>#N/A</v>
      </c>
      <c r="M66" s="24" t="e">
        <f ca="1">IF(L66&gt;0.5,0.5,ROUND(L66,0))</f>
        <v>#N/A</v>
      </c>
      <c r="N66" s="138" t="s">
        <v>2238</v>
      </c>
      <c r="Z66" s="2394"/>
      <c r="AI66" s="2395"/>
    </row>
    <row r="67" spans="1:35" ht="14.25" customHeight="1">
      <c r="A67" s="203" t="s">
        <v>773</v>
      </c>
      <c r="B67" s="204" t="s">
        <v>2239</v>
      </c>
      <c r="C67" s="207" t="e">
        <f ca="1">C63-C66</f>
        <v>#N/A</v>
      </c>
      <c r="D67" s="200" t="s">
        <v>32</v>
      </c>
      <c r="E67" s="201"/>
      <c r="F67" s="2460"/>
      <c r="G67" s="2460"/>
      <c r="H67" s="2468"/>
      <c r="I67" s="138"/>
      <c r="J67" s="3595"/>
      <c r="K67" s="3013"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4"/>
      <c r="AI67" s="2395"/>
    </row>
    <row r="68" spans="1:35" ht="14.25" customHeight="1" thickBot="1">
      <c r="A68" s="208" t="s">
        <v>774</v>
      </c>
      <c r="B68" s="209" t="s">
        <v>2241</v>
      </c>
      <c r="C68" s="210" t="e">
        <f ca="1">IF(C67&lt;=0,0,ROUND(C67*D68,0))</f>
        <v>#N/A</v>
      </c>
      <c r="D68" s="211">
        <f>'数据-取费表'!B41</f>
        <v>5.6000000000000001E-2</v>
      </c>
      <c r="E68" s="212"/>
      <c r="F68" s="2460"/>
      <c r="G68" s="2460"/>
      <c r="H68" s="2468"/>
      <c r="I68" s="138"/>
      <c r="J68" s="3595"/>
      <c r="K68" s="3013" t="s">
        <v>2242</v>
      </c>
      <c r="L68" s="1729" t="e">
        <f ca="1">IF(M49&gt;10000,M49*0.5%,IF(AND(M49&gt;5000,M49&lt;=10000),M49*1%,IF(AND(M49&gt;1000,M49&lt;=5000),M49*2%,IF(AND(M49&gt;200,M49&lt;=1000),M49*3%,M49*5%))))</f>
        <v>#N/A</v>
      </c>
      <c r="M68" s="24" t="e">
        <f ca="1">ROUND(L68,1)</f>
        <v>#N/A</v>
      </c>
      <c r="Z68" s="2394"/>
      <c r="AI68" s="2395"/>
    </row>
    <row r="69" spans="1:35" s="2417" customFormat="1" ht="16.5" customHeight="1">
      <c r="A69" s="2471"/>
      <c r="B69" s="2472"/>
      <c r="C69" s="2473"/>
      <c r="D69" s="2474"/>
      <c r="E69" s="2475"/>
      <c r="F69" s="2141"/>
      <c r="G69" s="2141"/>
      <c r="H69" s="2140"/>
      <c r="I69" s="2389"/>
      <c r="J69" s="3595"/>
      <c r="K69" s="3013" t="s">
        <v>2243</v>
      </c>
      <c r="L69" s="2476"/>
      <c r="M69" s="24" t="e">
        <f ca="1">ROUND(SUM(M63:M68),0)</f>
        <v>#N/A</v>
      </c>
      <c r="N69" s="1730" t="e">
        <f ca="1">M69/M49</f>
        <v>#N/A</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24" t="s">
        <v>2225</v>
      </c>
      <c r="B71" s="3625"/>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t="e">
        <f ca="1">ROUND(D45/(1+'数据-取费表'!C42),0)</f>
        <v>#N/A</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t="e">
        <f ca="1">C74+C78</f>
        <v>#N/A</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#N/A</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t="e">
        <f ca="1">C72-C73</f>
        <v>#N/A</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#N/A</v>
      </c>
      <c r="D80" s="200" t="s">
        <v>32</v>
      </c>
      <c r="E80" s="3014" t="e">
        <f ca="1">IF(C80&gt;=200%,"增值额超过扣除项目金额200%",IF(C80&gt;=100%,"增值额超过扣除项目金额100%，未超过200%",IF(C80&gt;=50%,"增值额超过扣除项目金额50%，未超过100%",IF(C80&lt;50%,"增值额未超过扣除项目金额50%"))))</f>
        <v>#N/A</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24" t="s">
        <v>2225</v>
      </c>
      <c r="B84" s="3625"/>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t="e">
        <f ca="1">ROUND(D45/(1+'数据-取费表'!C42),0)</f>
        <v>#N/A</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t="e">
        <f ca="1">IF(H88="仅含出让金",C87+C90+C91+C92+C93+C94,C87+C91+C92+C93+C94)</f>
        <v>#N/A</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621" t="s">
        <v>2271</v>
      </c>
      <c r="F91" s="3622"/>
      <c r="G91" s="3622"/>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#N/A</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t="e">
        <f ca="1">ROUND(C85-C86,0)</f>
        <v>#N/A</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#N/A</v>
      </c>
      <c r="D96" s="200" t="s">
        <v>32</v>
      </c>
      <c r="E96" s="3014" t="e">
        <f ca="1">IF(C96&gt;=200%,"增值额超过扣除项目金额200%",IF(C96&gt;=100%,"增值额超过扣除项目金额100%，未超过200%",IF(C96&gt;=50%,"增值额超过扣除项目金额50%，未超过100%",IF(C96&lt;50%,"增值额未超过扣除项目金额50%"))))</f>
        <v>#N/A</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比较法-车位</v>
      </c>
      <c r="D101" s="733" t="str">
        <f>D4</f>
        <v>收益法车库</v>
      </c>
      <c r="E101" s="3591" t="s">
        <v>2284</v>
      </c>
      <c r="F101" s="3592"/>
      <c r="G101" s="2491" t="s">
        <v>2285</v>
      </c>
      <c r="H101" s="1035" t="e">
        <f ca="1">H118</f>
        <v>#N/A</v>
      </c>
      <c r="I101" s="138"/>
    </row>
    <row r="102" spans="1:35" ht="18.75" customHeight="1">
      <c r="A102" s="3615" t="s">
        <v>2286</v>
      </c>
      <c r="B102" s="2491" t="s">
        <v>2285</v>
      </c>
      <c r="C102" s="732">
        <f ca="1">C19</f>
        <v>0</v>
      </c>
      <c r="D102" s="733" t="e">
        <f ca="1">D19</f>
        <v>#N/A</v>
      </c>
      <c r="E102" s="3591"/>
      <c r="F102" s="3592"/>
      <c r="G102" s="2491" t="s">
        <v>2287</v>
      </c>
      <c r="H102" s="371" t="e">
        <f ca="1">I118</f>
        <v>#N/A</v>
      </c>
      <c r="I102" s="138"/>
    </row>
    <row r="103" spans="1:35" ht="42.75" customHeight="1">
      <c r="A103" s="3615"/>
      <c r="B103" s="2491" t="s">
        <v>2287</v>
      </c>
      <c r="C103" s="734">
        <f ca="1">C20</f>
        <v>9994</v>
      </c>
      <c r="D103" s="735">
        <f ca="1">D20</f>
        <v>0</v>
      </c>
      <c r="E103" s="3585" t="s">
        <v>2288</v>
      </c>
      <c r="F103" s="3586"/>
      <c r="G103" s="2492" t="s">
        <v>2289</v>
      </c>
      <c r="H103" s="1035">
        <f>IF(D36="正常操作",H104+H105+H106,H105+H106)</f>
        <v>0</v>
      </c>
      <c r="I103" s="138"/>
    </row>
    <row r="104" spans="1:35" ht="18.75" customHeight="1">
      <c r="A104" s="3615" t="s">
        <v>2290</v>
      </c>
      <c r="B104" s="2493" t="s">
        <v>2285</v>
      </c>
      <c r="C104" s="736" t="e">
        <f ca="1">H118</f>
        <v>#N/A</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t="e">
        <f ca="1">I118</f>
        <v>#N/A</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t="e">
        <f ca="1">IF(E107="——","——",H101-H103)</f>
        <v>#N/A</v>
      </c>
      <c r="I107" s="138"/>
    </row>
    <row r="108" spans="1:35" ht="18.75" customHeight="1">
      <c r="A108" s="138"/>
      <c r="B108" s="138"/>
      <c r="C108" s="138"/>
      <c r="D108" s="138"/>
      <c r="E108" s="3616"/>
      <c r="F108" s="3592"/>
      <c r="G108" s="2491" t="s">
        <v>2287</v>
      </c>
      <c r="H108" s="371" t="e">
        <f ca="1">ROUND(H107*10000/'数据-汇总表'!E3,0)</f>
        <v>#N/A</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2300</v>
      </c>
      <c r="G116" s="3527"/>
      <c r="H116" s="3521" t="s">
        <v>2301</v>
      </c>
      <c r="I116" s="3521"/>
    </row>
    <row r="117" spans="1:11" ht="18.75" customHeight="1">
      <c r="A117" s="3521"/>
      <c r="B117" s="3523"/>
      <c r="C117" s="3523"/>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#N/A</v>
      </c>
      <c r="E118" s="3009" t="e">
        <f ca="1">ROUND(IF(C33="自定义",IF(D32="楼面单价",C34,D118*10000/B118),I118-G118),0)</f>
        <v>#N/A</v>
      </c>
      <c r="F118" s="3009" t="e">
        <f ca="1">ROUND(IF(D32="总价",C35,G118*B118/10000),0)</f>
        <v>#N/A</v>
      </c>
      <c r="G118" s="3009" t="e">
        <f ca="1">ROUND(IF(D32="楼面单价",C35,F118*10000/B118),0)</f>
        <v>#N/A</v>
      </c>
      <c r="H118" s="3009" t="e">
        <f ca="1">ROUND(IF(D32="总价",C32,I118*B118/10000),0)</f>
        <v>#N/A</v>
      </c>
      <c r="I118" s="3009" t="e">
        <f ca="1">ROUND(IF(D32="楼面单价",C32,H118*10000/B118),0)</f>
        <v>#N/A</v>
      </c>
    </row>
    <row r="119" spans="1:11" ht="18.75" customHeight="1">
      <c r="A119" s="3521" t="s">
        <v>2305</v>
      </c>
      <c r="B119" s="3521"/>
      <c r="C119" s="3521"/>
      <c r="D119" s="3516" t="e">
        <f ca="1">NUMBERSTRING(INT(D118*10000),2)&amp;"元整"</f>
        <v>#N/A</v>
      </c>
      <c r="E119" s="3517"/>
      <c r="F119" s="3516" t="e">
        <f ca="1">NUMBERSTRING(INT(F118*10000),2)&amp;"元整"</f>
        <v>#N/A</v>
      </c>
      <c r="G119" s="3517"/>
      <c r="H119" s="3516" t="e">
        <f ca="1">NUMBERSTRING(INT(H118*10000),2)&amp;"元整"</f>
        <v>#N/A</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t="e">
        <f ca="1">H107</f>
        <v>#N/A</v>
      </c>
      <c r="E122" s="3599"/>
      <c r="F122" s="3599"/>
      <c r="G122" s="3599"/>
      <c r="H122" s="3599"/>
      <c r="I122" s="3600"/>
    </row>
    <row r="123" spans="1:11" ht="18.75" customHeight="1">
      <c r="A123" s="3521" t="s">
        <v>2305</v>
      </c>
      <c r="B123" s="3521"/>
      <c r="C123" s="3521"/>
      <c r="D123" s="3516" t="e">
        <f ca="1">NUMBERSTRING(INT(D122*10000),2)&amp;"元整"</f>
        <v>#N/A</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3652</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ht="15">
      <c r="A5" s="403"/>
      <c r="B5" s="404"/>
      <c r="C5" s="3795" t="s">
        <v>3655</v>
      </c>
      <c r="D5" s="3792"/>
      <c r="E5" s="3794" t="s">
        <v>3654</v>
      </c>
      <c r="F5" s="3790"/>
      <c r="G5" s="3795" t="s">
        <v>3657</v>
      </c>
      <c r="H5" s="3792"/>
      <c r="I5" s="3795" t="s">
        <v>3658</v>
      </c>
      <c r="J5" s="3792"/>
      <c r="K5" s="609"/>
      <c r="L5" s="1113"/>
      <c r="M5" s="1114"/>
      <c r="N5" s="1114"/>
      <c r="O5" s="1114"/>
      <c r="P5" s="3741"/>
      <c r="Q5" s="3742"/>
      <c r="R5" s="3724"/>
      <c r="S5" s="3725"/>
      <c r="T5" s="3724"/>
      <c r="U5" s="3725"/>
      <c r="V5" s="3719"/>
      <c r="W5" s="3719"/>
      <c r="X5" s="1793"/>
      <c r="Y5" s="3724"/>
      <c r="Z5" s="3725"/>
      <c r="AA5" s="3717"/>
      <c r="AB5" s="3717"/>
      <c r="AC5" s="3717"/>
    </row>
    <row r="6" spans="1:29" ht="15.7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720" t="s">
        <v>2537</v>
      </c>
      <c r="Q7" s="3747"/>
      <c r="R7" s="766" t="s">
        <v>17</v>
      </c>
      <c r="S7" s="767">
        <f t="shared" ref="S7:S14" si="0">F7</f>
        <v>99.8</v>
      </c>
      <c r="T7" s="766" t="s">
        <v>17</v>
      </c>
      <c r="U7" s="767">
        <f t="shared" ref="U7:U14" si="1">H7</f>
        <v>99.6</v>
      </c>
      <c r="V7" s="766" t="s">
        <v>17</v>
      </c>
      <c r="W7" s="767">
        <f t="shared" ref="W7:W14" si="2">J7</f>
        <v>99.8</v>
      </c>
      <c r="X7" s="768"/>
      <c r="Y7" s="3720" t="s">
        <v>2537</v>
      </c>
      <c r="Z7" s="3721"/>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720" t="s">
        <v>2540</v>
      </c>
      <c r="Q8" s="3721"/>
      <c r="R8" s="766" t="s">
        <v>17</v>
      </c>
      <c r="S8" s="767">
        <f t="shared" si="0"/>
        <v>100</v>
      </c>
      <c r="T8" s="766" t="s">
        <v>17</v>
      </c>
      <c r="U8" s="767">
        <f t="shared" si="1"/>
        <v>100</v>
      </c>
      <c r="V8" s="766" t="s">
        <v>17</v>
      </c>
      <c r="W8" s="767">
        <f t="shared" si="2"/>
        <v>100</v>
      </c>
      <c r="X8" s="768"/>
      <c r="Y8" s="3720" t="s">
        <v>2540</v>
      </c>
      <c r="Z8" s="3721"/>
      <c r="AA8" s="769">
        <f t="shared" ref="AA8:AA36" si="3">D8/F8</f>
        <v>1</v>
      </c>
      <c r="AB8" s="769">
        <f t="shared" ref="AB8:AB36" si="4">D8/H8</f>
        <v>1</v>
      </c>
      <c r="AC8" s="769">
        <f t="shared" ref="AC8:AC36" si="5">D8/J8</f>
        <v>1</v>
      </c>
    </row>
    <row r="9" spans="1:29" s="117" customFormat="1">
      <c r="A9" s="68" t="s">
        <v>2541</v>
      </c>
      <c r="B9" s="639" t="s">
        <v>2542</v>
      </c>
      <c r="C9" s="2965" t="s">
        <v>3656</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757" t="s">
        <v>2543</v>
      </c>
      <c r="Q9" s="1775" t="str">
        <f t="shared" ref="Q9:Q14" si="6">B9</f>
        <v>用途</v>
      </c>
      <c r="R9" s="766" t="s">
        <v>17</v>
      </c>
      <c r="S9" s="767">
        <f t="shared" si="0"/>
        <v>100</v>
      </c>
      <c r="T9" s="766" t="s">
        <v>17</v>
      </c>
      <c r="U9" s="767">
        <f t="shared" si="1"/>
        <v>100</v>
      </c>
      <c r="V9" s="766" t="s">
        <v>17</v>
      </c>
      <c r="W9" s="767">
        <f t="shared" si="2"/>
        <v>100</v>
      </c>
      <c r="X9" s="768"/>
      <c r="Y9" s="3521" t="s">
        <v>2544</v>
      </c>
      <c r="Z9" s="55" t="str">
        <f t="shared" ref="Z9:Z14" si="7">Q9</f>
        <v>用途</v>
      </c>
      <c r="AA9" s="769">
        <f t="shared" si="3"/>
        <v>1</v>
      </c>
      <c r="AB9" s="769">
        <f t="shared" si="4"/>
        <v>1</v>
      </c>
      <c r="AC9" s="769">
        <f t="shared" si="5"/>
        <v>1</v>
      </c>
    </row>
    <row r="10" spans="1:29" s="426" customFormat="1" ht="27">
      <c r="A10" s="640"/>
      <c r="B10" s="641" t="s">
        <v>2545</v>
      </c>
      <c r="C10" s="422" t="s">
        <v>3659</v>
      </c>
      <c r="D10" s="136">
        <v>100</v>
      </c>
      <c r="E10" s="422" t="s">
        <v>3660</v>
      </c>
      <c r="F10" s="136">
        <f>SUMIF(55:55,E10,56:56)-SUMIF(55:55,C10,56:56)+100</f>
        <v>101</v>
      </c>
      <c r="G10" s="422" t="s">
        <v>3660</v>
      </c>
      <c r="H10" s="136">
        <f>SUMIF(55:55,G10,56:56)-SUMIF(55:55,C10,56:56)+100</f>
        <v>101</v>
      </c>
      <c r="I10" s="422" t="s">
        <v>3660</v>
      </c>
      <c r="J10" s="136">
        <f>SUMIF(55:55,I10,56:56)-SUMIF(55:55,C10,56:56)+100</f>
        <v>101</v>
      </c>
      <c r="K10" s="611">
        <v>1</v>
      </c>
      <c r="L10" s="1118"/>
      <c r="M10" s="1119"/>
      <c r="N10" s="1119"/>
      <c r="O10" s="1119"/>
      <c r="P10" s="3757"/>
      <c r="Q10" s="1775" t="str">
        <f t="shared" si="6"/>
        <v>土地使用年限（年）</v>
      </c>
      <c r="R10" s="766" t="s">
        <v>17</v>
      </c>
      <c r="S10" s="767">
        <f t="shared" si="0"/>
        <v>101</v>
      </c>
      <c r="T10" s="766" t="s">
        <v>17</v>
      </c>
      <c r="U10" s="767">
        <f t="shared" si="1"/>
        <v>101</v>
      </c>
      <c r="V10" s="766" t="s">
        <v>17</v>
      </c>
      <c r="W10" s="767">
        <f t="shared" si="2"/>
        <v>101</v>
      </c>
      <c r="X10" s="768"/>
      <c r="Y10" s="3521"/>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757"/>
      <c r="Q11" s="1775">
        <f t="shared" si="6"/>
        <v>111</v>
      </c>
      <c r="R11" s="766" t="s">
        <v>17</v>
      </c>
      <c r="S11" s="767">
        <f t="shared" si="0"/>
        <v>100</v>
      </c>
      <c r="T11" s="766" t="s">
        <v>17</v>
      </c>
      <c r="U11" s="767">
        <f t="shared" si="1"/>
        <v>100</v>
      </c>
      <c r="V11" s="766" t="s">
        <v>17</v>
      </c>
      <c r="W11" s="767">
        <f t="shared" si="2"/>
        <v>100</v>
      </c>
      <c r="X11" s="768"/>
      <c r="Y11" s="3521"/>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750" t="s">
        <v>2548</v>
      </c>
      <c r="Q14" s="1790" t="str">
        <f t="shared" si="6"/>
        <v>交通便捷度</v>
      </c>
      <c r="R14" s="770" t="s">
        <v>17</v>
      </c>
      <c r="S14" s="771">
        <f t="shared" si="0"/>
        <v>98</v>
      </c>
      <c r="T14" s="770" t="s">
        <v>17</v>
      </c>
      <c r="U14" s="771">
        <f t="shared" si="1"/>
        <v>100</v>
      </c>
      <c r="V14" s="770" t="s">
        <v>17</v>
      </c>
      <c r="W14" s="771">
        <f t="shared" si="2"/>
        <v>98</v>
      </c>
      <c r="X14" s="1793"/>
      <c r="Y14" s="3750"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751"/>
      <c r="Q15" s="1790"/>
      <c r="R15" s="770"/>
      <c r="S15" s="771"/>
      <c r="T15" s="770"/>
      <c r="U15" s="771"/>
      <c r="V15" s="770"/>
      <c r="W15" s="771"/>
      <c r="X15" s="1793"/>
      <c r="Y15" s="3751"/>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751"/>
      <c r="Q16" s="1790" t="str">
        <f>B16</f>
        <v>公共配套设施</v>
      </c>
      <c r="R16" s="770" t="s">
        <v>17</v>
      </c>
      <c r="S16" s="771">
        <f>F16</f>
        <v>98</v>
      </c>
      <c r="T16" s="770" t="s">
        <v>17</v>
      </c>
      <c r="U16" s="771">
        <f>H16</f>
        <v>100</v>
      </c>
      <c r="V16" s="770" t="s">
        <v>17</v>
      </c>
      <c r="W16" s="771">
        <f>J16</f>
        <v>98</v>
      </c>
      <c r="X16" s="1793"/>
      <c r="Y16" s="3751"/>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751"/>
      <c r="Q17" s="1790"/>
      <c r="R17" s="770"/>
      <c r="S17" s="771"/>
      <c r="T17" s="770"/>
      <c r="U17" s="771"/>
      <c r="V17" s="770"/>
      <c r="W17" s="771"/>
      <c r="X17" s="1793"/>
      <c r="Y17" s="3751"/>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751"/>
      <c r="Q18" s="1790" t="str">
        <f>B18</f>
        <v>基础设施水平</v>
      </c>
      <c r="R18" s="770" t="s">
        <v>17</v>
      </c>
      <c r="S18" s="771">
        <f>F18</f>
        <v>100</v>
      </c>
      <c r="T18" s="770" t="s">
        <v>17</v>
      </c>
      <c r="U18" s="771">
        <f>H18</f>
        <v>100</v>
      </c>
      <c r="V18" s="770" t="s">
        <v>17</v>
      </c>
      <c r="W18" s="771">
        <f>J18</f>
        <v>100</v>
      </c>
      <c r="X18" s="1793"/>
      <c r="Y18" s="3751"/>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751"/>
      <c r="Q19" s="1790"/>
      <c r="R19" s="770"/>
      <c r="S19" s="771"/>
      <c r="T19" s="770"/>
      <c r="U19" s="771"/>
      <c r="V19" s="770"/>
      <c r="W19" s="771"/>
      <c r="X19" s="1793"/>
      <c r="Y19" s="3751"/>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751"/>
      <c r="Q20" s="1790" t="str">
        <f>B20</f>
        <v>自然及人文环境</v>
      </c>
      <c r="R20" s="770" t="s">
        <v>17</v>
      </c>
      <c r="S20" s="771">
        <f>F20</f>
        <v>98</v>
      </c>
      <c r="T20" s="770" t="s">
        <v>17</v>
      </c>
      <c r="U20" s="771">
        <f>H20</f>
        <v>100</v>
      </c>
      <c r="V20" s="770" t="s">
        <v>17</v>
      </c>
      <c r="W20" s="771">
        <f>J20</f>
        <v>98</v>
      </c>
      <c r="X20" s="1793"/>
      <c r="Y20" s="3751"/>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751"/>
      <c r="Q21" s="1790"/>
      <c r="R21" s="770"/>
      <c r="S21" s="771"/>
      <c r="T21" s="770"/>
      <c r="U21" s="771"/>
      <c r="V21" s="770"/>
      <c r="W21" s="771"/>
      <c r="X21" s="1793"/>
      <c r="Y21" s="3751"/>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751"/>
      <c r="Q22" s="1790" t="str">
        <f>B22</f>
        <v>楼层</v>
      </c>
      <c r="R22" s="770" t="s">
        <v>17</v>
      </c>
      <c r="S22" s="771">
        <f>F22</f>
        <v>100</v>
      </c>
      <c r="T22" s="770" t="s">
        <v>17</v>
      </c>
      <c r="U22" s="771">
        <f>H22</f>
        <v>100</v>
      </c>
      <c r="V22" s="770" t="s">
        <v>17</v>
      </c>
      <c r="W22" s="771">
        <f>J22</f>
        <v>100</v>
      </c>
      <c r="X22" s="1793"/>
      <c r="Y22" s="3751"/>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751"/>
      <c r="Q23" s="1790">
        <f>B23</f>
        <v>111</v>
      </c>
      <c r="R23" s="770" t="s">
        <v>17</v>
      </c>
      <c r="S23" s="771">
        <f>F23</f>
        <v>100</v>
      </c>
      <c r="T23" s="770" t="s">
        <v>17</v>
      </c>
      <c r="U23" s="771">
        <f>H23</f>
        <v>100</v>
      </c>
      <c r="V23" s="770" t="s">
        <v>17</v>
      </c>
      <c r="W23" s="771">
        <f>J23</f>
        <v>100</v>
      </c>
      <c r="X23" s="1793"/>
      <c r="Y23" s="3751"/>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751"/>
      <c r="Q24" s="1790">
        <f t="shared" ref="Q24:Q36" si="11">B24</f>
        <v>111</v>
      </c>
      <c r="R24" s="770" t="s">
        <v>17</v>
      </c>
      <c r="S24" s="771">
        <f>F24</f>
        <v>100</v>
      </c>
      <c r="T24" s="770" t="s">
        <v>17</v>
      </c>
      <c r="U24" s="771">
        <f>H24</f>
        <v>100</v>
      </c>
      <c r="V24" s="770" t="s">
        <v>17</v>
      </c>
      <c r="W24" s="771">
        <f>J24</f>
        <v>100</v>
      </c>
      <c r="X24" s="1793"/>
      <c r="Y24" s="3751"/>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751"/>
      <c r="Q25" s="1775">
        <f t="shared" si="11"/>
        <v>111</v>
      </c>
      <c r="R25" s="766" t="s">
        <v>17</v>
      </c>
      <c r="S25" s="767">
        <f>F25</f>
        <v>100</v>
      </c>
      <c r="T25" s="766" t="s">
        <v>17</v>
      </c>
      <c r="U25" s="767">
        <f>H25</f>
        <v>100</v>
      </c>
      <c r="V25" s="766" t="s">
        <v>17</v>
      </c>
      <c r="W25" s="767">
        <f>J25</f>
        <v>100</v>
      </c>
      <c r="X25" s="768"/>
      <c r="Y25" s="3751"/>
      <c r="Z25" s="55">
        <f>Q25</f>
        <v>111</v>
      </c>
      <c r="AA25" s="1791">
        <f>D25/F25</f>
        <v>1</v>
      </c>
      <c r="AB25" s="1791">
        <f>D25/H25</f>
        <v>1</v>
      </c>
      <c r="AC25" s="1791">
        <f>D25/J25</f>
        <v>1</v>
      </c>
    </row>
    <row r="26" spans="1:29" ht="28.5">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93"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755"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755"/>
      <c r="Q27" s="772" t="str">
        <f t="shared" si="11"/>
        <v>项目停车位配比</v>
      </c>
      <c r="R27" s="773" t="s">
        <v>17</v>
      </c>
      <c r="S27" s="774">
        <f t="shared" si="12"/>
        <v>100</v>
      </c>
      <c r="T27" s="773" t="s">
        <v>17</v>
      </c>
      <c r="U27" s="774">
        <f t="shared" si="13"/>
        <v>100</v>
      </c>
      <c r="V27" s="773" t="s">
        <v>17</v>
      </c>
      <c r="W27" s="774">
        <f t="shared" si="14"/>
        <v>100</v>
      </c>
      <c r="X27" s="775"/>
      <c r="Y27" s="3755"/>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755"/>
      <c r="Q28" s="1790" t="str">
        <f t="shared" si="11"/>
        <v>公共部分装修</v>
      </c>
      <c r="R28" s="770" t="s">
        <v>17</v>
      </c>
      <c r="S28" s="771">
        <f t="shared" si="12"/>
        <v>100</v>
      </c>
      <c r="T28" s="770" t="s">
        <v>17</v>
      </c>
      <c r="U28" s="771">
        <f t="shared" si="13"/>
        <v>100</v>
      </c>
      <c r="V28" s="770" t="s">
        <v>17</v>
      </c>
      <c r="W28" s="771">
        <f t="shared" si="14"/>
        <v>100</v>
      </c>
      <c r="X28" s="1793"/>
      <c r="Y28" s="3755"/>
      <c r="Z28" s="1794" t="str">
        <f t="shared" si="15"/>
        <v>公共部分装修</v>
      </c>
      <c r="AA28" s="1791">
        <f t="shared" si="3"/>
        <v>1</v>
      </c>
      <c r="AB28" s="1791">
        <f t="shared" si="4"/>
        <v>1</v>
      </c>
      <c r="AC28" s="1791">
        <f t="shared" si="5"/>
        <v>1</v>
      </c>
    </row>
    <row r="29" spans="1:29" ht="15">
      <c r="A29" s="655"/>
      <c r="B29" s="653" t="s">
        <v>2703</v>
      </c>
      <c r="C29" s="468">
        <f>'数据-取费表'!Y6</f>
        <v>0.8</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755"/>
      <c r="Q29" s="1790" t="str">
        <f t="shared" si="11"/>
        <v>成新率</v>
      </c>
      <c r="R29" s="770" t="s">
        <v>17</v>
      </c>
      <c r="S29" s="771">
        <f t="shared" si="12"/>
        <v>101</v>
      </c>
      <c r="T29" s="770" t="s">
        <v>17</v>
      </c>
      <c r="U29" s="771">
        <f t="shared" si="13"/>
        <v>101</v>
      </c>
      <c r="V29" s="770" t="s">
        <v>17</v>
      </c>
      <c r="W29" s="771">
        <f t="shared" si="14"/>
        <v>101</v>
      </c>
      <c r="X29" s="1793"/>
      <c r="Y29" s="3755"/>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755"/>
      <c r="Q30" s="1790" t="str">
        <f t="shared" si="11"/>
        <v>物业等级</v>
      </c>
      <c r="R30" s="770" t="s">
        <v>17</v>
      </c>
      <c r="S30" s="771">
        <f t="shared" si="12"/>
        <v>100</v>
      </c>
      <c r="T30" s="770" t="s">
        <v>17</v>
      </c>
      <c r="U30" s="771">
        <f t="shared" si="13"/>
        <v>100</v>
      </c>
      <c r="V30" s="770" t="s">
        <v>17</v>
      </c>
      <c r="W30" s="771">
        <f t="shared" si="14"/>
        <v>100</v>
      </c>
      <c r="X30" s="1793"/>
      <c r="Y30" s="3755"/>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755"/>
      <c r="Q31" s="1775" t="str">
        <f t="shared" si="11"/>
        <v>停车位面积</v>
      </c>
      <c r="R31" s="766" t="s">
        <v>17</v>
      </c>
      <c r="S31" s="767">
        <f t="shared" si="12"/>
        <v>100</v>
      </c>
      <c r="T31" s="766" t="s">
        <v>17</v>
      </c>
      <c r="U31" s="767">
        <f t="shared" si="13"/>
        <v>100</v>
      </c>
      <c r="V31" s="766" t="s">
        <v>17</v>
      </c>
      <c r="W31" s="767">
        <f t="shared" si="14"/>
        <v>100</v>
      </c>
      <c r="X31" s="768"/>
      <c r="Y31" s="3755"/>
      <c r="Z31" s="55" t="str">
        <f t="shared" si="15"/>
        <v>停车位面积</v>
      </c>
      <c r="AA31" s="769">
        <f t="shared" si="3"/>
        <v>1</v>
      </c>
      <c r="AB31" s="769">
        <f t="shared" si="4"/>
        <v>1</v>
      </c>
      <c r="AC31" s="769">
        <f t="shared" si="5"/>
        <v>1</v>
      </c>
    </row>
    <row r="32" spans="1:29" ht="15">
      <c r="A32" s="655"/>
      <c r="B32" s="653" t="s">
        <v>2706</v>
      </c>
      <c r="C32" s="459" t="s">
        <v>3663</v>
      </c>
      <c r="D32" s="434">
        <v>100</v>
      </c>
      <c r="E32" s="459" t="s">
        <v>3663</v>
      </c>
      <c r="F32" s="460">
        <f>SUMIF(93:93,E32,94:94)-SUMIF(93:93,C32,94:94)+100</f>
        <v>100</v>
      </c>
      <c r="G32" s="459" t="s">
        <v>3663</v>
      </c>
      <c r="H32" s="434">
        <f>SUMIF(93:93,G32,94:94)-SUMIF(93:93,C32,94:94)+100</f>
        <v>100</v>
      </c>
      <c r="I32" s="459" t="s">
        <v>3663</v>
      </c>
      <c r="J32" s="434">
        <f>SUMIF(93:93,I32,94:94)-SUMIF(93:93,C32,94:94)+100</f>
        <v>100</v>
      </c>
      <c r="K32" s="611">
        <v>2</v>
      </c>
      <c r="L32" s="1123"/>
      <c r="M32" s="1114"/>
      <c r="N32" s="1114"/>
      <c r="O32" s="1114"/>
      <c r="P32" s="3755" t="s">
        <v>2553</v>
      </c>
      <c r="Q32" s="1790" t="str">
        <f t="shared" si="11"/>
        <v>车位类型</v>
      </c>
      <c r="R32" s="770" t="s">
        <v>17</v>
      </c>
      <c r="S32" s="771">
        <f t="shared" si="12"/>
        <v>100</v>
      </c>
      <c r="T32" s="770" t="s">
        <v>17</v>
      </c>
      <c r="U32" s="771">
        <f t="shared" si="13"/>
        <v>100</v>
      </c>
      <c r="V32" s="770" t="s">
        <v>17</v>
      </c>
      <c r="W32" s="771">
        <f t="shared" si="14"/>
        <v>100</v>
      </c>
      <c r="X32" s="1793"/>
      <c r="Y32" s="3755"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755"/>
      <c r="Q33" s="1790" t="str">
        <f t="shared" si="11"/>
        <v>是否直接入户</v>
      </c>
      <c r="R33" s="770" t="s">
        <v>17</v>
      </c>
      <c r="S33" s="771">
        <f t="shared" si="12"/>
        <v>100</v>
      </c>
      <c r="T33" s="770" t="s">
        <v>17</v>
      </c>
      <c r="U33" s="771">
        <f t="shared" si="13"/>
        <v>100</v>
      </c>
      <c r="V33" s="770" t="s">
        <v>17</v>
      </c>
      <c r="W33" s="771">
        <f t="shared" si="14"/>
        <v>100</v>
      </c>
      <c r="X33" s="1793"/>
      <c r="Y33" s="3755"/>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755"/>
      <c r="Q34" s="1790">
        <f t="shared" si="11"/>
        <v>111</v>
      </c>
      <c r="R34" s="770" t="s">
        <v>17</v>
      </c>
      <c r="S34" s="771">
        <f t="shared" si="12"/>
        <v>100</v>
      </c>
      <c r="T34" s="770" t="s">
        <v>17</v>
      </c>
      <c r="U34" s="771">
        <f t="shared" si="13"/>
        <v>100</v>
      </c>
      <c r="V34" s="770" t="s">
        <v>17</v>
      </c>
      <c r="W34" s="771">
        <f t="shared" si="14"/>
        <v>100</v>
      </c>
      <c r="X34" s="1793"/>
      <c r="Y34" s="3755"/>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755"/>
      <c r="Q35" s="772">
        <f t="shared" si="11"/>
        <v>111</v>
      </c>
      <c r="R35" s="773" t="s">
        <v>17</v>
      </c>
      <c r="S35" s="774">
        <f t="shared" si="12"/>
        <v>100</v>
      </c>
      <c r="T35" s="773" t="s">
        <v>17</v>
      </c>
      <c r="U35" s="774">
        <f t="shared" si="13"/>
        <v>100</v>
      </c>
      <c r="V35" s="773" t="s">
        <v>17</v>
      </c>
      <c r="W35" s="774">
        <f t="shared" si="14"/>
        <v>100</v>
      </c>
      <c r="X35" s="775"/>
      <c r="Y35" s="3755"/>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755"/>
      <c r="Q36" s="1790">
        <f t="shared" si="11"/>
        <v>111</v>
      </c>
      <c r="R36" s="770" t="s">
        <v>17</v>
      </c>
      <c r="S36" s="771">
        <f t="shared" si="12"/>
        <v>100</v>
      </c>
      <c r="T36" s="770" t="s">
        <v>17</v>
      </c>
      <c r="U36" s="771">
        <f t="shared" si="13"/>
        <v>100</v>
      </c>
      <c r="V36" s="770" t="s">
        <v>17</v>
      </c>
      <c r="W36" s="771">
        <f t="shared" si="14"/>
        <v>100</v>
      </c>
      <c r="X36" s="1793"/>
      <c r="Y36" s="3755"/>
      <c r="Z36" s="1794">
        <f t="shared" si="15"/>
        <v>111</v>
      </c>
      <c r="AA36" s="1791">
        <f t="shared" si="3"/>
        <v>1</v>
      </c>
      <c r="AB36" s="1791">
        <f t="shared" si="4"/>
        <v>1</v>
      </c>
      <c r="AC36" s="1791">
        <f t="shared" si="5"/>
        <v>1</v>
      </c>
    </row>
    <row r="37" spans="1:29" ht="15">
      <c r="A37" s="478" t="s">
        <v>2708</v>
      </c>
      <c r="B37" s="2668" t="s">
        <v>3653</v>
      </c>
      <c r="C37" s="1388" t="s">
        <v>1</v>
      </c>
      <c r="D37" s="1389"/>
      <c r="E37" s="1390">
        <v>9367</v>
      </c>
      <c r="F37" s="1391"/>
      <c r="G37" s="1392">
        <v>9384</v>
      </c>
      <c r="H37" s="1393"/>
      <c r="I37" s="1390">
        <v>10510</v>
      </c>
      <c r="J37" s="1393"/>
      <c r="K37" s="618"/>
      <c r="L37" s="1126"/>
      <c r="M37" s="1127"/>
      <c r="N37" s="1114"/>
      <c r="O37" s="1127"/>
      <c r="P37" s="3757" t="str">
        <f>A37</f>
        <v>成交单价</v>
      </c>
      <c r="Q37" s="3757"/>
      <c r="R37" s="3758">
        <f>E37</f>
        <v>9367</v>
      </c>
      <c r="S37" s="3758"/>
      <c r="T37" s="3758">
        <f>G37</f>
        <v>9384</v>
      </c>
      <c r="U37" s="3758"/>
      <c r="V37" s="3758">
        <f>I37</f>
        <v>10510</v>
      </c>
      <c r="W37" s="3758"/>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757" t="str">
        <f>A38</f>
        <v>比较价值（元/平方米）</v>
      </c>
      <c r="Q38" s="3757"/>
      <c r="R38" s="3758">
        <f>IF(F1="售价",ROUND(PRODUCT(R37,AA7:AA36),0),ROUND(PRODUCT(R37,AA7:AA36),1))</f>
        <v>9776</v>
      </c>
      <c r="S38" s="3758"/>
      <c r="T38" s="3758">
        <f>IF(F1="售价",ROUND(PRODUCT(T37,AB7:AB36),0),ROUND(PRODUCT(T37,AB7:AB36),1))</f>
        <v>9236</v>
      </c>
      <c r="U38" s="3758"/>
      <c r="V38" s="3758">
        <f>IF(F1="售价",ROUND(PRODUCT(V37,AC7:AC36),0),ROUND(PRODUCT(V37,AC7:AC36),1))</f>
        <v>10969</v>
      </c>
      <c r="W38" s="3758"/>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759" t="str">
        <f>A39</f>
        <v>估价对象XX用房的比较价值（楼面单价，元/平方米）</v>
      </c>
      <c r="Q39" s="3760"/>
      <c r="R39" s="3761">
        <f>IF(F1="售价",ROUND(AVERAGE(R38:V38),0),ROUND(AVERAGE(R38:V38),1))</f>
        <v>9994</v>
      </c>
      <c r="S39" s="3761"/>
      <c r="T39" s="3761"/>
      <c r="U39" s="3761"/>
      <c r="V39" s="3761"/>
      <c r="W39" s="3761"/>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3661</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3662</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3664</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ht="15">
      <c r="A5" s="403"/>
      <c r="B5" s="404"/>
      <c r="C5" s="3791" t="s">
        <v>2530</v>
      </c>
      <c r="D5" s="3792"/>
      <c r="E5" s="3789" t="s">
        <v>2531</v>
      </c>
      <c r="F5" s="3790"/>
      <c r="G5" s="3791" t="s">
        <v>2532</v>
      </c>
      <c r="H5" s="3792"/>
      <c r="I5" s="3791" t="s">
        <v>2533</v>
      </c>
      <c r="J5" s="3792"/>
      <c r="K5" s="609"/>
      <c r="L5" s="1113"/>
      <c r="M5" s="1114"/>
      <c r="N5" s="1114"/>
      <c r="O5" s="1114"/>
      <c r="P5" s="3741"/>
      <c r="Q5" s="3742"/>
      <c r="R5" s="3724"/>
      <c r="S5" s="3725"/>
      <c r="T5" s="3724"/>
      <c r="U5" s="3725"/>
      <c r="V5" s="3719"/>
      <c r="W5" s="3719"/>
      <c r="X5" s="1793"/>
      <c r="Y5" s="3724"/>
      <c r="Z5" s="3725"/>
      <c r="AA5" s="3717"/>
      <c r="AB5" s="3717"/>
      <c r="AC5" s="3717"/>
    </row>
    <row r="6" spans="1:29" ht="15.75" thickBot="1">
      <c r="A6" s="405"/>
      <c r="B6" s="406"/>
      <c r="C6" s="3730" t="s">
        <v>2534</v>
      </c>
      <c r="D6" s="3731"/>
      <c r="E6" s="3732" t="s">
        <v>2534</v>
      </c>
      <c r="F6" s="3733"/>
      <c r="G6" s="3730" t="s">
        <v>2534</v>
      </c>
      <c r="H6" s="3731"/>
      <c r="I6" s="3730" t="s">
        <v>2534</v>
      </c>
      <c r="J6" s="373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720" t="s">
        <v>2537</v>
      </c>
      <c r="Q7" s="3747"/>
      <c r="R7" s="766" t="s">
        <v>17</v>
      </c>
      <c r="S7" s="767">
        <f t="shared" ref="S7:S14" si="0">F7</f>
        <v>0</v>
      </c>
      <c r="T7" s="766" t="s">
        <v>17</v>
      </c>
      <c r="U7" s="767">
        <f t="shared" ref="U7:U14" si="1">H7</f>
        <v>0</v>
      </c>
      <c r="V7" s="766" t="s">
        <v>17</v>
      </c>
      <c r="W7" s="767">
        <f t="shared" ref="W7:W14" si="2">J7</f>
        <v>0</v>
      </c>
      <c r="X7" s="768"/>
      <c r="Y7" s="3720" t="s">
        <v>2537</v>
      </c>
      <c r="Z7" s="3721"/>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720" t="s">
        <v>2540</v>
      </c>
      <c r="Q8" s="3721"/>
      <c r="R8" s="766" t="s">
        <v>17</v>
      </c>
      <c r="S8" s="767">
        <f t="shared" si="0"/>
        <v>0</v>
      </c>
      <c r="T8" s="766" t="s">
        <v>17</v>
      </c>
      <c r="U8" s="767">
        <f t="shared" si="1"/>
        <v>0</v>
      </c>
      <c r="V8" s="766" t="s">
        <v>17</v>
      </c>
      <c r="W8" s="767">
        <f t="shared" si="2"/>
        <v>0</v>
      </c>
      <c r="X8" s="768"/>
      <c r="Y8" s="3720" t="s">
        <v>2540</v>
      </c>
      <c r="Z8" s="3721"/>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757" t="s">
        <v>2543</v>
      </c>
      <c r="Q9" s="1775" t="str">
        <f t="shared" ref="Q9:Q14" si="6">B9</f>
        <v>用途</v>
      </c>
      <c r="R9" s="766" t="s">
        <v>17</v>
      </c>
      <c r="S9" s="767">
        <f t="shared" si="0"/>
        <v>100</v>
      </c>
      <c r="T9" s="766" t="s">
        <v>17</v>
      </c>
      <c r="U9" s="767">
        <f t="shared" si="1"/>
        <v>100</v>
      </c>
      <c r="V9" s="766" t="s">
        <v>17</v>
      </c>
      <c r="W9" s="767">
        <f t="shared" si="2"/>
        <v>100</v>
      </c>
      <c r="X9" s="768"/>
      <c r="Y9" s="3521"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757"/>
      <c r="Q10" s="1775" t="str">
        <f t="shared" si="6"/>
        <v>土地使用年限（年）</v>
      </c>
      <c r="R10" s="766" t="s">
        <v>17</v>
      </c>
      <c r="S10" s="767">
        <f t="shared" si="0"/>
        <v>100</v>
      </c>
      <c r="T10" s="766" t="s">
        <v>17</v>
      </c>
      <c r="U10" s="767">
        <f t="shared" si="1"/>
        <v>100</v>
      </c>
      <c r="V10" s="766" t="s">
        <v>17</v>
      </c>
      <c r="W10" s="767">
        <f t="shared" si="2"/>
        <v>100</v>
      </c>
      <c r="X10" s="768"/>
      <c r="Y10" s="3521"/>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757"/>
      <c r="Q11" s="1775">
        <f t="shared" si="6"/>
        <v>111</v>
      </c>
      <c r="R11" s="766" t="s">
        <v>17</v>
      </c>
      <c r="S11" s="767">
        <f t="shared" si="0"/>
        <v>100</v>
      </c>
      <c r="T11" s="766" t="s">
        <v>17</v>
      </c>
      <c r="U11" s="767">
        <f t="shared" si="1"/>
        <v>100</v>
      </c>
      <c r="V11" s="766" t="s">
        <v>17</v>
      </c>
      <c r="W11" s="767">
        <f t="shared" si="2"/>
        <v>100</v>
      </c>
      <c r="X11" s="768"/>
      <c r="Y11" s="3521"/>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750" t="s">
        <v>2548</v>
      </c>
      <c r="Q14" s="1790" t="str">
        <f t="shared" si="6"/>
        <v>交通便捷度</v>
      </c>
      <c r="R14" s="770" t="s">
        <v>17</v>
      </c>
      <c r="S14" s="771">
        <f t="shared" si="0"/>
        <v>100</v>
      </c>
      <c r="T14" s="770" t="s">
        <v>17</v>
      </c>
      <c r="U14" s="771">
        <f t="shared" si="1"/>
        <v>100</v>
      </c>
      <c r="V14" s="770" t="s">
        <v>17</v>
      </c>
      <c r="W14" s="771">
        <f t="shared" si="2"/>
        <v>100</v>
      </c>
      <c r="X14" s="1793"/>
      <c r="Y14" s="3750"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751"/>
      <c r="Q15" s="1790"/>
      <c r="R15" s="770"/>
      <c r="S15" s="771"/>
      <c r="T15" s="770"/>
      <c r="U15" s="771"/>
      <c r="V15" s="770"/>
      <c r="W15" s="771"/>
      <c r="X15" s="1793"/>
      <c r="Y15" s="3751"/>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751"/>
      <c r="Q16" s="1790" t="str">
        <f>B16</f>
        <v>公共配套设施</v>
      </c>
      <c r="R16" s="770" t="s">
        <v>17</v>
      </c>
      <c r="S16" s="771">
        <f>F16</f>
        <v>100</v>
      </c>
      <c r="T16" s="770" t="s">
        <v>17</v>
      </c>
      <c r="U16" s="771">
        <f>H16</f>
        <v>100</v>
      </c>
      <c r="V16" s="770" t="s">
        <v>17</v>
      </c>
      <c r="W16" s="771">
        <f>J16</f>
        <v>100</v>
      </c>
      <c r="X16" s="1793"/>
      <c r="Y16" s="3751"/>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751"/>
      <c r="Q17" s="1790"/>
      <c r="R17" s="770"/>
      <c r="S17" s="771"/>
      <c r="T17" s="770"/>
      <c r="U17" s="771"/>
      <c r="V17" s="770"/>
      <c r="W17" s="771"/>
      <c r="X17" s="1793"/>
      <c r="Y17" s="3751"/>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751"/>
      <c r="Q18" s="1790" t="str">
        <f>B18</f>
        <v>基础设施水平</v>
      </c>
      <c r="R18" s="770" t="s">
        <v>17</v>
      </c>
      <c r="S18" s="771">
        <f>F18</f>
        <v>100</v>
      </c>
      <c r="T18" s="770" t="s">
        <v>17</v>
      </c>
      <c r="U18" s="771">
        <f>H18</f>
        <v>100</v>
      </c>
      <c r="V18" s="770" t="s">
        <v>17</v>
      </c>
      <c r="W18" s="771">
        <f>J18</f>
        <v>100</v>
      </c>
      <c r="X18" s="1793"/>
      <c r="Y18" s="3751"/>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751"/>
      <c r="Q19" s="1790"/>
      <c r="R19" s="770"/>
      <c r="S19" s="771"/>
      <c r="T19" s="770"/>
      <c r="U19" s="771"/>
      <c r="V19" s="770"/>
      <c r="W19" s="771"/>
      <c r="X19" s="1793"/>
      <c r="Y19" s="3751"/>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751"/>
      <c r="Q20" s="1790" t="str">
        <f>B20</f>
        <v>自然及人文环境</v>
      </c>
      <c r="R20" s="770" t="s">
        <v>17</v>
      </c>
      <c r="S20" s="771">
        <f>F20</f>
        <v>100</v>
      </c>
      <c r="T20" s="770" t="s">
        <v>17</v>
      </c>
      <c r="U20" s="771">
        <f>H20</f>
        <v>100</v>
      </c>
      <c r="V20" s="770" t="s">
        <v>17</v>
      </c>
      <c r="W20" s="771">
        <f>J20</f>
        <v>100</v>
      </c>
      <c r="X20" s="1793"/>
      <c r="Y20" s="3751"/>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751"/>
      <c r="Q21" s="1790"/>
      <c r="R21" s="770"/>
      <c r="S21" s="771"/>
      <c r="T21" s="770"/>
      <c r="U21" s="771"/>
      <c r="V21" s="770"/>
      <c r="W21" s="771"/>
      <c r="X21" s="1793"/>
      <c r="Y21" s="3751"/>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751"/>
      <c r="Q22" s="1790" t="str">
        <f>B22</f>
        <v>楼层</v>
      </c>
      <c r="R22" s="770" t="s">
        <v>17</v>
      </c>
      <c r="S22" s="771">
        <f>F22</f>
        <v>100</v>
      </c>
      <c r="T22" s="770" t="s">
        <v>17</v>
      </c>
      <c r="U22" s="771">
        <f>H22</f>
        <v>100</v>
      </c>
      <c r="V22" s="770" t="s">
        <v>17</v>
      </c>
      <c r="W22" s="771">
        <f>J22</f>
        <v>100</v>
      </c>
      <c r="X22" s="1793"/>
      <c r="Y22" s="3751"/>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751"/>
      <c r="Q23" s="1790">
        <f>B23</f>
        <v>111</v>
      </c>
      <c r="R23" s="770" t="s">
        <v>17</v>
      </c>
      <c r="S23" s="771">
        <f>F23</f>
        <v>100</v>
      </c>
      <c r="T23" s="770" t="s">
        <v>17</v>
      </c>
      <c r="U23" s="771">
        <f>H23</f>
        <v>100</v>
      </c>
      <c r="V23" s="770" t="s">
        <v>17</v>
      </c>
      <c r="W23" s="771">
        <f>J23</f>
        <v>100</v>
      </c>
      <c r="X23" s="1793"/>
      <c r="Y23" s="3751"/>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751"/>
      <c r="Q24" s="1790">
        <f t="shared" ref="Q24:Q34" si="11">B24</f>
        <v>111</v>
      </c>
      <c r="R24" s="770" t="s">
        <v>17</v>
      </c>
      <c r="S24" s="771">
        <f>F24</f>
        <v>100</v>
      </c>
      <c r="T24" s="770" t="s">
        <v>17</v>
      </c>
      <c r="U24" s="771">
        <f>H24</f>
        <v>100</v>
      </c>
      <c r="V24" s="770" t="s">
        <v>17</v>
      </c>
      <c r="W24" s="771">
        <f>J24</f>
        <v>100</v>
      </c>
      <c r="X24" s="1793"/>
      <c r="Y24" s="3751"/>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751"/>
      <c r="Q25" s="1775">
        <f t="shared" si="11"/>
        <v>111</v>
      </c>
      <c r="R25" s="766" t="s">
        <v>17</v>
      </c>
      <c r="S25" s="767">
        <f>F25</f>
        <v>100</v>
      </c>
      <c r="T25" s="766" t="s">
        <v>17</v>
      </c>
      <c r="U25" s="767">
        <f>H25</f>
        <v>100</v>
      </c>
      <c r="V25" s="766" t="s">
        <v>17</v>
      </c>
      <c r="W25" s="767">
        <f>J25</f>
        <v>100</v>
      </c>
      <c r="X25" s="768"/>
      <c r="Y25" s="3751"/>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93"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755"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755"/>
      <c r="Q27" s="772" t="str">
        <f t="shared" si="11"/>
        <v>成新率</v>
      </c>
      <c r="R27" s="773" t="s">
        <v>17</v>
      </c>
      <c r="S27" s="774" t="e">
        <f t="shared" si="12"/>
        <v>#N/A</v>
      </c>
      <c r="T27" s="773" t="s">
        <v>17</v>
      </c>
      <c r="U27" s="774" t="e">
        <f t="shared" si="13"/>
        <v>#N/A</v>
      </c>
      <c r="V27" s="773" t="s">
        <v>17</v>
      </c>
      <c r="W27" s="774" t="e">
        <f t="shared" si="14"/>
        <v>#N/A</v>
      </c>
      <c r="X27" s="775"/>
      <c r="Y27" s="3755"/>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755"/>
      <c r="Q28" s="1790" t="str">
        <f t="shared" si="11"/>
        <v>物业等级</v>
      </c>
      <c r="R28" s="770" t="s">
        <v>17</v>
      </c>
      <c r="S28" s="771">
        <f t="shared" si="12"/>
        <v>100</v>
      </c>
      <c r="T28" s="770" t="s">
        <v>17</v>
      </c>
      <c r="U28" s="771">
        <f t="shared" si="13"/>
        <v>100</v>
      </c>
      <c r="V28" s="770" t="s">
        <v>17</v>
      </c>
      <c r="W28" s="771">
        <f t="shared" si="14"/>
        <v>100</v>
      </c>
      <c r="X28" s="1793"/>
      <c r="Y28" s="3755"/>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755"/>
      <c r="Q29" s="1790" t="str">
        <f t="shared" si="11"/>
        <v>有无电梯</v>
      </c>
      <c r="R29" s="770" t="s">
        <v>17</v>
      </c>
      <c r="S29" s="771">
        <f t="shared" si="12"/>
        <v>100</v>
      </c>
      <c r="T29" s="770" t="s">
        <v>17</v>
      </c>
      <c r="U29" s="771">
        <f t="shared" si="13"/>
        <v>100</v>
      </c>
      <c r="V29" s="770" t="s">
        <v>17</v>
      </c>
      <c r="W29" s="771">
        <f t="shared" si="14"/>
        <v>100</v>
      </c>
      <c r="X29" s="1793"/>
      <c r="Y29" s="3755"/>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755"/>
      <c r="Q30" s="1790" t="str">
        <f t="shared" si="11"/>
        <v>建筑面积</v>
      </c>
      <c r="R30" s="770" t="s">
        <v>17</v>
      </c>
      <c r="S30" s="771" t="e">
        <f t="shared" si="12"/>
        <v>#N/A</v>
      </c>
      <c r="T30" s="770" t="s">
        <v>17</v>
      </c>
      <c r="U30" s="771" t="e">
        <f t="shared" si="13"/>
        <v>#N/A</v>
      </c>
      <c r="V30" s="770" t="s">
        <v>17</v>
      </c>
      <c r="W30" s="771" t="e">
        <f t="shared" si="14"/>
        <v>#N/A</v>
      </c>
      <c r="X30" s="1793"/>
      <c r="Y30" s="3755"/>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755"/>
      <c r="Q31" s="1775" t="str">
        <f t="shared" si="11"/>
        <v>是否封闭</v>
      </c>
      <c r="R31" s="766" t="s">
        <v>17</v>
      </c>
      <c r="S31" s="767">
        <f t="shared" si="12"/>
        <v>100</v>
      </c>
      <c r="T31" s="766" t="s">
        <v>17</v>
      </c>
      <c r="U31" s="767">
        <f t="shared" si="13"/>
        <v>100</v>
      </c>
      <c r="V31" s="766" t="s">
        <v>17</v>
      </c>
      <c r="W31" s="767">
        <f t="shared" si="14"/>
        <v>100</v>
      </c>
      <c r="X31" s="768"/>
      <c r="Y31" s="3755"/>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755" t="s">
        <v>2553</v>
      </c>
      <c r="Q32" s="1790">
        <f t="shared" si="11"/>
        <v>111</v>
      </c>
      <c r="R32" s="770" t="s">
        <v>17</v>
      </c>
      <c r="S32" s="771">
        <f t="shared" si="12"/>
        <v>100</v>
      </c>
      <c r="T32" s="770" t="s">
        <v>17</v>
      </c>
      <c r="U32" s="771">
        <f t="shared" si="13"/>
        <v>100</v>
      </c>
      <c r="V32" s="770" t="s">
        <v>17</v>
      </c>
      <c r="W32" s="771">
        <f t="shared" si="14"/>
        <v>100</v>
      </c>
      <c r="X32" s="1793"/>
      <c r="Y32" s="3755"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755"/>
      <c r="Q33" s="1790">
        <f t="shared" si="11"/>
        <v>111</v>
      </c>
      <c r="R33" s="770" t="s">
        <v>17</v>
      </c>
      <c r="S33" s="771">
        <f t="shared" si="12"/>
        <v>100</v>
      </c>
      <c r="T33" s="770" t="s">
        <v>17</v>
      </c>
      <c r="U33" s="771">
        <f t="shared" si="13"/>
        <v>100</v>
      </c>
      <c r="V33" s="770" t="s">
        <v>17</v>
      </c>
      <c r="W33" s="771">
        <f t="shared" si="14"/>
        <v>100</v>
      </c>
      <c r="X33" s="1793"/>
      <c r="Y33" s="3755"/>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755"/>
      <c r="Q34" s="1790">
        <f t="shared" si="11"/>
        <v>111</v>
      </c>
      <c r="R34" s="770" t="s">
        <v>17</v>
      </c>
      <c r="S34" s="771">
        <f t="shared" si="12"/>
        <v>100</v>
      </c>
      <c r="T34" s="770" t="s">
        <v>17</v>
      </c>
      <c r="U34" s="771">
        <f t="shared" si="13"/>
        <v>100</v>
      </c>
      <c r="V34" s="770" t="s">
        <v>17</v>
      </c>
      <c r="W34" s="771">
        <f t="shared" si="14"/>
        <v>100</v>
      </c>
      <c r="X34" s="1793"/>
      <c r="Y34" s="3755"/>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757" t="str">
        <f>A35</f>
        <v>成交单价（元/平方米）</v>
      </c>
      <c r="Q35" s="3757"/>
      <c r="R35" s="3758">
        <f>E35</f>
        <v>0</v>
      </c>
      <c r="S35" s="3758"/>
      <c r="T35" s="3758">
        <f>G35</f>
        <v>0</v>
      </c>
      <c r="U35" s="3758"/>
      <c r="V35" s="3758">
        <f>I35</f>
        <v>0</v>
      </c>
      <c r="W35" s="3758"/>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757" t="str">
        <f>A36</f>
        <v>比较价值（元/平方米）</v>
      </c>
      <c r="Q36" s="3757"/>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759" t="str">
        <f>A37</f>
        <v>估价对象XX用房的比较价值（楼面单价，元/平方米）</v>
      </c>
      <c r="Q37" s="3760"/>
      <c r="R37" s="3761" t="e">
        <f>IF(F1="售价",ROUND(AVERAGE(R36:V36),0),ROUND(AVERAGE(R36:V36),1))</f>
        <v>#DIV/0!</v>
      </c>
      <c r="S37" s="3761"/>
      <c r="T37" s="3761"/>
      <c r="U37" s="3761"/>
      <c r="V37" s="3761"/>
      <c r="W37" s="3761"/>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735" t="s">
        <v>2634</v>
      </c>
      <c r="D4" s="3736"/>
      <c r="E4" s="3737" t="s">
        <v>2635</v>
      </c>
      <c r="F4" s="3738"/>
      <c r="G4" s="3735" t="s">
        <v>2636</v>
      </c>
      <c r="H4" s="3736"/>
      <c r="I4" s="3735" t="s">
        <v>2637</v>
      </c>
      <c r="J4" s="3736"/>
      <c r="K4" s="609" t="s">
        <v>2638</v>
      </c>
      <c r="L4" s="1113"/>
      <c r="M4" s="1114"/>
      <c r="N4" s="1114"/>
      <c r="O4" s="1114"/>
      <c r="P4" s="3739" t="s">
        <v>2639</v>
      </c>
      <c r="Q4" s="3740"/>
      <c r="R4" s="3722" t="s">
        <v>2635</v>
      </c>
      <c r="S4" s="3723"/>
      <c r="T4" s="3722" t="s">
        <v>2636</v>
      </c>
      <c r="U4" s="3723"/>
      <c r="V4" s="3719" t="s">
        <v>2637</v>
      </c>
      <c r="W4" s="3719"/>
      <c r="X4" s="1793"/>
      <c r="Y4" s="3722" t="s">
        <v>2639</v>
      </c>
      <c r="Z4" s="3723"/>
      <c r="AA4" s="3716" t="s">
        <v>2635</v>
      </c>
      <c r="AB4" s="3717" t="s">
        <v>2636</v>
      </c>
      <c r="AC4" s="3716" t="s">
        <v>2637</v>
      </c>
    </row>
    <row r="5" spans="1:29" ht="15">
      <c r="A5" s="403"/>
      <c r="B5" s="404"/>
      <c r="C5" s="3791" t="s">
        <v>2530</v>
      </c>
      <c r="D5" s="3792"/>
      <c r="E5" s="3789" t="s">
        <v>2531</v>
      </c>
      <c r="F5" s="3790"/>
      <c r="G5" s="3791" t="s">
        <v>2532</v>
      </c>
      <c r="H5" s="3792"/>
      <c r="I5" s="3791" t="s">
        <v>2533</v>
      </c>
      <c r="J5" s="3792"/>
      <c r="K5" s="609"/>
      <c r="L5" s="1113"/>
      <c r="M5" s="1114"/>
      <c r="N5" s="1114"/>
      <c r="O5" s="1114"/>
      <c r="P5" s="3741"/>
      <c r="Q5" s="3742"/>
      <c r="R5" s="3724"/>
      <c r="S5" s="3725"/>
      <c r="T5" s="3724"/>
      <c r="U5" s="3725"/>
      <c r="V5" s="3719"/>
      <c r="W5" s="3719"/>
      <c r="X5" s="1793"/>
      <c r="Y5" s="3724"/>
      <c r="Z5" s="3725"/>
      <c r="AA5" s="3717"/>
      <c r="AB5" s="3717"/>
      <c r="AC5" s="3717"/>
    </row>
    <row r="6" spans="1:29" ht="15.75" thickBot="1">
      <c r="A6" s="405"/>
      <c r="B6" s="406"/>
      <c r="C6" s="3800" t="s">
        <v>2775</v>
      </c>
      <c r="D6" s="3801"/>
      <c r="E6" s="3802" t="s">
        <v>2775</v>
      </c>
      <c r="F6" s="3803"/>
      <c r="G6" s="3800" t="s">
        <v>2775</v>
      </c>
      <c r="H6" s="3801"/>
      <c r="I6" s="3800" t="s">
        <v>2775</v>
      </c>
      <c r="J6" s="3801"/>
      <c r="K6" s="609" t="s">
        <v>2535</v>
      </c>
      <c r="L6" s="1113"/>
      <c r="M6" s="1114"/>
      <c r="N6" s="1114"/>
      <c r="O6" s="1114"/>
      <c r="P6" s="3743"/>
      <c r="Q6" s="3744"/>
      <c r="R6" s="3724"/>
      <c r="S6" s="3725"/>
      <c r="T6" s="3745"/>
      <c r="U6" s="3746"/>
      <c r="V6" s="3719"/>
      <c r="W6" s="3719"/>
      <c r="X6" s="1793"/>
      <c r="Y6" s="3745"/>
      <c r="Z6" s="3746"/>
      <c r="AA6" s="3718"/>
      <c r="AB6" s="3718"/>
      <c r="AC6" s="3718"/>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720" t="s">
        <v>2537</v>
      </c>
      <c r="Q7" s="3747"/>
      <c r="R7" s="766" t="s">
        <v>17</v>
      </c>
      <c r="S7" s="767">
        <f t="shared" ref="S7:S15" si="0">F7</f>
        <v>0</v>
      </c>
      <c r="T7" s="766" t="s">
        <v>17</v>
      </c>
      <c r="U7" s="767">
        <f t="shared" ref="U7:U15" si="1">H7</f>
        <v>0</v>
      </c>
      <c r="V7" s="766" t="s">
        <v>17</v>
      </c>
      <c r="W7" s="767">
        <f t="shared" ref="W7:W15" si="2">J7</f>
        <v>0</v>
      </c>
      <c r="X7" s="768"/>
      <c r="Y7" s="3720" t="s">
        <v>2537</v>
      </c>
      <c r="Z7" s="3721"/>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720" t="s">
        <v>2540</v>
      </c>
      <c r="Q8" s="3721"/>
      <c r="R8" s="766" t="s">
        <v>17</v>
      </c>
      <c r="S8" s="767">
        <f t="shared" si="0"/>
        <v>0</v>
      </c>
      <c r="T8" s="766" t="s">
        <v>17</v>
      </c>
      <c r="U8" s="767">
        <f t="shared" si="1"/>
        <v>0</v>
      </c>
      <c r="V8" s="766" t="s">
        <v>17</v>
      </c>
      <c r="W8" s="767">
        <f t="shared" si="2"/>
        <v>0</v>
      </c>
      <c r="X8" s="768"/>
      <c r="Y8" s="3720" t="s">
        <v>2540</v>
      </c>
      <c r="Z8" s="3721"/>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757" t="s">
        <v>2543</v>
      </c>
      <c r="Q9" s="1775" t="str">
        <f t="shared" ref="Q9:Q15" si="6">B9</f>
        <v>用途</v>
      </c>
      <c r="R9" s="766" t="s">
        <v>17</v>
      </c>
      <c r="S9" s="767">
        <f t="shared" si="0"/>
        <v>100</v>
      </c>
      <c r="T9" s="766" t="s">
        <v>17</v>
      </c>
      <c r="U9" s="767">
        <f t="shared" si="1"/>
        <v>100</v>
      </c>
      <c r="V9" s="766" t="s">
        <v>17</v>
      </c>
      <c r="W9" s="767">
        <f t="shared" si="2"/>
        <v>100</v>
      </c>
      <c r="X9" s="768"/>
      <c r="Y9" s="3521"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757"/>
      <c r="Q10" s="1775" t="str">
        <f t="shared" si="6"/>
        <v>土地使用年限（年）</v>
      </c>
      <c r="R10" s="766" t="s">
        <v>17</v>
      </c>
      <c r="S10" s="767">
        <f t="shared" si="0"/>
        <v>124</v>
      </c>
      <c r="T10" s="766" t="s">
        <v>17</v>
      </c>
      <c r="U10" s="767">
        <f t="shared" si="1"/>
        <v>124</v>
      </c>
      <c r="V10" s="766" t="s">
        <v>17</v>
      </c>
      <c r="W10" s="767">
        <f t="shared" si="2"/>
        <v>124</v>
      </c>
      <c r="X10" s="768"/>
      <c r="Y10" s="3521"/>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757"/>
      <c r="Q11" s="1775" t="str">
        <f t="shared" si="6"/>
        <v>容积率</v>
      </c>
      <c r="R11" s="766" t="s">
        <v>17</v>
      </c>
      <c r="S11" s="767" t="e">
        <f t="shared" si="0"/>
        <v>#N/A</v>
      </c>
      <c r="T11" s="766" t="s">
        <v>17</v>
      </c>
      <c r="U11" s="767" t="e">
        <f t="shared" si="1"/>
        <v>#N/A</v>
      </c>
      <c r="V11" s="766" t="s">
        <v>17</v>
      </c>
      <c r="W11" s="767" t="e">
        <f t="shared" si="2"/>
        <v>#N/A</v>
      </c>
      <c r="X11" s="768"/>
      <c r="Y11" s="3521"/>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757"/>
      <c r="Q12" s="1775">
        <f t="shared" si="6"/>
        <v>111</v>
      </c>
      <c r="R12" s="766" t="s">
        <v>17</v>
      </c>
      <c r="S12" s="767">
        <f t="shared" si="0"/>
        <v>100</v>
      </c>
      <c r="T12" s="766" t="s">
        <v>17</v>
      </c>
      <c r="U12" s="767">
        <f t="shared" si="1"/>
        <v>100</v>
      </c>
      <c r="V12" s="766" t="s">
        <v>17</v>
      </c>
      <c r="W12" s="767">
        <f t="shared" si="2"/>
        <v>100</v>
      </c>
      <c r="X12" s="768"/>
      <c r="Y12" s="3521"/>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757"/>
      <c r="Q13" s="1775">
        <f t="shared" si="6"/>
        <v>111</v>
      </c>
      <c r="R13" s="766" t="s">
        <v>17</v>
      </c>
      <c r="S13" s="767">
        <f t="shared" si="0"/>
        <v>100</v>
      </c>
      <c r="T13" s="766" t="s">
        <v>17</v>
      </c>
      <c r="U13" s="767">
        <f t="shared" si="1"/>
        <v>100</v>
      </c>
      <c r="V13" s="766" t="s">
        <v>17</v>
      </c>
      <c r="W13" s="767">
        <f t="shared" si="2"/>
        <v>100</v>
      </c>
      <c r="X13" s="768"/>
      <c r="Y13" s="3521"/>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757"/>
      <c r="Q14" s="1775">
        <f t="shared" si="6"/>
        <v>111</v>
      </c>
      <c r="R14" s="766" t="s">
        <v>17</v>
      </c>
      <c r="S14" s="767">
        <f t="shared" si="0"/>
        <v>100</v>
      </c>
      <c r="T14" s="766" t="s">
        <v>17</v>
      </c>
      <c r="U14" s="767">
        <f t="shared" si="1"/>
        <v>100</v>
      </c>
      <c r="V14" s="766" t="s">
        <v>17</v>
      </c>
      <c r="W14" s="767">
        <f t="shared" si="2"/>
        <v>100</v>
      </c>
      <c r="X14" s="768"/>
      <c r="Y14" s="3521"/>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750" t="s">
        <v>2548</v>
      </c>
      <c r="Q15" s="1790" t="str">
        <f t="shared" si="6"/>
        <v>产业集聚程度</v>
      </c>
      <c r="R15" s="770" t="s">
        <v>17</v>
      </c>
      <c r="S15" s="771">
        <f t="shared" si="0"/>
        <v>100</v>
      </c>
      <c r="T15" s="770" t="s">
        <v>17</v>
      </c>
      <c r="U15" s="771">
        <f t="shared" si="1"/>
        <v>100</v>
      </c>
      <c r="V15" s="770" t="s">
        <v>17</v>
      </c>
      <c r="W15" s="771">
        <f t="shared" si="2"/>
        <v>100</v>
      </c>
      <c r="X15" s="1793"/>
      <c r="Y15" s="3750"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751"/>
      <c r="Q16" s="1790"/>
      <c r="R16" s="770"/>
      <c r="S16" s="771"/>
      <c r="T16" s="770"/>
      <c r="U16" s="771"/>
      <c r="V16" s="770"/>
      <c r="W16" s="771"/>
      <c r="X16" s="1793"/>
      <c r="Y16" s="3751"/>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751"/>
      <c r="Q17" s="1790" t="str">
        <f>B17</f>
        <v>交通便捷度</v>
      </c>
      <c r="R17" s="770" t="s">
        <v>17</v>
      </c>
      <c r="S17" s="771">
        <f>F17</f>
        <v>100</v>
      </c>
      <c r="T17" s="770" t="s">
        <v>17</v>
      </c>
      <c r="U17" s="771">
        <f>H17</f>
        <v>100</v>
      </c>
      <c r="V17" s="770" t="s">
        <v>17</v>
      </c>
      <c r="W17" s="771">
        <f>J17</f>
        <v>100</v>
      </c>
      <c r="X17" s="1793"/>
      <c r="Y17" s="3751"/>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751"/>
      <c r="Q18" s="1790"/>
      <c r="R18" s="770"/>
      <c r="S18" s="771"/>
      <c r="T18" s="770"/>
      <c r="U18" s="771"/>
      <c r="V18" s="770"/>
      <c r="W18" s="771"/>
      <c r="X18" s="1793"/>
      <c r="Y18" s="3751"/>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751"/>
      <c r="Q19" s="1790" t="str">
        <f t="shared" ref="Q19:Q33" si="8">B19</f>
        <v>区域土地利用方向</v>
      </c>
      <c r="R19" s="770" t="s">
        <v>17</v>
      </c>
      <c r="S19" s="771">
        <f>F19</f>
        <v>100</v>
      </c>
      <c r="T19" s="770" t="s">
        <v>17</v>
      </c>
      <c r="U19" s="771">
        <f>H19</f>
        <v>100</v>
      </c>
      <c r="V19" s="770" t="s">
        <v>17</v>
      </c>
      <c r="W19" s="771">
        <f>J19</f>
        <v>100</v>
      </c>
      <c r="X19" s="1793"/>
      <c r="Y19" s="3751"/>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751"/>
      <c r="Q20" s="1790"/>
      <c r="R20" s="770"/>
      <c r="S20" s="771"/>
      <c r="T20" s="770"/>
      <c r="U20" s="771"/>
      <c r="V20" s="770"/>
      <c r="W20" s="771"/>
      <c r="X20" s="1793"/>
      <c r="Y20" s="3751"/>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751"/>
      <c r="Q21" s="1790" t="str">
        <f t="shared" si="8"/>
        <v>环境状况</v>
      </c>
      <c r="R21" s="770" t="s">
        <v>17</v>
      </c>
      <c r="S21" s="771">
        <f>F21</f>
        <v>100</v>
      </c>
      <c r="T21" s="770" t="s">
        <v>17</v>
      </c>
      <c r="U21" s="771">
        <f>H21</f>
        <v>100</v>
      </c>
      <c r="V21" s="770" t="s">
        <v>17</v>
      </c>
      <c r="W21" s="771">
        <f>J21</f>
        <v>100</v>
      </c>
      <c r="X21" s="1793"/>
      <c r="Y21" s="3751"/>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751"/>
      <c r="Q22" s="1790"/>
      <c r="R22" s="770"/>
      <c r="S22" s="771"/>
      <c r="T22" s="770"/>
      <c r="U22" s="771"/>
      <c r="V22" s="770"/>
      <c r="W22" s="771"/>
      <c r="X22" s="1793"/>
      <c r="Y22" s="3751"/>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751"/>
      <c r="Q23" s="1775" t="str">
        <f t="shared" si="8"/>
        <v>公共配套设施</v>
      </c>
      <c r="R23" s="766" t="s">
        <v>17</v>
      </c>
      <c r="S23" s="767">
        <f>F23</f>
        <v>100</v>
      </c>
      <c r="T23" s="766" t="s">
        <v>17</v>
      </c>
      <c r="U23" s="767">
        <f>H23</f>
        <v>100</v>
      </c>
      <c r="V23" s="766" t="s">
        <v>17</v>
      </c>
      <c r="W23" s="767">
        <f>J23</f>
        <v>100</v>
      </c>
      <c r="X23" s="768"/>
      <c r="Y23" s="3751"/>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751"/>
      <c r="Q24" s="1775"/>
      <c r="R24" s="766"/>
      <c r="S24" s="767"/>
      <c r="T24" s="766"/>
      <c r="U24" s="767"/>
      <c r="V24" s="766"/>
      <c r="W24" s="767"/>
      <c r="X24" s="768"/>
      <c r="Y24" s="3751"/>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751"/>
      <c r="Q25" s="1775" t="str">
        <f t="shared" ref="Q25" si="9">B25</f>
        <v>基础设施水平</v>
      </c>
      <c r="R25" s="766" t="s">
        <v>17</v>
      </c>
      <c r="S25" s="767">
        <f>F25</f>
        <v>100</v>
      </c>
      <c r="T25" s="766" t="s">
        <v>17</v>
      </c>
      <c r="U25" s="767">
        <f>H25</f>
        <v>100</v>
      </c>
      <c r="V25" s="766" t="s">
        <v>17</v>
      </c>
      <c r="W25" s="767">
        <f>J25</f>
        <v>100</v>
      </c>
      <c r="X25" s="768"/>
      <c r="Y25" s="3751"/>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751"/>
      <c r="Q26" s="1775"/>
      <c r="R26" s="766"/>
      <c r="S26" s="767"/>
      <c r="T26" s="766"/>
      <c r="U26" s="767"/>
      <c r="V26" s="766"/>
      <c r="W26" s="767"/>
      <c r="X26" s="768"/>
      <c r="Y26" s="3751"/>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751"/>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751"/>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751"/>
      <c r="Q28" s="1790" t="str">
        <f t="shared" si="8"/>
        <v>毗邻道路的类型与等级</v>
      </c>
      <c r="R28" s="770" t="s">
        <v>17</v>
      </c>
      <c r="S28" s="771">
        <f t="shared" si="10"/>
        <v>100</v>
      </c>
      <c r="T28" s="770" t="s">
        <v>17</v>
      </c>
      <c r="U28" s="771">
        <f t="shared" si="11"/>
        <v>100</v>
      </c>
      <c r="V28" s="770" t="s">
        <v>17</v>
      </c>
      <c r="W28" s="771">
        <f t="shared" si="12"/>
        <v>100</v>
      </c>
      <c r="X28" s="1793"/>
      <c r="Y28" s="3751"/>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751"/>
      <c r="Q29" s="1790"/>
      <c r="R29" s="770"/>
      <c r="S29" s="771"/>
      <c r="T29" s="770"/>
      <c r="U29" s="771"/>
      <c r="V29" s="770"/>
      <c r="W29" s="771"/>
      <c r="X29" s="1793"/>
      <c r="Y29" s="3751"/>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751"/>
      <c r="Q30" s="1790" t="str">
        <f t="shared" si="8"/>
        <v>土地级别</v>
      </c>
      <c r="R30" s="770" t="s">
        <v>17</v>
      </c>
      <c r="S30" s="771">
        <f t="shared" si="10"/>
        <v>100</v>
      </c>
      <c r="T30" s="770" t="s">
        <v>17</v>
      </c>
      <c r="U30" s="771">
        <f t="shared" si="11"/>
        <v>100</v>
      </c>
      <c r="V30" s="770" t="s">
        <v>17</v>
      </c>
      <c r="W30" s="771">
        <f t="shared" si="12"/>
        <v>100</v>
      </c>
      <c r="X30" s="1793"/>
      <c r="Y30" s="3751"/>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751"/>
      <c r="Q31" s="1790">
        <f t="shared" si="8"/>
        <v>111</v>
      </c>
      <c r="R31" s="770" t="s">
        <v>17</v>
      </c>
      <c r="S31" s="771">
        <f t="shared" si="10"/>
        <v>100</v>
      </c>
      <c r="T31" s="770" t="s">
        <v>17</v>
      </c>
      <c r="U31" s="771">
        <f t="shared" si="11"/>
        <v>100</v>
      </c>
      <c r="V31" s="770" t="s">
        <v>17</v>
      </c>
      <c r="W31" s="771">
        <f t="shared" si="12"/>
        <v>100</v>
      </c>
      <c r="X31" s="1793"/>
      <c r="Y31" s="3751"/>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93" t="s">
        <v>2553</v>
      </c>
      <c r="Q32" s="1790">
        <f t="shared" si="8"/>
        <v>111</v>
      </c>
      <c r="R32" s="770" t="s">
        <v>17</v>
      </c>
      <c r="S32" s="771">
        <f t="shared" si="10"/>
        <v>100</v>
      </c>
      <c r="T32" s="770" t="s">
        <v>17</v>
      </c>
      <c r="U32" s="771">
        <f t="shared" si="11"/>
        <v>100</v>
      </c>
      <c r="V32" s="770" t="s">
        <v>17</v>
      </c>
      <c r="W32" s="771">
        <f t="shared" si="12"/>
        <v>100</v>
      </c>
      <c r="X32" s="1793"/>
      <c r="Y32" s="3755"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755"/>
      <c r="Q33" s="1790">
        <f t="shared" si="8"/>
        <v>111</v>
      </c>
      <c r="R33" s="773" t="s">
        <v>17</v>
      </c>
      <c r="S33" s="774">
        <f t="shared" si="10"/>
        <v>100</v>
      </c>
      <c r="T33" s="773" t="s">
        <v>17</v>
      </c>
      <c r="U33" s="774">
        <f t="shared" si="11"/>
        <v>100</v>
      </c>
      <c r="V33" s="773" t="s">
        <v>17</v>
      </c>
      <c r="W33" s="774">
        <f t="shared" si="12"/>
        <v>100</v>
      </c>
      <c r="X33" s="775"/>
      <c r="Y33" s="3755"/>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755"/>
      <c r="Q34" s="1790" t="str">
        <f>B34</f>
        <v>宗地面积</v>
      </c>
      <c r="R34" s="770" t="s">
        <v>17</v>
      </c>
      <c r="S34" s="771" t="e">
        <f t="shared" si="10"/>
        <v>#N/A</v>
      </c>
      <c r="T34" s="770" t="s">
        <v>17</v>
      </c>
      <c r="U34" s="771" t="e">
        <f t="shared" si="11"/>
        <v>#N/A</v>
      </c>
      <c r="V34" s="770" t="s">
        <v>17</v>
      </c>
      <c r="W34" s="771" t="e">
        <f t="shared" si="12"/>
        <v>#N/A</v>
      </c>
      <c r="X34" s="1793"/>
      <c r="Y34" s="3755"/>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755"/>
      <c r="Q35" s="1790" t="str">
        <f t="shared" ref="Q35:Q40" si="14">B35</f>
        <v>宗地形状</v>
      </c>
      <c r="R35" s="770" t="s">
        <v>17</v>
      </c>
      <c r="S35" s="771">
        <f t="shared" si="10"/>
        <v>100</v>
      </c>
      <c r="T35" s="770" t="s">
        <v>17</v>
      </c>
      <c r="U35" s="771">
        <f t="shared" si="11"/>
        <v>100</v>
      </c>
      <c r="V35" s="770" t="s">
        <v>17</v>
      </c>
      <c r="W35" s="771">
        <f t="shared" si="12"/>
        <v>100</v>
      </c>
      <c r="X35" s="1793"/>
      <c r="Y35" s="3755"/>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755"/>
      <c r="Q36" s="1790" t="str">
        <f t="shared" si="14"/>
        <v>宗地开发程度</v>
      </c>
      <c r="R36" s="766" t="s">
        <v>17</v>
      </c>
      <c r="S36" s="767">
        <f t="shared" si="10"/>
        <v>100</v>
      </c>
      <c r="T36" s="766" t="s">
        <v>17</v>
      </c>
      <c r="U36" s="767">
        <f t="shared" si="11"/>
        <v>100</v>
      </c>
      <c r="V36" s="766" t="s">
        <v>17</v>
      </c>
      <c r="W36" s="767">
        <f t="shared" si="12"/>
        <v>100</v>
      </c>
      <c r="X36" s="768"/>
      <c r="Y36" s="3755"/>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755" t="s">
        <v>2553</v>
      </c>
      <c r="Q37" s="1790" t="str">
        <f t="shared" si="14"/>
        <v>工程地质条件</v>
      </c>
      <c r="R37" s="770" t="s">
        <v>17</v>
      </c>
      <c r="S37" s="771">
        <f t="shared" si="10"/>
        <v>100</v>
      </c>
      <c r="T37" s="770" t="s">
        <v>17</v>
      </c>
      <c r="U37" s="771">
        <f t="shared" si="11"/>
        <v>100</v>
      </c>
      <c r="V37" s="770" t="s">
        <v>17</v>
      </c>
      <c r="W37" s="771">
        <f t="shared" si="12"/>
        <v>100</v>
      </c>
      <c r="X37" s="1793"/>
      <c r="Y37" s="3755"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755"/>
      <c r="Q38" s="1790">
        <f t="shared" si="14"/>
        <v>111</v>
      </c>
      <c r="R38" s="770" t="s">
        <v>17</v>
      </c>
      <c r="S38" s="771">
        <f t="shared" si="10"/>
        <v>100</v>
      </c>
      <c r="T38" s="770" t="s">
        <v>17</v>
      </c>
      <c r="U38" s="771">
        <f t="shared" si="11"/>
        <v>100</v>
      </c>
      <c r="V38" s="770" t="s">
        <v>17</v>
      </c>
      <c r="W38" s="771">
        <f t="shared" si="12"/>
        <v>100</v>
      </c>
      <c r="X38" s="1793"/>
      <c r="Y38" s="3755"/>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755"/>
      <c r="Q39" s="1790">
        <f t="shared" si="14"/>
        <v>111</v>
      </c>
      <c r="R39" s="770" t="s">
        <v>17</v>
      </c>
      <c r="S39" s="771">
        <f t="shared" si="10"/>
        <v>100</v>
      </c>
      <c r="T39" s="770" t="s">
        <v>17</v>
      </c>
      <c r="U39" s="771">
        <f t="shared" si="11"/>
        <v>100</v>
      </c>
      <c r="V39" s="770" t="s">
        <v>17</v>
      </c>
      <c r="W39" s="771">
        <f t="shared" si="12"/>
        <v>100</v>
      </c>
      <c r="X39" s="1793"/>
      <c r="Y39" s="3755"/>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755"/>
      <c r="Q40" s="1790">
        <f t="shared" si="14"/>
        <v>111</v>
      </c>
      <c r="R40" s="773" t="s">
        <v>17</v>
      </c>
      <c r="S40" s="774">
        <f t="shared" si="10"/>
        <v>100</v>
      </c>
      <c r="T40" s="773" t="s">
        <v>17</v>
      </c>
      <c r="U40" s="774">
        <f t="shared" si="11"/>
        <v>100</v>
      </c>
      <c r="V40" s="773" t="s">
        <v>17</v>
      </c>
      <c r="W40" s="774">
        <f t="shared" si="12"/>
        <v>100</v>
      </c>
      <c r="X40" s="775"/>
      <c r="Y40" s="3755"/>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757" t="str">
        <f>A41</f>
        <v>成交单价</v>
      </c>
      <c r="Q41" s="3757"/>
      <c r="R41" s="3719">
        <f>E41</f>
        <v>0</v>
      </c>
      <c r="S41" s="3719"/>
      <c r="T41" s="3719">
        <f>G41</f>
        <v>0</v>
      </c>
      <c r="U41" s="3719"/>
      <c r="V41" s="3719">
        <f>I41</f>
        <v>0</v>
      </c>
      <c r="W41" s="3719"/>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757" t="str">
        <f>A42</f>
        <v>比较价值（元/平方米）</v>
      </c>
      <c r="Q42" s="3757"/>
      <c r="R42" s="3797" t="e">
        <f>ROUND(PRODUCT(R41,AA7:AA40),0)</f>
        <v>#DIV/0!</v>
      </c>
      <c r="S42" s="3797"/>
      <c r="T42" s="3797" t="e">
        <f>ROUND(PRODUCT(T41,AB7:AB40),0)</f>
        <v>#DIV/0!</v>
      </c>
      <c r="U42" s="3797"/>
      <c r="V42" s="3797" t="e">
        <f>ROUND(PRODUCT(V41,AC7:AC40),0)</f>
        <v>#DIV/0!</v>
      </c>
      <c r="W42" s="3797"/>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759" t="str">
        <f>A43</f>
        <v>估价对象XX用房的比较价值（楼面单价，元/平方米）</v>
      </c>
      <c r="Q43" s="3760"/>
      <c r="R43" s="3796" t="e">
        <f>ROUND(AVERAGE(R42:V42),0)</f>
        <v>#DIV/0!</v>
      </c>
      <c r="S43" s="3796"/>
      <c r="T43" s="3796"/>
      <c r="U43" s="3796"/>
      <c r="V43" s="3796"/>
      <c r="W43" s="3796"/>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735" t="s">
        <v>2746</v>
      </c>
      <c r="H50" s="3798"/>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42164.249999999993</v>
      </c>
      <c r="F51" s="689" t="e">
        <f t="shared" ref="F51:F60" si="15">ROUND(B51*E51/10000,0)</f>
        <v>#DIV/0!</v>
      </c>
      <c r="G51" s="3734"/>
      <c r="H51" s="3757"/>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99"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99"/>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99"/>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99"/>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10126.19</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3015"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3024" t="s">
        <v>1406</v>
      </c>
      <c r="E14" s="3023"/>
      <c r="F14" s="364"/>
      <c r="G14" s="1831"/>
      <c r="H14" s="1183" t="s">
        <v>1032</v>
      </c>
      <c r="I14" s="347" t="s">
        <v>1407</v>
      </c>
      <c r="J14" s="24" t="e">
        <f ca="1">C29</f>
        <v>#N/A</v>
      </c>
      <c r="K14" s="3014"/>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3027"/>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3012"/>
      <c r="F19" s="26"/>
      <c r="G19" s="1831"/>
      <c r="H19" s="1183" t="s">
        <v>1033</v>
      </c>
      <c r="I19" s="347" t="s">
        <v>1425</v>
      </c>
      <c r="J19" s="24" t="e">
        <f ca="1">IF(K19="按租金收入计税",ROUND(J6*M19/(1+'数据-取费表'!C42),2),ROUND(C29*M19*0.7,2))</f>
        <v>#N/A</v>
      </c>
      <c r="K19" s="1808" t="s">
        <v>3060</v>
      </c>
      <c r="L19" s="347" t="s">
        <v>1410</v>
      </c>
      <c r="M19" s="367">
        <f>IF(K19="按租金收入计税",'数据-取费表'!B51,'数据-取费表'!B50)</f>
        <v>0.12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t="e">
        <f ca="1">ROUND(J14*M22,1)</f>
        <v>#N/A</v>
      </c>
      <c r="K22" s="3026"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3026"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3027"/>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3026"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3026" t="s">
        <v>1442</v>
      </c>
      <c r="E37" s="347" t="s">
        <v>1410</v>
      </c>
      <c r="F37" s="376" t="e">
        <f ca="1">INDIRECT("'数据-取费表'!Al"&amp;$G$1)</f>
        <v>#N/A</v>
      </c>
      <c r="G37" s="1831"/>
      <c r="H37" s="1839"/>
      <c r="I37" s="1840"/>
      <c r="J37" s="1841"/>
      <c r="K37" s="747"/>
      <c r="L37" s="1839"/>
      <c r="M37" s="1839"/>
    </row>
    <row r="38" spans="1:18" ht="18" customHeight="1" thickBot="1">
      <c r="A38" s="1321" t="s">
        <v>1380</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3011"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3016"/>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3634</v>
      </c>
      <c r="D1" s="2389"/>
      <c r="E1" s="2389"/>
      <c r="F1" s="2391" t="s">
        <v>2106</v>
      </c>
      <c r="G1" s="2045" t="s">
        <v>3051</v>
      </c>
      <c r="H1" s="2392" t="str">
        <f>IF(G1="现房","——","估价对象范围")</f>
        <v>——</v>
      </c>
      <c r="I1" s="2393"/>
    </row>
    <row r="2" spans="1:12" ht="21.75" customHeight="1" thickBot="1">
      <c r="A2" s="3648" t="str">
        <f>项目基本情况!S2</f>
        <v>北京市朝阳区广顺北大街16号院1、2、3号楼房地产</v>
      </c>
      <c r="B2" s="3649"/>
      <c r="C2" s="3649"/>
      <c r="D2" s="3649"/>
      <c r="E2" s="3649"/>
      <c r="F2" s="3649"/>
      <c r="G2" s="3649"/>
      <c r="H2" s="3649"/>
      <c r="I2" s="3650"/>
    </row>
    <row r="3" spans="1:12" ht="12.75">
      <c r="A3" s="3651" t="s">
        <v>2107</v>
      </c>
      <c r="B3" s="3652"/>
      <c r="C3" s="3652"/>
      <c r="D3" s="3652"/>
      <c r="E3" s="3652"/>
      <c r="F3" s="3652"/>
      <c r="G3" s="3652"/>
      <c r="H3" s="3652"/>
      <c r="I3" s="3652"/>
    </row>
    <row r="4" spans="1:12" ht="14.25">
      <c r="A4" s="2396" t="s">
        <v>2108</v>
      </c>
      <c r="B4" s="2397" t="s">
        <v>2109</v>
      </c>
      <c r="C4" s="2398" t="s">
        <v>3650</v>
      </c>
      <c r="D4" s="2398" t="s">
        <v>3646</v>
      </c>
      <c r="E4" s="3635" t="s">
        <v>2110</v>
      </c>
      <c r="F4" s="3645"/>
      <c r="G4" s="3645"/>
      <c r="H4" s="3645"/>
      <c r="I4" s="3636"/>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626" t="s">
        <v>2111</v>
      </c>
      <c r="B5" s="3521">
        <v>25</v>
      </c>
      <c r="C5" s="3653"/>
      <c r="D5" s="3641"/>
      <c r="E5" s="140" t="s">
        <v>2112</v>
      </c>
      <c r="F5" s="2400"/>
      <c r="G5" s="2400"/>
      <c r="H5" s="2400"/>
      <c r="I5" s="1811"/>
    </row>
    <row r="6" spans="1:12" ht="12.75">
      <c r="A6" s="3626"/>
      <c r="B6" s="3521"/>
      <c r="C6" s="3655"/>
      <c r="D6" s="3641"/>
      <c r="E6" s="140" t="s">
        <v>2113</v>
      </c>
      <c r="F6" s="2400"/>
      <c r="G6" s="2400"/>
      <c r="H6" s="2400"/>
      <c r="I6" s="1811"/>
    </row>
    <row r="7" spans="1:12" ht="12.75">
      <c r="A7" s="3626"/>
      <c r="B7" s="3521"/>
      <c r="C7" s="3654"/>
      <c r="D7" s="3641"/>
      <c r="E7" s="140" t="s">
        <v>2114</v>
      </c>
      <c r="F7" s="2400"/>
      <c r="G7" s="2400"/>
      <c r="H7" s="2400"/>
      <c r="I7" s="1811"/>
    </row>
    <row r="8" spans="1:12" ht="12.75">
      <c r="A8" s="3626" t="s">
        <v>2115</v>
      </c>
      <c r="B8" s="3521">
        <v>15</v>
      </c>
      <c r="C8" s="3653"/>
      <c r="D8" s="3641"/>
      <c r="E8" s="140" t="s">
        <v>2116</v>
      </c>
      <c r="F8" s="2400"/>
      <c r="G8" s="2400"/>
      <c r="H8" s="2400"/>
      <c r="I8" s="1811"/>
    </row>
    <row r="9" spans="1:12" ht="12.75">
      <c r="A9" s="3626"/>
      <c r="B9" s="3521"/>
      <c r="C9" s="3654"/>
      <c r="D9" s="3641"/>
      <c r="E9" s="140" t="s">
        <v>2117</v>
      </c>
      <c r="F9" s="2400"/>
      <c r="G9" s="2400"/>
      <c r="H9" s="2400"/>
      <c r="I9" s="1811"/>
    </row>
    <row r="10" spans="1:12" ht="12.75">
      <c r="A10" s="3626" t="s">
        <v>2118</v>
      </c>
      <c r="B10" s="3521">
        <v>15</v>
      </c>
      <c r="C10" s="3653"/>
      <c r="D10" s="3641"/>
      <c r="E10" s="140" t="s">
        <v>2119</v>
      </c>
      <c r="F10" s="2400"/>
      <c r="G10" s="2400"/>
      <c r="H10" s="2400"/>
      <c r="I10" s="1811"/>
    </row>
    <row r="11" spans="1:12" ht="12.75">
      <c r="A11" s="3626"/>
      <c r="B11" s="3521"/>
      <c r="C11" s="3654"/>
      <c r="D11" s="3641"/>
      <c r="E11" s="140" t="s">
        <v>2120</v>
      </c>
      <c r="F11" s="2400"/>
      <c r="G11" s="2400"/>
      <c r="H11" s="2400"/>
      <c r="I11" s="1811"/>
    </row>
    <row r="12" spans="1:12" ht="12.75">
      <c r="A12" s="3626" t="s">
        <v>2121</v>
      </c>
      <c r="B12" s="3521">
        <v>15</v>
      </c>
      <c r="C12" s="3653"/>
      <c r="D12" s="3641"/>
      <c r="E12" s="140" t="s">
        <v>2122</v>
      </c>
      <c r="F12" s="2400"/>
      <c r="G12" s="2400"/>
      <c r="H12" s="2400"/>
      <c r="I12" s="1811"/>
    </row>
    <row r="13" spans="1:12" ht="12.75">
      <c r="A13" s="3626"/>
      <c r="B13" s="3521"/>
      <c r="C13" s="3654"/>
      <c r="D13" s="3641"/>
      <c r="E13" s="140" t="s">
        <v>2123</v>
      </c>
      <c r="F13" s="2400"/>
      <c r="G13" s="2400"/>
      <c r="H13" s="2400"/>
      <c r="I13" s="1811"/>
    </row>
    <row r="14" spans="1:12" ht="12.75">
      <c r="A14" s="3626" t="s">
        <v>2124</v>
      </c>
      <c r="B14" s="3521">
        <v>30</v>
      </c>
      <c r="C14" s="3653">
        <v>4</v>
      </c>
      <c r="D14" s="3641">
        <v>6</v>
      </c>
      <c r="E14" s="140" t="s">
        <v>2125</v>
      </c>
      <c r="F14" s="2400"/>
      <c r="G14" s="2400"/>
      <c r="H14" s="2400"/>
      <c r="I14" s="1811"/>
    </row>
    <row r="15" spans="1:12" ht="12.75">
      <c r="A15" s="3626"/>
      <c r="B15" s="3521"/>
      <c r="C15" s="3655"/>
      <c r="D15" s="3641"/>
      <c r="E15" s="140" t="s">
        <v>2126</v>
      </c>
      <c r="F15" s="2400"/>
      <c r="G15" s="2400"/>
      <c r="H15" s="2400"/>
      <c r="I15" s="1811"/>
    </row>
    <row r="16" spans="1:12" ht="12.75">
      <c r="A16" s="3626"/>
      <c r="B16" s="3521"/>
      <c r="C16" s="3654"/>
      <c r="D16" s="3641"/>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t="e">
        <f ca="1">SUMIF(INDIRECT("'"&amp;C4&amp;"'"&amp;"!A:A"),结果表酒店!B19,INDIRECT("'"&amp;C4&amp;"'"&amp;"!B:B"))</f>
        <v>#N/A</v>
      </c>
      <c r="D19" s="144" t="e">
        <f ca="1">SUMIF(INDIRECT("'"&amp;D4&amp;"'"&amp;"!A:A"),结果表酒店!B19,INDIRECT("'"&amp;D4&amp;"'"&amp;"!B:B"))</f>
        <v>#N/A</v>
      </c>
      <c r="E19" s="2405" t="s">
        <v>2135</v>
      </c>
      <c r="F19" s="2406" t="s">
        <v>2134</v>
      </c>
      <c r="G19" s="145" t="e">
        <f ca="1">ROUND(C19*$C$18+D19*$D$18,0)</f>
        <v>#N/A</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SUMIF(INDIRECT("'"&amp;C4&amp;"'"&amp;"!A:A"),结果表酒店!B20,INDIRECT("'"&amp;C4&amp;"'"&amp;"!B:B"))</f>
        <v>#N/A</v>
      </c>
      <c r="D20" s="147">
        <f ca="1">SUMIF(INDIRECT("'"&amp;D4&amp;"'"&amp;"!A:A"),结果表酒店!B20,INDIRECT("'"&amp;D4&amp;"'"&amp;"!B:B"))</f>
        <v>0</v>
      </c>
      <c r="E20" s="2408"/>
      <c r="F20" s="1229" t="s">
        <v>2138</v>
      </c>
      <c r="G20" s="148" t="e">
        <f ca="1">ROUND(C20*$C$18+D20*$D$18,0)</f>
        <v>#N/A</v>
      </c>
      <c r="H20" s="970" t="s">
        <v>2139</v>
      </c>
      <c r="I20" s="138"/>
    </row>
    <row r="21" spans="1:35" ht="15" customHeight="1" thickBot="1">
      <c r="A21" s="990"/>
      <c r="B21" s="2409" t="s">
        <v>2140</v>
      </c>
      <c r="C21" s="784" t="e">
        <f ca="1">ROUND(C19*10000/L19,0)</f>
        <v>#N/A</v>
      </c>
      <c r="D21" s="785" t="e">
        <f ca="1">ROUND(D19*10000/L19,0)</f>
        <v>#N/A</v>
      </c>
      <c r="E21" s="990"/>
      <c r="F21" s="2409" t="s">
        <v>2140</v>
      </c>
      <c r="G21" s="149" t="e">
        <f ca="1">ROUND(G19*10000/L19,0)</f>
        <v>#N/A</v>
      </c>
      <c r="H21" s="2410" t="s">
        <v>2139</v>
      </c>
      <c r="I21" s="138"/>
    </row>
    <row r="22" spans="1:35" ht="15" thickBot="1">
      <c r="A22" s="2255" t="s">
        <v>2141</v>
      </c>
      <c r="B22" s="2411"/>
      <c r="C22" s="2412"/>
      <c r="D22" s="786" t="e">
        <f ca="1">IF(C19&lt;D19,D19/C19-1,C19/D19-1)</f>
        <v>#N/A</v>
      </c>
      <c r="E22" s="138"/>
      <c r="F22" s="138"/>
      <c r="G22" s="138"/>
      <c r="H22" s="138"/>
      <c r="I22" s="138"/>
    </row>
    <row r="23" spans="1:35" ht="13.5" thickBot="1">
      <c r="A23" s="2389"/>
      <c r="B23" s="2389"/>
      <c r="C23" s="2389"/>
      <c r="D23" s="2389"/>
      <c r="E23" s="138"/>
      <c r="F23" s="138"/>
      <c r="G23" s="138"/>
      <c r="H23" s="138"/>
      <c r="I23" s="138"/>
    </row>
    <row r="24" spans="1:35" ht="14.25">
      <c r="A24" s="3662" t="s">
        <v>2142</v>
      </c>
      <c r="B24" s="2406" t="s">
        <v>2134</v>
      </c>
      <c r="C24" s="145">
        <f>IF(B30=0,0,D30)</f>
        <v>0</v>
      </c>
      <c r="D24" s="2413"/>
      <c r="E24" s="138"/>
      <c r="F24" s="138"/>
      <c r="G24" s="138"/>
      <c r="H24" s="138"/>
      <c r="I24" s="138"/>
    </row>
    <row r="25" spans="1:35" ht="14.25">
      <c r="A25" s="3663"/>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t="e">
        <f ca="1">IF(D32="总价",G19-C24,G20-C25)</f>
        <v>#N/A</v>
      </c>
      <c r="D32" s="2420" t="s">
        <v>2149</v>
      </c>
      <c r="E32" s="138"/>
      <c r="F32" s="138"/>
      <c r="G32" s="138"/>
      <c r="H32" s="138"/>
      <c r="I32" s="138"/>
    </row>
    <row r="33" spans="1:15" ht="15">
      <c r="A33" s="947" t="s">
        <v>2150</v>
      </c>
      <c r="B33" s="2421"/>
      <c r="C33" s="2422" t="s">
        <v>3670</v>
      </c>
      <c r="D33" s="2423" t="s">
        <v>3646</v>
      </c>
      <c r="E33" s="2424" t="s">
        <v>2151</v>
      </c>
      <c r="F33" s="2924" t="str">
        <f>IF(D32="楼面单价","取值（单价）","取值（总价）")</f>
        <v>取值（总价）</v>
      </c>
      <c r="G33" s="138"/>
      <c r="H33" s="138"/>
      <c r="I33" s="138"/>
    </row>
    <row r="34" spans="1:15" ht="15">
      <c r="A34" s="2426"/>
      <c r="B34" s="2427" t="s">
        <v>2152</v>
      </c>
      <c r="C34" s="157" t="e">
        <f ca="1">IF(C33="自定义",F34,C32-C35)</f>
        <v>#N/A</v>
      </c>
      <c r="D34" s="1045" t="e">
        <f ca="1">IF(C33="自定义",ROUND(C34/C32,3),IF(C33="收益比率",SUMIF(INDIRECT("'"&amp;D33&amp;"'"&amp;"!b:b"),"土地收益比率",INDIRECT("'"&amp;D33&amp;"'"&amp;"!c:c")),SUMIF(INDIRECT("'"&amp;D33&amp;"'"&amp;"!b:b"),"土地成本比率",INDIRECT("'"&amp;D33&amp;"'"&amp;"!c:c"))))</f>
        <v>#N/A</v>
      </c>
      <c r="E34" s="2428" t="s">
        <v>2153</v>
      </c>
      <c r="F34" s="1716"/>
      <c r="G34" s="138"/>
      <c r="H34" s="138"/>
      <c r="I34" s="138"/>
    </row>
    <row r="35" spans="1:15" ht="15.75" thickBot="1">
      <c r="A35" s="2429"/>
      <c r="B35" s="2430" t="s">
        <v>2154</v>
      </c>
      <c r="C35" s="1422" t="e">
        <f ca="1">IF(C33="自定义",F35,ROUND(C32*D35,0))</f>
        <v>#N/A</v>
      </c>
      <c r="D35" s="1423" t="e">
        <f ca="1">IF(C33="自定义",ROUND(C35/C32,3),IF(C33="收益比率",SUMIF(INDIRECT("'"&amp;D33&amp;"'"&amp;"!b:b"),"建筑物收益比率",INDIRECT("'"&amp;D33&amp;"'"&amp;"!c:c")),SUMIF(INDIRECT("'"&amp;D33&amp;"'"&amp;"!b:b"),"建筑物成本比率",INDIRECT("'"&amp;D33&amp;"'"&amp;"!c:c"))))</f>
        <v>#N/A</v>
      </c>
      <c r="E35" s="2431" t="s">
        <v>2155</v>
      </c>
      <c r="F35" s="163"/>
      <c r="G35" s="138"/>
      <c r="H35" s="138"/>
      <c r="I35" s="138"/>
    </row>
    <row r="36" spans="1:15" ht="15.75" thickBot="1">
      <c r="A36" s="3642" t="s">
        <v>2156</v>
      </c>
      <c r="B36" s="2432" t="s">
        <v>2157</v>
      </c>
      <c r="C36" s="154"/>
      <c r="D36" s="2433"/>
      <c r="E36" s="2434"/>
      <c r="F36" s="2435"/>
      <c r="G36" s="138"/>
      <c r="H36" s="138"/>
      <c r="I36" s="138"/>
    </row>
    <row r="37" spans="1:15" ht="15.75" thickBot="1">
      <c r="A37" s="3643"/>
      <c r="B37" s="2241" t="s">
        <v>2158</v>
      </c>
      <c r="C37" s="156"/>
      <c r="D37" s="1373"/>
      <c r="E37" s="1373"/>
      <c r="F37" s="2435"/>
      <c r="G37" s="138"/>
      <c r="H37" s="138"/>
      <c r="I37" s="138"/>
    </row>
    <row r="38" spans="1:15" ht="15.75" thickBot="1">
      <c r="A38" s="3644"/>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59" t="s">
        <v>2170</v>
      </c>
      <c r="B45" s="3660"/>
      <c r="C45" s="3661"/>
      <c r="D45" s="164" t="e">
        <f ca="1">ROUND(H101*F45,0)</f>
        <v>#N/A</v>
      </c>
      <c r="E45" s="165" t="s">
        <v>2171</v>
      </c>
      <c r="F45" s="166">
        <v>1</v>
      </c>
      <c r="G45" s="167" t="s">
        <v>2172</v>
      </c>
      <c r="H45" s="138"/>
      <c r="I45" s="138"/>
      <c r="J45" s="3587" t="s">
        <v>2173</v>
      </c>
      <c r="K45" s="3587"/>
      <c r="L45" s="3587"/>
      <c r="M45" s="3587"/>
      <c r="N45" s="3587"/>
      <c r="O45" s="3587"/>
    </row>
    <row r="46" spans="1:15" ht="14.25" customHeight="1">
      <c r="A46" s="3656" t="s">
        <v>2174</v>
      </c>
      <c r="B46" s="3657"/>
      <c r="C46" s="3657"/>
      <c r="D46" s="3657"/>
      <c r="E46" s="3657"/>
      <c r="F46" s="3657"/>
      <c r="G46" s="3658"/>
      <c r="H46" s="2451"/>
      <c r="I46" s="168"/>
      <c r="J46" s="2936">
        <v>1</v>
      </c>
      <c r="K46" s="3587" t="s">
        <v>2175</v>
      </c>
      <c r="L46" s="3587"/>
      <c r="M46" s="3588"/>
      <c r="N46" s="3588"/>
      <c r="O46" s="3588"/>
    </row>
    <row r="47" spans="1:15" ht="12" customHeight="1">
      <c r="A47" s="169" t="s">
        <v>2176</v>
      </c>
      <c r="B47" s="170"/>
      <c r="C47" s="171"/>
      <c r="D47" s="172" t="s">
        <v>2177</v>
      </c>
      <c r="E47" s="24" t="s">
        <v>2178</v>
      </c>
      <c r="F47" s="173" t="s">
        <v>2179</v>
      </c>
      <c r="G47" s="174" t="s">
        <v>2180</v>
      </c>
      <c r="H47" s="2451"/>
      <c r="I47" s="168"/>
      <c r="J47" s="2936">
        <v>2</v>
      </c>
      <c r="K47" s="3587" t="s">
        <v>2181</v>
      </c>
      <c r="L47" s="3587"/>
      <c r="M47" s="3589">
        <f>'数据-取费表'!B2</f>
        <v>43836</v>
      </c>
      <c r="N47" s="3589"/>
      <c r="O47" s="3589"/>
    </row>
    <row r="48" spans="1:15" ht="25.5">
      <c r="A48" s="3646" t="s">
        <v>2182</v>
      </c>
      <c r="B48" s="3647"/>
      <c r="C48" s="3647"/>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87" t="s">
        <v>2185</v>
      </c>
      <c r="L48" s="3587"/>
      <c r="M48" s="3590" t="e">
        <f ca="1">H101</f>
        <v>#N/A</v>
      </c>
      <c r="N48" s="3590"/>
      <c r="O48" s="3590"/>
    </row>
    <row r="49" spans="1:35" ht="25.5" customHeight="1">
      <c r="A49" s="176" t="s">
        <v>2186</v>
      </c>
      <c r="B49" s="3629" t="s">
        <v>2187</v>
      </c>
      <c r="C49" s="3629"/>
      <c r="D49" s="177">
        <v>0</v>
      </c>
      <c r="E49" s="23" t="s">
        <v>2188</v>
      </c>
      <c r="F49" s="28" t="s">
        <v>34</v>
      </c>
      <c r="G49" s="3610"/>
      <c r="H49" s="138"/>
      <c r="I49" s="2454"/>
      <c r="J49" s="2936">
        <v>4</v>
      </c>
      <c r="K49" s="3587" t="str">
        <f>IF(项目基本情况!E8="房地产抵押价值","房地产抵押价值","抵押担保权已注销时的房地产抵押价值")</f>
        <v>房地产抵押价值</v>
      </c>
      <c r="L49" s="3587"/>
      <c r="M49" s="3590" t="e">
        <f ca="1">IF(项目基本情况!E8="房地产抵押价值",H107,H109)</f>
        <v>#N/A</v>
      </c>
      <c r="N49" s="3590"/>
      <c r="O49" s="3590"/>
    </row>
    <row r="50" spans="1:35" ht="25.5" customHeight="1">
      <c r="A50" s="178"/>
      <c r="B50" s="3629" t="s">
        <v>2189</v>
      </c>
      <c r="C50" s="3629"/>
      <c r="D50" s="179"/>
      <c r="E50" s="31"/>
      <c r="F50" s="180"/>
      <c r="G50" s="3611"/>
      <c r="H50" s="138"/>
      <c r="I50" s="2454"/>
      <c r="J50" s="3587" t="s">
        <v>2190</v>
      </c>
      <c r="K50" s="3587"/>
      <c r="L50" s="3587"/>
      <c r="M50" s="3587"/>
      <c r="N50" s="3587"/>
      <c r="O50" s="3587"/>
    </row>
    <row r="51" spans="1:35" ht="12" customHeight="1">
      <c r="A51" s="181"/>
      <c r="B51" s="3629" t="s">
        <v>2191</v>
      </c>
      <c r="C51" s="3629"/>
      <c r="D51" s="182"/>
      <c r="E51" s="30"/>
      <c r="F51" s="180"/>
      <c r="G51" s="3612"/>
      <c r="H51" s="138"/>
      <c r="I51" s="2454"/>
      <c r="J51" s="2935" t="s">
        <v>2192</v>
      </c>
      <c r="K51" s="3587" t="s">
        <v>2193</v>
      </c>
      <c r="L51" s="3587"/>
      <c r="M51" s="2935" t="s">
        <v>2194</v>
      </c>
      <c r="N51" s="2935" t="s">
        <v>2195</v>
      </c>
      <c r="O51" s="2935" t="s">
        <v>2196</v>
      </c>
    </row>
    <row r="52" spans="1:35" ht="24" customHeight="1">
      <c r="A52" s="183" t="s">
        <v>2197</v>
      </c>
      <c r="B52" s="3629" t="s">
        <v>2198</v>
      </c>
      <c r="C52" s="3629"/>
      <c r="D52" s="182" t="e">
        <f ca="1">ROUND(D45*'数据-取费表'!B41/(1+'数据-取费表'!C42),0)</f>
        <v>#N/A</v>
      </c>
      <c r="E52" s="11" t="s">
        <v>2199</v>
      </c>
      <c r="F52" s="184">
        <f>'数据-取费表'!B41</f>
        <v>5.6000000000000001E-2</v>
      </c>
      <c r="G52" s="2456"/>
      <c r="H52" s="138"/>
      <c r="I52" s="2454"/>
      <c r="J52" s="2936">
        <v>1</v>
      </c>
      <c r="K52" s="3604" t="s">
        <v>2200</v>
      </c>
      <c r="L52" s="3604"/>
      <c r="M52" s="1731">
        <f>D48</f>
        <v>0</v>
      </c>
      <c r="N52" s="2936" t="str">
        <f>E48</f>
        <v>销售额×税（费）率</v>
      </c>
      <c r="O52" s="1732" t="str">
        <f>F48</f>
        <v>免征</v>
      </c>
    </row>
    <row r="53" spans="1:35" ht="12" customHeight="1">
      <c r="A53" s="183" t="s">
        <v>2201</v>
      </c>
      <c r="B53" s="3630" t="s">
        <v>2202</v>
      </c>
      <c r="C53" s="3631"/>
      <c r="D53" s="182" t="e">
        <f ca="1">ROUND(D45*'数据-取费表'!B41/(1+'数据-取费表'!C42),0)</f>
        <v>#N/A</v>
      </c>
      <c r="E53" s="11" t="s">
        <v>2199</v>
      </c>
      <c r="F53" s="184">
        <f>'数据-取费表'!B41</f>
        <v>5.6000000000000001E-2</v>
      </c>
      <c r="G53" s="2456"/>
      <c r="H53" s="138"/>
      <c r="I53" s="2454"/>
      <c r="J53" s="2936">
        <v>2</v>
      </c>
      <c r="K53" s="3604" t="s">
        <v>2203</v>
      </c>
      <c r="L53" s="3604"/>
      <c r="M53" s="1731" t="e">
        <f t="shared" ref="M53:O54" ca="1" si="0">D55</f>
        <v>#N/A</v>
      </c>
      <c r="N53" s="2936" t="str">
        <f t="shared" si="0"/>
        <v>销售额×税（费）率</v>
      </c>
      <c r="O53" s="1732">
        <f t="shared" si="0"/>
        <v>5.0000000000000001E-4</v>
      </c>
    </row>
    <row r="54" spans="1:35" ht="12" customHeight="1">
      <c r="A54" s="183" t="s">
        <v>2204</v>
      </c>
      <c r="B54" s="3630" t="s">
        <v>2205</v>
      </c>
      <c r="C54" s="3631"/>
      <c r="D54" s="182" t="e">
        <f ca="1">C68</f>
        <v>#N/A</v>
      </c>
      <c r="E54" s="30" t="s">
        <v>2206</v>
      </c>
      <c r="F54" s="184">
        <f>'数据-取费表'!B41</f>
        <v>5.6000000000000001E-2</v>
      </c>
      <c r="G54" s="2456"/>
      <c r="H54" s="2457"/>
      <c r="I54" s="2454"/>
      <c r="J54" s="2936">
        <v>3</v>
      </c>
      <c r="K54" s="3604" t="s">
        <v>2207</v>
      </c>
      <c r="L54" s="3604"/>
      <c r="M54" s="1731" t="e">
        <f t="shared" ca="1" si="0"/>
        <v>#N/A</v>
      </c>
      <c r="N54" s="2936" t="str">
        <f t="shared" si="0"/>
        <v>增值额×税（费）率</v>
      </c>
      <c r="O54" s="1733" t="str">
        <f t="shared" si="0"/>
        <v>——</v>
      </c>
    </row>
    <row r="55" spans="1:35" ht="24" customHeight="1">
      <c r="A55" s="3665" t="s">
        <v>2208</v>
      </c>
      <c r="B55" s="3647"/>
      <c r="C55" s="3647"/>
      <c r="D55" s="185" t="e">
        <f ca="1">IF(H55="个人住宅",0,ROUND(D45*I55,0))</f>
        <v>#N/A</v>
      </c>
      <c r="E55" s="11" t="s">
        <v>2209</v>
      </c>
      <c r="F55" s="184">
        <f>IF(H55="正常",I55,"免征")</f>
        <v>5.0000000000000001E-4</v>
      </c>
      <c r="G55" s="2456"/>
      <c r="H55" s="2453" t="s">
        <v>2210</v>
      </c>
      <c r="I55" s="186">
        <f>'数据-取费表'!B49</f>
        <v>5.0000000000000001E-4</v>
      </c>
      <c r="J55" s="2936" t="str">
        <f>IF(H59="非个人房产","",4)</f>
        <v/>
      </c>
      <c r="K55" s="3604" t="str">
        <f>IF(H59="非个人房产","——","个人所得税")</f>
        <v>——</v>
      </c>
      <c r="L55" s="3604"/>
      <c r="M55" s="1734" t="str">
        <f>D59</f>
        <v>——</v>
      </c>
      <c r="N55" s="2937" t="str">
        <f>E59</f>
        <v>——</v>
      </c>
      <c r="O55" s="1735" t="str">
        <f>F59</f>
        <v>——</v>
      </c>
    </row>
    <row r="56" spans="1:35" ht="24.75">
      <c r="A56" s="3665" t="s">
        <v>2211</v>
      </c>
      <c r="B56" s="3647"/>
      <c r="C56" s="3647"/>
      <c r="D56" s="185" t="e">
        <f ca="1">IF(H56="个人住宅",D57,D58)</f>
        <v>#N/A</v>
      </c>
      <c r="E56" s="11" t="s">
        <v>2212</v>
      </c>
      <c r="F56" s="184" t="str">
        <f>IF(H56="正常",F58,"免征")</f>
        <v>——</v>
      </c>
      <c r="G56" s="2458" t="s">
        <v>2213</v>
      </c>
      <c r="H56" s="2459" t="s">
        <v>2210</v>
      </c>
      <c r="I56" s="2460"/>
      <c r="J56" s="2936" t="str">
        <f>IF(项目基本情况!K6="上海银行",IF(J55="",4,J55+1),"")</f>
        <v/>
      </c>
      <c r="K56" s="3593" t="str">
        <f>IF(项目基本情况!K6="上海银行","其他处置费用","")</f>
        <v/>
      </c>
      <c r="L56" s="3594"/>
      <c r="M56" s="1731" t="str">
        <f>IF(项目基本情况!K6="上海银行",M69,"")</f>
        <v/>
      </c>
      <c r="N56" s="3596" t="str">
        <f>IF(项目基本情况!K6="上海银行","包含处置中涉及的律师、诉讼、拍卖、评估等费用","")</f>
        <v/>
      </c>
      <c r="O56" s="3597"/>
    </row>
    <row r="57" spans="1:35" ht="12.75">
      <c r="A57" s="183" t="s">
        <v>2186</v>
      </c>
      <c r="B57" s="3635" t="s">
        <v>2214</v>
      </c>
      <c r="C57" s="3636"/>
      <c r="D57" s="187">
        <v>0</v>
      </c>
      <c r="E57" s="23" t="s">
        <v>2188</v>
      </c>
      <c r="F57" s="155"/>
      <c r="G57" s="2456"/>
      <c r="H57" s="2460"/>
      <c r="I57" s="2460"/>
      <c r="J57" s="3604">
        <f>IF(AND(J55="",J56=""),4,IF(项目基本情况!K6="上海银行",结果表酒店!J56+1,结果表酒店!J55+1))</f>
        <v>4</v>
      </c>
      <c r="K57" s="3604" t="s">
        <v>2215</v>
      </c>
      <c r="L57" s="2461" t="s">
        <v>2216</v>
      </c>
      <c r="M57" s="1736"/>
      <c r="N57" s="1737">
        <f ca="1">SUMIF(M52:M56,"&lt;9e307")</f>
        <v>0</v>
      </c>
      <c r="O57" s="2462"/>
      <c r="P57" s="1730" t="e">
        <f ca="1">N57/M49</f>
        <v>#N/A</v>
      </c>
    </row>
    <row r="58" spans="1:35" ht="24.75">
      <c r="A58" s="183" t="s">
        <v>2197</v>
      </c>
      <c r="B58" s="3635" t="s">
        <v>2217</v>
      </c>
      <c r="C58" s="3645"/>
      <c r="D58" s="185" t="e">
        <f ca="1">IF(H58="转让取得",C81,C97)</f>
        <v>#N/A</v>
      </c>
      <c r="E58" s="11" t="s">
        <v>2212</v>
      </c>
      <c r="F58" s="24" t="s">
        <v>34</v>
      </c>
      <c r="G58" s="2456"/>
      <c r="H58" s="2459" t="s">
        <v>2218</v>
      </c>
      <c r="I58" s="2460"/>
      <c r="J58" s="3604"/>
      <c r="K58" s="3604"/>
      <c r="L58" s="2461" t="s">
        <v>2219</v>
      </c>
      <c r="M58" s="1738"/>
      <c r="N58" s="2463" t="str">
        <f ca="1">NUMBERSTRING(INT(N57*10000),2)&amp;"元整"</f>
        <v>零元整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4" t="s">
        <v>2222</v>
      </c>
      <c r="L59" s="2936" t="s">
        <v>2216</v>
      </c>
      <c r="M59" s="1739"/>
      <c r="N59" s="1740" t="e">
        <f ca="1">M49-N57</f>
        <v>#N/A</v>
      </c>
      <c r="O59" s="2466"/>
    </row>
    <row r="60" spans="1:35" ht="12" customHeight="1">
      <c r="A60" s="2467"/>
      <c r="B60" s="2389"/>
      <c r="C60" s="2389"/>
      <c r="D60" s="2389"/>
      <c r="E60" s="2141"/>
      <c r="F60" s="2460"/>
      <c r="G60" s="2460"/>
      <c r="H60" s="2468"/>
      <c r="I60" s="138"/>
      <c r="J60" s="3607"/>
      <c r="K60" s="3604"/>
      <c r="L60" s="2461" t="s">
        <v>2219</v>
      </c>
      <c r="M60" s="1738"/>
      <c r="N60" s="2463" t="e">
        <f ca="1">NUMBERSTRING(INT(N59*10000),2)&amp;"元整"</f>
        <v>#N/A</v>
      </c>
      <c r="O60" s="2464"/>
    </row>
    <row r="61" spans="1:35" ht="13.5" thickBot="1">
      <c r="A61" s="3664" t="s">
        <v>2223</v>
      </c>
      <c r="B61" s="3664"/>
      <c r="C61" s="3664"/>
      <c r="D61" s="3664"/>
      <c r="E61" s="3664"/>
      <c r="F61" s="2460"/>
      <c r="G61" s="2460"/>
      <c r="H61" s="2468"/>
      <c r="I61" s="138"/>
      <c r="J61" s="2936">
        <f>J59+1</f>
        <v>6</v>
      </c>
      <c r="K61" s="3604" t="s">
        <v>2224</v>
      </c>
      <c r="L61" s="3604"/>
      <c r="M61" s="1741"/>
      <c r="N61" s="1742" t="e">
        <f ca="1">ROUND(N59*10000/'数据-汇总表'!E3,0)</f>
        <v>#N/A</v>
      </c>
      <c r="O61" s="2469"/>
    </row>
    <row r="62" spans="1:35" ht="12.75">
      <c r="A62" s="3624" t="s">
        <v>2225</v>
      </c>
      <c r="B62" s="3625"/>
      <c r="C62" s="2931"/>
      <c r="D62" s="2931" t="s">
        <v>2226</v>
      </c>
      <c r="E62" s="192" t="s">
        <v>2227</v>
      </c>
      <c r="F62" s="2460"/>
      <c r="G62" s="2460"/>
      <c r="H62" s="2468"/>
      <c r="I62" s="138"/>
    </row>
    <row r="63" spans="1:35" ht="12.75">
      <c r="A63" s="203" t="s">
        <v>775</v>
      </c>
      <c r="B63" s="193" t="s">
        <v>2228</v>
      </c>
      <c r="C63" s="194" t="e">
        <f ca="1">ROUND((C64+C65)/(1+'数据-取费表'!C42),0)</f>
        <v>#N/A</v>
      </c>
      <c r="D63" s="195"/>
      <c r="E63" s="196"/>
      <c r="F63" s="2460"/>
      <c r="G63" s="2460"/>
      <c r="H63" s="2468"/>
      <c r="I63" s="138"/>
      <c r="J63" s="3595" t="s">
        <v>2229</v>
      </c>
      <c r="K63" s="2940" t="s">
        <v>2230</v>
      </c>
      <c r="L63" s="1729" t="e">
        <f ca="1">IF(M49&gt;10000,M49*0.5%,IF(AND(M49&gt;1000,M49&lt;=10000),M49*1%,IF(AND(M49&gt;100,M49&lt;=1000),M49*3%,IF(AND(M49&gt;10,M49&lt;=100),M49*5%,M49*8%))))</f>
        <v>#N/A</v>
      </c>
      <c r="M63" s="24" t="e">
        <f ca="1">ROUND(L63,1)</f>
        <v>#N/A</v>
      </c>
      <c r="Z63" s="2394"/>
      <c r="AI63" s="2395"/>
    </row>
    <row r="64" spans="1:35" ht="14.25" customHeight="1">
      <c r="A64" s="197" t="s">
        <v>770</v>
      </c>
      <c r="B64" s="198" t="s">
        <v>2231</v>
      </c>
      <c r="C64" s="199" t="e">
        <f ca="1">D45</f>
        <v>#N/A</v>
      </c>
      <c r="D64" s="200" t="s">
        <v>32</v>
      </c>
      <c r="E64" s="201"/>
      <c r="F64" s="2460"/>
      <c r="G64" s="2460"/>
      <c r="H64" s="2468"/>
      <c r="I64" s="138"/>
      <c r="J64" s="3595"/>
      <c r="K64" s="2940" t="s">
        <v>2232</v>
      </c>
      <c r="L64" s="172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2233</v>
      </c>
      <c r="Z64" s="2394"/>
      <c r="AI64" s="2395"/>
    </row>
    <row r="65" spans="1:35" ht="14.25" customHeight="1">
      <c r="A65" s="197" t="s">
        <v>771</v>
      </c>
      <c r="B65" s="198" t="s">
        <v>2234</v>
      </c>
      <c r="C65" s="202"/>
      <c r="D65" s="200"/>
      <c r="E65" s="201"/>
      <c r="F65" s="2460"/>
      <c r="G65" s="2460"/>
      <c r="H65" s="2468"/>
      <c r="I65" s="138"/>
      <c r="J65" s="3595"/>
      <c r="K65" s="2940" t="s">
        <v>2235</v>
      </c>
      <c r="L65" s="1729" t="e">
        <f ca="1">IF(M49&gt;1000,M49*0.1%,IF(AND(M49&gt;500,M49&lt;=1000),M49*0.5%,IF(AND(M49&gt;50,M49&lt;=500),M49*1%,IF(AND(M49&gt;1,M49&lt;=50),M49*1.5%))))</f>
        <v>#N/A</v>
      </c>
      <c r="M65" s="24" t="e">
        <f t="shared" ca="1" si="1"/>
        <v>#N/A</v>
      </c>
      <c r="N65" s="138" t="s">
        <v>2233</v>
      </c>
      <c r="Z65" s="2394"/>
      <c r="AI65" s="2395"/>
    </row>
    <row r="66" spans="1:35" ht="14.25" customHeight="1">
      <c r="A66" s="203" t="s">
        <v>772</v>
      </c>
      <c r="B66" s="204" t="s">
        <v>2236</v>
      </c>
      <c r="C66" s="205"/>
      <c r="D66" s="206" t="s">
        <v>32</v>
      </c>
      <c r="E66" s="1753" t="s">
        <v>1360</v>
      </c>
      <c r="F66" s="2460"/>
      <c r="G66" s="2460"/>
      <c r="H66" s="2468"/>
      <c r="I66" s="138"/>
      <c r="J66" s="3595"/>
      <c r="K66" s="2940" t="s">
        <v>2237</v>
      </c>
      <c r="L66" s="1729" t="e">
        <f ca="1">M49*0.5%</f>
        <v>#N/A</v>
      </c>
      <c r="M66" s="24" t="e">
        <f ca="1">IF(L66&gt;0.5,0.5,ROUND(L66,0))</f>
        <v>#N/A</v>
      </c>
      <c r="N66" s="138" t="s">
        <v>2238</v>
      </c>
      <c r="Z66" s="2394"/>
      <c r="AI66" s="2395"/>
    </row>
    <row r="67" spans="1:35" ht="14.25" customHeight="1">
      <c r="A67" s="203" t="s">
        <v>773</v>
      </c>
      <c r="B67" s="204" t="s">
        <v>2239</v>
      </c>
      <c r="C67" s="207" t="e">
        <f ca="1">C63-C66</f>
        <v>#N/A</v>
      </c>
      <c r="D67" s="200" t="s">
        <v>32</v>
      </c>
      <c r="E67" s="201"/>
      <c r="F67" s="2460"/>
      <c r="G67" s="2460"/>
      <c r="H67" s="2468"/>
      <c r="I67" s="138"/>
      <c r="J67" s="3595"/>
      <c r="K67" s="2940" t="s">
        <v>2240</v>
      </c>
      <c r="L67" s="172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394"/>
      <c r="AI67" s="2395"/>
    </row>
    <row r="68" spans="1:35" ht="14.25" customHeight="1" thickBot="1">
      <c r="A68" s="208" t="s">
        <v>774</v>
      </c>
      <c r="B68" s="209" t="s">
        <v>2241</v>
      </c>
      <c r="C68" s="210" t="e">
        <f ca="1">IF(C67&lt;=0,0,ROUND(C67*D68,0))</f>
        <v>#N/A</v>
      </c>
      <c r="D68" s="211">
        <f>'数据-取费表'!B41</f>
        <v>5.6000000000000001E-2</v>
      </c>
      <c r="E68" s="212"/>
      <c r="F68" s="2460"/>
      <c r="G68" s="2460"/>
      <c r="H68" s="2468"/>
      <c r="I68" s="138"/>
      <c r="J68" s="3595"/>
      <c r="K68" s="2940" t="s">
        <v>2242</v>
      </c>
      <c r="L68" s="1729" t="e">
        <f ca="1">IF(M49&gt;10000,M49*0.5%,IF(AND(M49&gt;5000,M49&lt;=10000),M49*1%,IF(AND(M49&gt;1000,M49&lt;=5000),M49*2%,IF(AND(M49&gt;200,M49&lt;=1000),M49*3%,M49*5%))))</f>
        <v>#N/A</v>
      </c>
      <c r="M68" s="24" t="e">
        <f ca="1">ROUND(L68,1)</f>
        <v>#N/A</v>
      </c>
      <c r="Z68" s="2394"/>
      <c r="AI68" s="2395"/>
    </row>
    <row r="69" spans="1:35" s="2417" customFormat="1" ht="16.5" customHeight="1">
      <c r="A69" s="2471"/>
      <c r="B69" s="2472"/>
      <c r="C69" s="2473"/>
      <c r="D69" s="2474"/>
      <c r="E69" s="2475"/>
      <c r="F69" s="2141"/>
      <c r="G69" s="2141"/>
      <c r="H69" s="2140"/>
      <c r="I69" s="2389"/>
      <c r="J69" s="3595"/>
      <c r="K69" s="2940" t="s">
        <v>2243</v>
      </c>
      <c r="L69" s="2476"/>
      <c r="M69" s="24" t="e">
        <f ca="1">ROUND(SUM(M63:M68),0)</f>
        <v>#N/A</v>
      </c>
      <c r="N69" s="1730" t="e">
        <f ca="1">M69/M49</f>
        <v>#N/A</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633" t="s">
        <v>2244</v>
      </c>
      <c r="B70" s="3634"/>
      <c r="C70" s="3634"/>
      <c r="D70" s="3634"/>
      <c r="E70" s="3634"/>
      <c r="F70" s="3634"/>
      <c r="G70" s="3634"/>
      <c r="H70" s="3634"/>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624" t="s">
        <v>2225</v>
      </c>
      <c r="B71" s="3625"/>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t="e">
        <f ca="1">ROUND(D45/(1+'数据-取费表'!C42),0)</f>
        <v>#N/A</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t="e">
        <f ca="1">C74+C78</f>
        <v>#N/A</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630" t="s">
        <v>2253</v>
      </c>
      <c r="F76" s="3629"/>
      <c r="G76" s="3629"/>
      <c r="H76" s="3632"/>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#N/A</v>
      </c>
      <c r="D78" s="226">
        <f>'数据-取费表'!B43</f>
        <v>6.000000000000001E-3</v>
      </c>
      <c r="E78" s="3621" t="s">
        <v>2258</v>
      </c>
      <c r="F78" s="3622"/>
      <c r="G78" s="3622"/>
      <c r="H78" s="3623"/>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t="e">
        <f ca="1">C72-C73</f>
        <v>#N/A</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#N/A</v>
      </c>
      <c r="D80" s="200" t="s">
        <v>32</v>
      </c>
      <c r="E80" s="2941" t="e">
        <f ca="1">IF(C80&gt;=200%,"增值额超过扣除项目金额200%",IF(C80&gt;=100%,"增值额超过扣除项目金额100%，未超过200%",IF(C80&gt;=50%,"增值额超过扣除项目金额50%，未超过100%",IF(C80&lt;50%,"增值额未超过扣除项目金额50%"))))</f>
        <v>#N/A</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633" t="s">
        <v>2262</v>
      </c>
      <c r="B83" s="3634"/>
      <c r="C83" s="3634"/>
      <c r="D83" s="3634"/>
      <c r="E83" s="3634"/>
      <c r="F83" s="3634"/>
      <c r="G83" s="3634"/>
      <c r="H83" s="3634"/>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624" t="s">
        <v>2225</v>
      </c>
      <c r="B84" s="3625"/>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t="e">
        <f ca="1">ROUND(D45/(1+'数据-取费表'!C42),0)</f>
        <v>#N/A</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t="e">
        <f ca="1">IF(H88="仅含出让金",C87+C90+C91+C92+C93+C94,C87+C91+C92+C93+C94)</f>
        <v>#N/A</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621" t="s">
        <v>2271</v>
      </c>
      <c r="F91" s="3622"/>
      <c r="G91" s="3622"/>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621" t="s">
        <v>2275</v>
      </c>
      <c r="F92" s="3622"/>
      <c r="G92" s="3622"/>
      <c r="H92" s="3623"/>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#N/A</v>
      </c>
      <c r="D93" s="226">
        <f>'数据-取费表'!B43</f>
        <v>6.000000000000001E-3</v>
      </c>
      <c r="E93" s="3621" t="s">
        <v>2258</v>
      </c>
      <c r="F93" s="3622"/>
      <c r="G93" s="3622"/>
      <c r="H93" s="3623"/>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66" t="s">
        <v>2279</v>
      </c>
      <c r="F94" s="3667"/>
      <c r="G94" s="3667"/>
      <c r="H94" s="3668"/>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t="e">
        <f ca="1">ROUND(C85-C86,0)</f>
        <v>#N/A</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#N/A</v>
      </c>
      <c r="D96" s="200" t="s">
        <v>32</v>
      </c>
      <c r="E96" s="2941" t="e">
        <f ca="1">IF(C96&gt;=200%,"增值额超过扣除项目金额200%",IF(C96&gt;=100%,"增值额超过扣除项目金额100%，未超过200%",IF(C96&gt;=50%,"增值额超过扣除项目金额50%，未超过100%",IF(C96&lt;50%,"增值额未超过扣除项目金额50%"))))</f>
        <v>#N/A</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71" t="s">
        <v>2281</v>
      </c>
      <c r="B100" s="3572"/>
      <c r="C100" s="3572"/>
      <c r="D100" s="3605"/>
      <c r="E100" s="3572" t="s">
        <v>2282</v>
      </c>
      <c r="F100" s="3572"/>
      <c r="G100" s="3572"/>
      <c r="H100" s="3605"/>
      <c r="I100" s="138"/>
    </row>
    <row r="101" spans="1:35" ht="18.75" customHeight="1">
      <c r="A101" s="3613" t="s">
        <v>2283</v>
      </c>
      <c r="B101" s="3614"/>
      <c r="C101" s="732" t="str">
        <f>C4</f>
        <v>成本法酒店</v>
      </c>
      <c r="D101" s="733" t="str">
        <f>D4</f>
        <v>收益法酒店</v>
      </c>
      <c r="E101" s="3591" t="s">
        <v>2284</v>
      </c>
      <c r="F101" s="3592"/>
      <c r="G101" s="2491" t="s">
        <v>2285</v>
      </c>
      <c r="H101" s="1035" t="e">
        <f ca="1">H118</f>
        <v>#N/A</v>
      </c>
      <c r="I101" s="138"/>
    </row>
    <row r="102" spans="1:35" ht="18.75" customHeight="1">
      <c r="A102" s="3615" t="s">
        <v>2286</v>
      </c>
      <c r="B102" s="2491" t="s">
        <v>2285</v>
      </c>
      <c r="C102" s="732" t="e">
        <f ca="1">C19</f>
        <v>#N/A</v>
      </c>
      <c r="D102" s="733" t="e">
        <f ca="1">D19</f>
        <v>#N/A</v>
      </c>
      <c r="E102" s="3591"/>
      <c r="F102" s="3592"/>
      <c r="G102" s="2491" t="s">
        <v>2287</v>
      </c>
      <c r="H102" s="371" t="e">
        <f ca="1">I118</f>
        <v>#N/A</v>
      </c>
      <c r="I102" s="138"/>
    </row>
    <row r="103" spans="1:35" ht="42.75" customHeight="1">
      <c r="A103" s="3615"/>
      <c r="B103" s="2491" t="s">
        <v>2287</v>
      </c>
      <c r="C103" s="734" t="e">
        <f ca="1">C20</f>
        <v>#N/A</v>
      </c>
      <c r="D103" s="735">
        <f ca="1">D20</f>
        <v>0</v>
      </c>
      <c r="E103" s="3585" t="s">
        <v>2288</v>
      </c>
      <c r="F103" s="3586"/>
      <c r="G103" s="2492" t="s">
        <v>2289</v>
      </c>
      <c r="H103" s="1035">
        <f>IF(D36="正常操作",H104+H105+H106,H105+H106)</f>
        <v>0</v>
      </c>
      <c r="I103" s="138"/>
    </row>
    <row r="104" spans="1:35" ht="18.75" customHeight="1">
      <c r="A104" s="3615" t="s">
        <v>2290</v>
      </c>
      <c r="B104" s="2493" t="s">
        <v>2285</v>
      </c>
      <c r="C104" s="736" t="e">
        <f ca="1">H118</f>
        <v>#N/A</v>
      </c>
      <c r="D104" s="737"/>
      <c r="E104" s="2241" t="s">
        <v>2291</v>
      </c>
      <c r="F104" s="2233"/>
      <c r="G104" s="2492" t="s">
        <v>2289</v>
      </c>
      <c r="H104" s="1036">
        <f>IF(D36="同一抵押权人同一抵押物续贷",C36&amp;"（未扣减，详见特别提示）",C36)</f>
        <v>0</v>
      </c>
      <c r="I104" s="138"/>
    </row>
    <row r="105" spans="1:35" ht="18.75" customHeight="1" thickBot="1">
      <c r="A105" s="3627"/>
      <c r="B105" s="2494" t="s">
        <v>2287</v>
      </c>
      <c r="C105" s="738" t="e">
        <f ca="1">I118</f>
        <v>#N/A</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616" t="str">
        <f>IF(项目基本情况!E8="已注销","——","3.房地产抵押价值")</f>
        <v>3.房地产抵押价值</v>
      </c>
      <c r="F107" s="3592"/>
      <c r="G107" s="2491" t="s">
        <v>2285</v>
      </c>
      <c r="H107" s="1035" t="e">
        <f ca="1">IF(E107="——","——",H101-H103)</f>
        <v>#N/A</v>
      </c>
      <c r="I107" s="138"/>
    </row>
    <row r="108" spans="1:35" ht="18.75" customHeight="1">
      <c r="A108" s="138"/>
      <c r="B108" s="138"/>
      <c r="C108" s="138"/>
      <c r="D108" s="138"/>
      <c r="E108" s="3616"/>
      <c r="F108" s="3592"/>
      <c r="G108" s="2491" t="s">
        <v>2287</v>
      </c>
      <c r="H108" s="371" t="e">
        <f ca="1">ROUND(H107*10000/'数据-汇总表'!E3,0)</f>
        <v>#N/A</v>
      </c>
      <c r="I108" s="138"/>
    </row>
    <row r="109" spans="1:35" ht="18.75" customHeight="1">
      <c r="A109" s="138"/>
      <c r="B109" s="138"/>
      <c r="C109" s="138"/>
      <c r="D109" s="138"/>
      <c r="E109" s="3616" t="str">
        <f>IF(项目基本情况!E8="已注销及未注销","4.抵押担保权已注销时的房地产抵押价值",IF(项目基本情况!E8="已注销","3.抵押担保权已注销时的房地产抵押价值","——"))</f>
        <v>——</v>
      </c>
      <c r="F109" s="3592"/>
      <c r="G109" s="2491" t="s">
        <v>2285</v>
      </c>
      <c r="H109" s="348" t="str">
        <f>IF(E109="——","——",H101-H105-H106)</f>
        <v>——</v>
      </c>
      <c r="I109" s="138"/>
    </row>
    <row r="110" spans="1:35" ht="18.75" customHeight="1">
      <c r="A110" s="138"/>
      <c r="B110" s="138"/>
      <c r="C110" s="138"/>
      <c r="D110" s="138"/>
      <c r="E110" s="3616"/>
      <c r="F110" s="3592"/>
      <c r="G110" s="2491" t="s">
        <v>2287</v>
      </c>
      <c r="H110" s="371" t="str">
        <f>IF(H109="——","——",ROUND(H109*10000/'数据-汇总表'!E3,0))</f>
        <v>——</v>
      </c>
      <c r="I110" s="138"/>
    </row>
    <row r="111" spans="1:35" ht="18.75" customHeight="1">
      <c r="A111" s="138"/>
      <c r="B111" s="138"/>
      <c r="C111" s="138"/>
      <c r="D111" s="138"/>
      <c r="E111" s="3617" t="str">
        <f>IF(项目基本情况!E9="抵押净值",IF(OR(项目基本情况!E8="已注销",项目基本情况!E8="房地产抵押价值"),"4.抵押净值","5.抵押净值"),"——")</f>
        <v>——</v>
      </c>
      <c r="F111" s="3618"/>
      <c r="G111" s="2491" t="s">
        <v>2285</v>
      </c>
      <c r="H111" s="1035" t="str">
        <f>IF(E111="——","——",N59)</f>
        <v>——</v>
      </c>
      <c r="I111" s="138"/>
    </row>
    <row r="112" spans="1:35" ht="18.75" customHeight="1" thickBot="1">
      <c r="A112" s="138"/>
      <c r="B112" s="138"/>
      <c r="C112" s="138"/>
      <c r="D112" s="138"/>
      <c r="E112" s="3619"/>
      <c r="F112" s="3620"/>
      <c r="G112" s="2496" t="s">
        <v>2287</v>
      </c>
      <c r="H112" s="785" t="str">
        <f>IF(E111="——","——",N61)</f>
        <v>——</v>
      </c>
      <c r="I112" s="138"/>
    </row>
    <row r="113" spans="1:11" ht="18.75" customHeight="1">
      <c r="A113" s="138"/>
      <c r="B113" s="138"/>
      <c r="C113" s="138"/>
      <c r="D113" s="138"/>
      <c r="E113" s="3628" t="s">
        <v>2293</v>
      </c>
      <c r="F113" s="3628"/>
      <c r="G113" s="3628"/>
      <c r="H113" s="3628"/>
      <c r="I113" s="138"/>
    </row>
    <row r="114" spans="1:11" ht="3.75" customHeight="1">
      <c r="A114" s="2389"/>
      <c r="B114" s="2389"/>
      <c r="C114" s="2389"/>
      <c r="D114" s="2389"/>
      <c r="E114" s="2467"/>
      <c r="F114" s="2467"/>
      <c r="G114" s="2467"/>
      <c r="H114" s="2467"/>
      <c r="I114" s="2389"/>
    </row>
    <row r="115" spans="1:11" ht="18.75" customHeight="1">
      <c r="A115" s="3638" t="s">
        <v>2295</v>
      </c>
      <c r="B115" s="3639"/>
      <c r="C115" s="3639"/>
      <c r="D115" s="3639"/>
      <c r="E115" s="3639"/>
      <c r="F115" s="3639"/>
      <c r="G115" s="3639"/>
      <c r="H115" s="3639"/>
      <c r="I115" s="3640"/>
    </row>
    <row r="116" spans="1:11" ht="27" customHeight="1">
      <c r="A116" s="3521" t="s">
        <v>2296</v>
      </c>
      <c r="B116" s="3522" t="s">
        <v>2297</v>
      </c>
      <c r="C116" s="3522" t="s">
        <v>2298</v>
      </c>
      <c r="D116" s="3524" t="s">
        <v>2299</v>
      </c>
      <c r="E116" s="3525"/>
      <c r="F116" s="3527" t="s">
        <v>3158</v>
      </c>
      <c r="G116" s="3527"/>
      <c r="H116" s="3521" t="s">
        <v>2301</v>
      </c>
      <c r="I116" s="3521"/>
    </row>
    <row r="117" spans="1:11" ht="18.75" customHeight="1">
      <c r="A117" s="3521"/>
      <c r="B117" s="3523"/>
      <c r="C117" s="3523"/>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#N/A</v>
      </c>
      <c r="E118" s="2923" t="e">
        <f ca="1">ROUND(IF(C33="自定义",IF(D32="楼面单价",C34,D118*10000/B118),I118-G118),0)</f>
        <v>#N/A</v>
      </c>
      <c r="F118" s="2923" t="e">
        <f ca="1">ROUND(IF(D32="总价",C35,G118*B118/10000),0)</f>
        <v>#N/A</v>
      </c>
      <c r="G118" s="2923" t="e">
        <f ca="1">ROUND(IF(D32="楼面单价",C35,F118*10000/B118),0)</f>
        <v>#N/A</v>
      </c>
      <c r="H118" s="2923" t="e">
        <f ca="1">ROUND(IF(D32="总价",C32,I118*B118/10000),0)</f>
        <v>#N/A</v>
      </c>
      <c r="I118" s="2923" t="e">
        <f ca="1">ROUND(IF(D32="楼面单价",C32,H118*10000/B118),0)</f>
        <v>#N/A</v>
      </c>
    </row>
    <row r="119" spans="1:11" ht="18.75" customHeight="1">
      <c r="A119" s="3521" t="s">
        <v>2305</v>
      </c>
      <c r="B119" s="3521"/>
      <c r="C119" s="3521"/>
      <c r="D119" s="3516" t="e">
        <f ca="1">NUMBERSTRING(INT(D118*10000),2)&amp;"元整"</f>
        <v>#N/A</v>
      </c>
      <c r="E119" s="3517"/>
      <c r="F119" s="3516" t="e">
        <f ca="1">NUMBERSTRING(INT(F118*10000),2)&amp;"元整"</f>
        <v>#N/A</v>
      </c>
      <c r="G119" s="3517"/>
      <c r="H119" s="3516" t="e">
        <f ca="1">NUMBERSTRING(INT(H118*10000),2)&amp;"元整"</f>
        <v>#N/A</v>
      </c>
      <c r="I119" s="3517"/>
    </row>
    <row r="120" spans="1:11" ht="18.75" customHeight="1">
      <c r="A120" s="3598" t="str">
        <f>IF(项目基本情况!B9="房地产市场价值","",MID(E103,3,LEN(E103)-2))</f>
        <v>估价师知悉的法定优先受偿款</v>
      </c>
      <c r="B120" s="3599"/>
      <c r="C120" s="3600"/>
      <c r="D120" s="3598">
        <f>H103</f>
        <v>0</v>
      </c>
      <c r="E120" s="3599"/>
      <c r="F120" s="3599"/>
      <c r="G120" s="3599"/>
      <c r="H120" s="3599"/>
      <c r="I120" s="3600"/>
      <c r="K120" s="2394" t="str">
        <f>IF(D120=0,"故，本次评估不存在"&amp;A120,"故，本次评估"&amp;A120&amp;"为人民币"&amp;D120&amp;"万元整。")</f>
        <v>故，本次评估不存在估价师知悉的法定优先受偿款</v>
      </c>
    </row>
    <row r="121" spans="1:11" ht="18.75" customHeight="1">
      <c r="A121" s="3518" t="s">
        <v>2305</v>
      </c>
      <c r="B121" s="3637"/>
      <c r="C121" s="3519"/>
      <c r="D121" s="3516" t="str">
        <f>IF(D120=0,"零元整",NUMBERSTRING(INT(D120*10000),2)&amp;"元整")</f>
        <v>零元整</v>
      </c>
      <c r="E121" s="3601"/>
      <c r="F121" s="3601"/>
      <c r="G121" s="3601"/>
      <c r="H121" s="3601"/>
      <c r="I121" s="3517"/>
    </row>
    <row r="122" spans="1:11" ht="18.75" customHeight="1">
      <c r="A122" s="3603" t="str">
        <f>IF(项目基本情况!B9="房地产市场价值","",MID(E107,3,LEN(E107)-2))</f>
        <v>房地产抵押价值</v>
      </c>
      <c r="B122" s="3603"/>
      <c r="C122" s="3603"/>
      <c r="D122" s="3598" t="e">
        <f ca="1">H107</f>
        <v>#N/A</v>
      </c>
      <c r="E122" s="3599"/>
      <c r="F122" s="3599"/>
      <c r="G122" s="3599"/>
      <c r="H122" s="3599"/>
      <c r="I122" s="3600"/>
    </row>
    <row r="123" spans="1:11" ht="18.75" customHeight="1">
      <c r="A123" s="3521" t="s">
        <v>2305</v>
      </c>
      <c r="B123" s="3521"/>
      <c r="C123" s="3521"/>
      <c r="D123" s="3516" t="e">
        <f ca="1">NUMBERSTRING(INT(D122*10000),2)&amp;"元整"</f>
        <v>#N/A</v>
      </c>
      <c r="E123" s="3601"/>
      <c r="F123" s="3601"/>
      <c r="G123" s="3601"/>
      <c r="H123" s="3601"/>
      <c r="I123" s="3517"/>
    </row>
    <row r="124" spans="1:11" ht="18.75" customHeight="1">
      <c r="A124" s="3603" t="str">
        <f>IF(项目基本情况!B9="房地产市场价值","",MID(E109,3,LEN(E109)-2))</f>
        <v/>
      </c>
      <c r="B124" s="3603"/>
      <c r="C124" s="3603"/>
      <c r="D124" s="3598" t="str">
        <f>H109</f>
        <v>——</v>
      </c>
      <c r="E124" s="3599"/>
      <c r="F124" s="3599"/>
      <c r="G124" s="3599"/>
      <c r="H124" s="3599"/>
      <c r="I124" s="3600"/>
    </row>
    <row r="125" spans="1:11" ht="18.75" customHeight="1">
      <c r="A125" s="3521" t="s">
        <v>2305</v>
      </c>
      <c r="B125" s="3521"/>
      <c r="C125" s="3521"/>
      <c r="D125" s="3516" t="e">
        <f>NUMBERSTRING(INT(D124*10000),2)&amp;"元整"</f>
        <v>#VALUE!</v>
      </c>
      <c r="E125" s="3601"/>
      <c r="F125" s="3601"/>
      <c r="G125" s="3601"/>
      <c r="H125" s="3601"/>
      <c r="I125" s="3517"/>
    </row>
    <row r="126" spans="1:11" ht="18.75" customHeight="1">
      <c r="A126" s="3603" t="str">
        <f>IF(项目基本情况!B9="房地产市场价值","",MID(E111,3,LEN(E111)-2))</f>
        <v/>
      </c>
      <c r="B126" s="3603"/>
      <c r="C126" s="3603"/>
      <c r="D126" s="3598" t="str">
        <f>H111</f>
        <v>——</v>
      </c>
      <c r="E126" s="3599"/>
      <c r="F126" s="3599"/>
      <c r="G126" s="3599"/>
      <c r="H126" s="3599"/>
      <c r="I126" s="3600"/>
    </row>
    <row r="127" spans="1:11" ht="18.75" customHeight="1">
      <c r="A127" s="3521" t="s">
        <v>2305</v>
      </c>
      <c r="B127" s="3521"/>
      <c r="C127" s="3521"/>
      <c r="D127" s="3516" t="e">
        <f>NUMBERSTRING(INT(D126*10000),2)&amp;"元整"</f>
        <v>#VALUE!</v>
      </c>
      <c r="E127" s="3601"/>
      <c r="F127" s="3601"/>
      <c r="G127" s="3601"/>
      <c r="H127" s="3601"/>
      <c r="I127" s="3517"/>
    </row>
    <row r="128" spans="1:11" ht="21.75" customHeight="1">
      <c r="A128" s="3602" t="s">
        <v>2306</v>
      </c>
      <c r="B128" s="3602"/>
      <c r="C128" s="3602"/>
      <c r="D128" s="3602"/>
      <c r="E128" s="3602"/>
      <c r="F128" s="3602"/>
      <c r="G128" s="3602"/>
      <c r="H128" s="3602"/>
      <c r="I128" s="3602"/>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1629</v>
      </c>
      <c r="B2" s="3485" t="s">
        <v>1630</v>
      </c>
      <c r="C2" s="3485" t="s">
        <v>1631</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6"/>
      <c r="B3" s="3486"/>
      <c r="C3" s="3486"/>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44104.409999999996</v>
      </c>
      <c r="C4" s="1034">
        <f>项目基本情况!C18</f>
        <v>10126.19</v>
      </c>
      <c r="D4" s="1034" t="e">
        <f ca="1">结果表!D118</f>
        <v>#REF!</v>
      </c>
      <c r="E4" s="1034" t="e">
        <f ca="1">结果表!E118</f>
        <v>#REF!</v>
      </c>
      <c r="F4" s="1034" t="e">
        <f ca="1">结果表!F118</f>
        <v>#REF!</v>
      </c>
      <c r="G4" s="1034" t="e">
        <f ca="1">结果表!G118</f>
        <v>#REF!</v>
      </c>
      <c r="H4" s="1034">
        <f ca="1">结果表!H118</f>
        <v>167313</v>
      </c>
      <c r="I4" s="1034">
        <f ca="1">结果表!I118</f>
        <v>37936</v>
      </c>
    </row>
    <row r="5" spans="1:9" ht="30" customHeight="1">
      <c r="A5" s="3486" t="s">
        <v>1628</v>
      </c>
      <c r="B5" s="3486"/>
      <c r="C5" s="3486"/>
      <c r="D5" s="3487" t="e">
        <f ca="1">结果表!D119</f>
        <v>#REF!</v>
      </c>
      <c r="E5" s="3487"/>
      <c r="F5" s="3487" t="e">
        <f ca="1">结果表!F119</f>
        <v>#REF!</v>
      </c>
      <c r="G5" s="3487"/>
      <c r="H5" s="3487" t="str">
        <f ca="1">结果表!H119</f>
        <v>壹拾陆亿柒仟叁佰壹拾叁万元整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6" t="s">
        <v>1628</v>
      </c>
      <c r="B7" s="3486"/>
      <c r="C7" s="3486"/>
      <c r="D7" s="3489" t="str">
        <f>结果表!D121</f>
        <v>零元整</v>
      </c>
      <c r="E7" s="3490"/>
      <c r="F7" s="3490"/>
      <c r="G7" s="3490"/>
      <c r="H7" s="3490"/>
      <c r="I7" s="3491"/>
    </row>
    <row r="8" spans="1:9" ht="15.75">
      <c r="A8" s="3488" t="str">
        <f>结果表!A122</f>
        <v>房地产抵押价值</v>
      </c>
      <c r="B8" s="3488"/>
      <c r="C8" s="3488"/>
      <c r="D8" s="3488">
        <f ca="1">结果表!D122</f>
        <v>167313</v>
      </c>
      <c r="E8" s="3488"/>
      <c r="F8" s="3488"/>
      <c r="G8" s="3488"/>
      <c r="H8" s="3488"/>
      <c r="I8" s="3488"/>
    </row>
    <row r="9" spans="1:9" ht="15">
      <c r="A9" s="3486" t="s">
        <v>1628</v>
      </c>
      <c r="B9" s="3486"/>
      <c r="C9" s="3486"/>
      <c r="D9" s="3487" t="str">
        <f ca="1">结果表!D123</f>
        <v>壹拾陆亿柒仟叁佰壹拾叁万元整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6" t="s">
        <v>1628</v>
      </c>
      <c r="B11" s="3486"/>
      <c r="C11" s="3486"/>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1628</v>
      </c>
      <c r="B13" s="3492"/>
      <c r="C13" s="3492"/>
      <c r="D13" s="3493" t="e">
        <f>结果表!D127</f>
        <v>#VALUE!</v>
      </c>
      <c r="E13" s="3493"/>
      <c r="F13" s="3493"/>
      <c r="G13" s="3493"/>
      <c r="H13" s="3493"/>
      <c r="I13" s="3493"/>
    </row>
    <row r="14" spans="1:9" ht="15" thickTop="1">
      <c r="A14" s="3494" t="s">
        <v>1633</v>
      </c>
      <c r="B14" s="3494"/>
      <c r="C14" s="3494"/>
      <c r="D14" s="3494"/>
      <c r="E14" s="3494"/>
      <c r="F14" s="3494"/>
      <c r="G14" s="3494"/>
      <c r="H14" s="3494"/>
      <c r="I14" s="3494"/>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3634</v>
      </c>
      <c r="C1" s="242"/>
      <c r="D1" s="242"/>
      <c r="E1" s="242"/>
      <c r="F1" s="242"/>
      <c r="G1" s="1361" t="e">
        <f>MATCH(B1,'数据-取费表'!A6:A16,0)+5</f>
        <v>#N/A</v>
      </c>
    </row>
    <row r="2" spans="1:9" s="244" customFormat="1" ht="18" customHeight="1">
      <c r="A2" s="245" t="s">
        <v>2315</v>
      </c>
      <c r="B2" s="246" t="e">
        <f ca="1">IF(D2="——",C52,C52-E2)</f>
        <v>#N/A</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#N/A</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t="e">
        <f ca="1">C6+C7+C8</f>
        <v>#N/A</v>
      </c>
      <c r="D5" s="255" t="s">
        <v>2322</v>
      </c>
      <c r="E5" s="256" t="s">
        <v>2323</v>
      </c>
      <c r="F5" s="256" t="s">
        <v>2324</v>
      </c>
      <c r="G5" s="257"/>
    </row>
    <row r="6" spans="1:9" s="258" customFormat="1" ht="13.5" customHeight="1">
      <c r="A6" s="939" t="s">
        <v>2325</v>
      </c>
      <c r="B6" s="259" t="s">
        <v>2326</v>
      </c>
      <c r="C6" s="260">
        <f>ROUND('土地比较法-住宅、综合'!B56*'数据-汇总表'!F22/10000,0)</f>
        <v>95</v>
      </c>
      <c r="D6" s="261"/>
      <c r="E6" s="262"/>
      <c r="F6" s="262"/>
      <c r="G6" s="263"/>
    </row>
    <row r="7" spans="1:9" s="258" customFormat="1" ht="13.5" customHeight="1">
      <c r="A7" s="939" t="s">
        <v>792</v>
      </c>
      <c r="B7" s="259" t="s">
        <v>2328</v>
      </c>
      <c r="C7" s="264">
        <f>ROUND(C6*F7,0)</f>
        <v>3</v>
      </c>
      <c r="D7" s="264"/>
      <c r="E7" s="262"/>
      <c r="F7" s="265">
        <f>IF(项目基本情况!B8="出让",0,'数据-取费表'!B48+'数据-取费表'!B49)</f>
        <v>3.0499999999999999E-2</v>
      </c>
      <c r="G7" s="263"/>
    </row>
    <row r="8" spans="1:9" s="267" customFormat="1">
      <c r="A8" s="939" t="s">
        <v>2329</v>
      </c>
      <c r="B8" s="259" t="s">
        <v>2330</v>
      </c>
      <c r="C8" s="264" t="e">
        <f ca="1">IF(G8="已包含在土地购买价格中","0",IF(B1="",'数据-取费表'!B29,IF(G9="全部缴纳",C9+C10,H9)))</f>
        <v>#N/A</v>
      </c>
      <c r="D8" s="266"/>
      <c r="E8" s="264"/>
      <c r="F8" s="265"/>
      <c r="G8" s="2523" t="s">
        <v>3626</v>
      </c>
    </row>
    <row r="9" spans="1:9" s="258" customFormat="1" ht="13.5" customHeight="1">
      <c r="A9" s="940" t="s">
        <v>800</v>
      </c>
      <c r="B9" s="268" t="s">
        <v>2331</v>
      </c>
      <c r="C9" s="269" t="e">
        <f ca="1">ROUND(D9*E9/10000,0)</f>
        <v>#N/A</v>
      </c>
      <c r="D9" s="1022" t="e">
        <f ca="1">IF(B1="",'数据-汇总表'!E5,IF(INDIRECT("'数据-取费表'!c"&amp;$G$1)="住宅",INDIRECT("'数据-取费表'!k"&amp;$G$1),0))</f>
        <v>#N/A</v>
      </c>
      <c r="E9" s="269">
        <f>'数据-取费表'!B27</f>
        <v>160</v>
      </c>
      <c r="F9" s="265"/>
      <c r="G9" s="2524" t="s">
        <v>3627</v>
      </c>
      <c r="H9" s="1371"/>
      <c r="I9" s="2525" t="s">
        <v>2332</v>
      </c>
    </row>
    <row r="10" spans="1:9" s="258" customFormat="1" ht="13.5" customHeight="1">
      <c r="A10" s="940" t="s">
        <v>801</v>
      </c>
      <c r="B10" s="268" t="s">
        <v>2333</v>
      </c>
      <c r="C10" s="269" t="e">
        <f ca="1">ROUND(D10*E10/10000,0)</f>
        <v>#N/A</v>
      </c>
      <c r="D10" s="102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t="e">
        <f ca="1">D9+D10</f>
        <v>#N/A</v>
      </c>
      <c r="E19" s="255">
        <f>'数据-取费表'!B31</f>
        <v>200</v>
      </c>
      <c r="F19" s="275"/>
      <c r="G19" s="2523" t="s">
        <v>3628</v>
      </c>
    </row>
    <row r="20" spans="1:7" s="258" customFormat="1" ht="13.5" customHeight="1">
      <c r="A20" s="299" t="s">
        <v>2346</v>
      </c>
      <c r="B20" s="254" t="s">
        <v>2347</v>
      </c>
      <c r="C20" s="276" t="e">
        <f ca="1">ROUND((C5+C19)*F20,0)</f>
        <v>#N/A</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t="e">
        <f ca="1">ROUND(SUM(C23:C25),0)</f>
        <v>#N/A</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t="e">
        <f ca="1">ROUND(IF('数据-取费表'!B22&lt;=1,C5*F22*'数据-取费表'!B23,C5*(POWER((1+F22),'数据-取费表'!B23)-1)),0)</f>
        <v>#N/A</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t="e">
        <f ca="1">ROUND(IF('数据-取费表'!B22&lt;=1,C20*F22*'数据-取费表'!B23/2,C20*(POWER((1+F22),'数据-取费表'!B23/2)-1)),0)</f>
        <v>#N/A</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t="e">
        <f ca="1">C28</f>
        <v>#N/A</v>
      </c>
      <c r="D27" s="279" t="e">
        <f ca="1">C29</f>
        <v>#N/A</v>
      </c>
      <c r="E27" s="280" t="s">
        <v>2351</v>
      </c>
      <c r="F27" s="290" t="e">
        <f ca="1">IF(B1="",'数据-取费表'!Q16,INDIRECT("'数据-取费表'!q"&amp;$G$1))</f>
        <v>#N/A</v>
      </c>
      <c r="G27" s="291" t="s">
        <v>2368</v>
      </c>
    </row>
    <row r="28" spans="1:7" s="258" customFormat="1" ht="13.5" customHeight="1">
      <c r="A28" s="941" t="s">
        <v>791</v>
      </c>
      <c r="B28" s="292" t="s">
        <v>2369</v>
      </c>
      <c r="C28" s="293" t="e">
        <f ca="1">ROUND((C5+C19+C20)*F27*'数据-取费表'!B21/'数据-取费表'!B20,0)</f>
        <v>#N/A</v>
      </c>
      <c r="D28" s="279"/>
      <c r="E28" s="280"/>
      <c r="F28" s="290"/>
      <c r="G28" s="291"/>
    </row>
    <row r="29" spans="1:7" s="258" customFormat="1" ht="13.5" customHeight="1">
      <c r="A29" s="941" t="s">
        <v>792</v>
      </c>
      <c r="B29" s="292" t="s">
        <v>2370</v>
      </c>
      <c r="C29" s="282" t="e">
        <f ca="1">ROUND(C21*F27*'数据-取费表'!B21/'数据-取费表'!B20,4)</f>
        <v>#N/A</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t="e">
        <f ca="1">ROUND((C5+C19+C20+C22+C27)/(1-C21-D22-D27-C30),0)</f>
        <v>#N/A</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t="e">
        <f ca="1">SUM(C34:C38)</f>
        <v>#N/A</v>
      </c>
      <c r="D33" s="276"/>
      <c r="E33" s="256"/>
      <c r="F33" s="285"/>
      <c r="G33" s="278"/>
    </row>
    <row r="34" spans="1:7" s="302" customFormat="1" ht="13.5" customHeight="1">
      <c r="A34" s="941" t="s">
        <v>791</v>
      </c>
      <c r="B34" s="259" t="s">
        <v>2378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2379</v>
      </c>
    </row>
    <row r="35" spans="1:7" ht="13.5" customHeight="1">
      <c r="A35" s="941" t="s">
        <v>796</v>
      </c>
      <c r="B35" s="259" t="s">
        <v>2380</v>
      </c>
      <c r="C35" s="264" t="e">
        <f ca="1">ROUND(C34*F35,0)</f>
        <v>#N/A</v>
      </c>
      <c r="D35" s="264"/>
      <c r="E35" s="264"/>
      <c r="F35" s="303">
        <f>'数据-取费表'!B33</f>
        <v>0.03</v>
      </c>
      <c r="G35" s="263" t="s">
        <v>2381</v>
      </c>
    </row>
    <row r="36" spans="1:7" ht="24">
      <c r="A36" s="941" t="s">
        <v>797</v>
      </c>
      <c r="B36" s="259" t="s">
        <v>2382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2383</v>
      </c>
    </row>
    <row r="37" spans="1:7" s="302" customFormat="1" ht="13.5" customHeight="1">
      <c r="A37" s="941" t="s">
        <v>798</v>
      </c>
      <c r="B37" s="259" t="s">
        <v>2384</v>
      </c>
      <c r="C37" s="293" t="e">
        <f ca="1">ROUND(E37*D37*F34/10000,0)</f>
        <v>#N/A</v>
      </c>
      <c r="D37" s="261" t="e">
        <f ca="1">D19</f>
        <v>#N/A</v>
      </c>
      <c r="E37" s="293">
        <f>'数据-取费表'!B35</f>
        <v>200</v>
      </c>
      <c r="F37" s="303"/>
      <c r="G37" s="305" t="s">
        <v>2385</v>
      </c>
    </row>
    <row r="38" spans="1:7" ht="13.5" customHeight="1">
      <c r="A38" s="941" t="s">
        <v>799</v>
      </c>
      <c r="B38" s="259" t="s">
        <v>2386</v>
      </c>
      <c r="C38" s="264" t="e">
        <f ca="1">ROUND(C34*F38,0)</f>
        <v>#N/A</v>
      </c>
      <c r="D38" s="264"/>
      <c r="E38" s="264"/>
      <c r="F38" s="303">
        <f>'数据-取费表'!B36</f>
        <v>1.4999999999999999E-2</v>
      </c>
      <c r="G38" s="263" t="s">
        <v>2381</v>
      </c>
    </row>
    <row r="39" spans="1:7" s="258" customFormat="1" ht="13.5" customHeight="1">
      <c r="A39" s="299" t="s">
        <v>2387</v>
      </c>
      <c r="B39" s="254" t="s">
        <v>2388</v>
      </c>
      <c r="C39" s="276" t="e">
        <f ca="1">ROUND(C33*F20,0)</f>
        <v>#N/A</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t="e">
        <f ca="1">ROUND(SUM(C42:C43),0)</f>
        <v>#N/A</v>
      </c>
      <c r="D41" s="279">
        <f ca="1">C44</f>
        <v>1E-3</v>
      </c>
      <c r="E41" s="280" t="s">
        <v>2392</v>
      </c>
      <c r="F41" s="281"/>
      <c r="G41" s="278" t="str">
        <f>IF('数据-取费表'!B22&lt;=1,"单利计息","复利计息")</f>
        <v>复利计息</v>
      </c>
    </row>
    <row r="42" spans="1:7" ht="13.5" customHeight="1">
      <c r="A42" s="941" t="s">
        <v>791</v>
      </c>
      <c r="B42" s="259" t="s">
        <v>2396</v>
      </c>
      <c r="C42" s="282" t="e">
        <f ca="1">ROUND(IF('数据-取费表'!B22&lt;=1,C33*F22*'数据-取费表'!B21/2,C33*(POWER((1+F22),'数据-取费表'!B21/2)-1)),0)</f>
        <v>#N/A</v>
      </c>
      <c r="D42" s="282"/>
      <c r="E42" s="282"/>
      <c r="F42" s="283"/>
      <c r="G42" s="3713" t="s">
        <v>2397</v>
      </c>
    </row>
    <row r="43" spans="1:7" ht="13.5" customHeight="1">
      <c r="A43" s="941" t="s">
        <v>792</v>
      </c>
      <c r="B43" s="259" t="s">
        <v>2359</v>
      </c>
      <c r="C43" s="282" t="e">
        <f ca="1">ROUND(IF('数据-取费表'!B22&lt;=1,C39*F22*'数据-取费表'!B21/2,C39*(POWER((1+F22),'数据-取费表'!B21/2)-1)),0)</f>
        <v>#N/A</v>
      </c>
      <c r="D43" s="282"/>
      <c r="E43" s="282"/>
      <c r="F43" s="283"/>
      <c r="G43" s="3714"/>
    </row>
    <row r="44" spans="1:7" ht="13.5" customHeight="1">
      <c r="A44" s="941" t="s">
        <v>793</v>
      </c>
      <c r="B44" s="259" t="s">
        <v>2399</v>
      </c>
      <c r="C44" s="282">
        <f ca="1">ROUND(IF('数据-取费表'!B22&lt;=1,C40*F22*'数据-取费表'!B21/2,C40*(POWER((1+F22),'数据-取费表'!B21/2)-1)),4)</f>
        <v>1E-3</v>
      </c>
      <c r="D44" s="282"/>
      <c r="E44" s="282"/>
      <c r="F44" s="283"/>
      <c r="G44" s="3715"/>
    </row>
    <row r="45" spans="1:7" s="258" customFormat="1" ht="13.5" customHeight="1">
      <c r="A45" s="299" t="s">
        <v>2353</v>
      </c>
      <c r="B45" s="288" t="s">
        <v>2366</v>
      </c>
      <c r="C45" s="289" t="e">
        <f ca="1">C46</f>
        <v>#N/A</v>
      </c>
      <c r="D45" s="279" t="e">
        <f ca="1">C47</f>
        <v>#N/A</v>
      </c>
      <c r="E45" s="280" t="s">
        <v>2392</v>
      </c>
      <c r="F45" s="290"/>
      <c r="G45" s="291" t="s">
        <v>2401</v>
      </c>
    </row>
    <row r="46" spans="1:7" s="258" customFormat="1" ht="13.5" customHeight="1">
      <c r="A46" s="941" t="s">
        <v>791</v>
      </c>
      <c r="B46" s="292" t="s">
        <v>2402</v>
      </c>
      <c r="C46" s="293" t="e">
        <f ca="1">ROUND((C33+C39)*F27,0)</f>
        <v>#N/A</v>
      </c>
      <c r="D46" s="307"/>
      <c r="E46" s="280"/>
      <c r="F46" s="290"/>
      <c r="G46" s="291"/>
    </row>
    <row r="47" spans="1:7" s="258" customFormat="1" ht="13.5" customHeight="1">
      <c r="A47" s="941" t="s">
        <v>792</v>
      </c>
      <c r="B47" s="292" t="s">
        <v>2403</v>
      </c>
      <c r="C47" s="282" t="e">
        <f ca="1">ROUND(C40*F27,4)</f>
        <v>#N/A</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t="e">
        <f ca="1">ROUND((C33+C39+C41+C45)/(1-C40-D41-D45-C48),0)</f>
        <v>#N/A</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t="e">
        <f ca="1">ROUND(C49*F50,0)</f>
        <v>#N/A</v>
      </c>
      <c r="D51" s="276"/>
      <c r="E51" s="276"/>
      <c r="F51" s="308"/>
      <c r="G51" s="278" t="s">
        <v>2413</v>
      </c>
    </row>
    <row r="52" spans="1:7" s="252" customFormat="1" ht="16.5" thickBot="1">
      <c r="A52" s="309" t="s">
        <v>2414</v>
      </c>
      <c r="B52" s="310"/>
      <c r="C52" s="311" t="e">
        <f ca="1">C31+C51</f>
        <v>#N/A</v>
      </c>
      <c r="D52" s="310"/>
      <c r="E52" s="310"/>
      <c r="F52" s="310"/>
      <c r="G52" s="312"/>
    </row>
    <row r="55" spans="1:7" ht="15">
      <c r="B55" s="314" t="s">
        <v>2415</v>
      </c>
      <c r="C55" s="315"/>
    </row>
    <row r="56" spans="1:7">
      <c r="B56" s="317" t="s">
        <v>1501</v>
      </c>
      <c r="C56" s="319" t="e">
        <f ca="1">1-C57</f>
        <v>#N/A</v>
      </c>
    </row>
    <row r="57" spans="1:7">
      <c r="B57" s="317" t="s">
        <v>1502</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3053</v>
      </c>
      <c r="F3" s="2699" t="s">
        <v>2799</v>
      </c>
      <c r="G3" s="906">
        <f>IF(F3="宗地容积率",'数据-汇总表'!I4,IF(F3="估价对象容积率",'数据-汇总表'!I6,'数据-汇总表'!I7))</f>
        <v>3.62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820"/>
      <c r="B4" s="3821"/>
      <c r="C4" s="3821"/>
      <c r="D4" s="3822"/>
      <c r="E4" s="3822"/>
      <c r="F4" s="3822"/>
      <c r="G4" s="3822"/>
      <c r="H4" s="3822"/>
      <c r="I4" s="3822"/>
      <c r="J4" s="3823"/>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804"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3.62</v>
      </c>
      <c r="AA7" s="1586"/>
      <c r="AB7" s="1586"/>
      <c r="AC7" s="1587"/>
      <c r="AD7" s="1588"/>
      <c r="AE7" s="1588"/>
      <c r="AF7" s="1588"/>
      <c r="AG7" s="1588"/>
      <c r="AH7" s="1588"/>
      <c r="AI7" s="1588"/>
      <c r="AJ7" s="1589"/>
    </row>
    <row r="8" spans="1:36" ht="25.5">
      <c r="A8" s="3824"/>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817" t="s">
        <v>2818</v>
      </c>
      <c r="X8" s="3818"/>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824"/>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819"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824"/>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819"/>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824"/>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819" t="s">
        <v>2842</v>
      </c>
      <c r="X11" s="1594" t="s">
        <v>2843</v>
      </c>
      <c r="Y11" s="1595">
        <f>$G$3</f>
        <v>3.62</v>
      </c>
      <c r="Z11" s="1595">
        <f t="shared" ref="Z11:AJ11" si="3">$G$3</f>
        <v>3.62</v>
      </c>
      <c r="AA11" s="1595">
        <f t="shared" si="3"/>
        <v>3.62</v>
      </c>
      <c r="AB11" s="1595">
        <f t="shared" si="3"/>
        <v>3.62</v>
      </c>
      <c r="AC11" s="1595">
        <f t="shared" si="3"/>
        <v>3.62</v>
      </c>
      <c r="AD11" s="1595">
        <f t="shared" si="3"/>
        <v>3.62</v>
      </c>
      <c r="AE11" s="1595">
        <f t="shared" si="3"/>
        <v>3.62</v>
      </c>
      <c r="AF11" s="1595">
        <f t="shared" si="3"/>
        <v>3.62</v>
      </c>
      <c r="AG11" s="1595">
        <f t="shared" si="3"/>
        <v>3.62</v>
      </c>
      <c r="AH11" s="1595">
        <f t="shared" si="3"/>
        <v>3.62</v>
      </c>
      <c r="AI11" s="1595">
        <f t="shared" si="3"/>
        <v>3.62</v>
      </c>
      <c r="AJ11" s="1595">
        <f t="shared" si="3"/>
        <v>3.62</v>
      </c>
    </row>
    <row r="12" spans="1:36" ht="25.5" thickBot="1">
      <c r="A12" s="3804"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819"/>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825"/>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819"/>
      <c r="X13" s="1596"/>
      <c r="Y13" s="1593">
        <f>(-0.163*(Y12^2)-0.59*Y12+7617)*(10^(-4))/Y11</f>
        <v>0.21041436464088398</v>
      </c>
      <c r="Z13" s="1593">
        <f t="shared" ref="Z13:AJ13" si="5">(-0.163*(Z12^2)-0.59*Z12+7617)*(10^(-4))/Z11</f>
        <v>0.21041436464088398</v>
      </c>
      <c r="AA13" s="1593">
        <f t="shared" si="5"/>
        <v>0.21041436464088398</v>
      </c>
      <c r="AB13" s="1593">
        <f t="shared" si="5"/>
        <v>0.21041436464088398</v>
      </c>
      <c r="AC13" s="1593">
        <f t="shared" si="5"/>
        <v>0.21041436464088398</v>
      </c>
      <c r="AD13" s="1593">
        <f t="shared" si="5"/>
        <v>0.21041436464088398</v>
      </c>
      <c r="AE13" s="1593">
        <f t="shared" si="5"/>
        <v>0.21041436464088398</v>
      </c>
      <c r="AF13" s="1593">
        <f t="shared" si="5"/>
        <v>0.21041436464088398</v>
      </c>
      <c r="AG13" s="1593">
        <f t="shared" si="5"/>
        <v>0.21041436464088398</v>
      </c>
      <c r="AH13" s="1593">
        <f t="shared" si="5"/>
        <v>0.21041436464088398</v>
      </c>
      <c r="AI13" s="1593">
        <f t="shared" si="5"/>
        <v>0.21041436464088398</v>
      </c>
      <c r="AJ13" s="1593">
        <f t="shared" si="5"/>
        <v>0.21041436464088398</v>
      </c>
    </row>
    <row r="14" spans="1:36" ht="15">
      <c r="A14" s="3825"/>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826"/>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804" t="s">
        <v>2861</v>
      </c>
      <c r="B16" s="2716" t="s">
        <v>2862</v>
      </c>
      <c r="C16" s="2903">
        <f>ROUND(IF(F17="与级别开发程度一致",0,(G17-E17)/C17),0)</f>
        <v>0</v>
      </c>
      <c r="D16" s="3815" t="s">
        <v>2866</v>
      </c>
      <c r="E16" s="3816"/>
      <c r="F16" s="3815" t="s">
        <v>2863</v>
      </c>
      <c r="G16" s="3816"/>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805"/>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3056</v>
      </c>
      <c r="C21" s="927">
        <f>IF(B21="容积率修正",IF(G3&lt;=10,D22,J22),C23)</f>
        <v>0.89049999999999996</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0.89049999999999996</v>
      </c>
      <c r="E22" s="906">
        <f>ROUNDDOWN(G3,1)</f>
        <v>3.6</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0.89190000000000003</v>
      </c>
      <c r="G22" s="906">
        <f>ROUNDUP(G3,1)</f>
        <v>3.7</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0.88480000000000003</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812"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813"/>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813"/>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814"/>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806" t="s">
        <v>2949</v>
      </c>
      <c r="B90" s="3806"/>
      <c r="C90" s="3806"/>
      <c r="D90" s="3806"/>
      <c r="E90" s="3806"/>
      <c r="F90" s="3806"/>
      <c r="G90" s="3806"/>
      <c r="H90" s="3806"/>
      <c r="I90" s="3806"/>
      <c r="J90" s="3806"/>
      <c r="K90" s="2855"/>
      <c r="L90" s="2855"/>
      <c r="M90" s="2855"/>
      <c r="N90" s="2855"/>
    </row>
    <row r="91" spans="1:37">
      <c r="A91" s="3808" t="s">
        <v>2950</v>
      </c>
      <c r="B91" s="3808" t="s">
        <v>2951</v>
      </c>
      <c r="C91" s="2809" t="s">
        <v>2952</v>
      </c>
      <c r="D91" s="2810"/>
      <c r="E91" s="2810"/>
      <c r="F91" s="2810"/>
      <c r="G91" s="2810"/>
      <c r="H91" s="2810"/>
      <c r="I91" s="2810"/>
      <c r="J91" s="2856"/>
      <c r="K91" s="2857"/>
      <c r="L91" s="2857"/>
      <c r="M91" s="2857"/>
      <c r="N91" s="2857"/>
    </row>
    <row r="92" spans="1:37">
      <c r="A92" s="3808"/>
      <c r="B92" s="3808"/>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809"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810"/>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810"/>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810"/>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810"/>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810"/>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810"/>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811"/>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809" t="s">
        <v>2954</v>
      </c>
      <c r="B101" s="2862" t="s">
        <v>2955</v>
      </c>
      <c r="C101" s="2863">
        <f>$G$3</f>
        <v>3.62</v>
      </c>
      <c r="D101" s="2863">
        <f t="shared" ref="D101:N101" si="31">$G$3</f>
        <v>3.62</v>
      </c>
      <c r="E101" s="2863">
        <f t="shared" si="31"/>
        <v>3.62</v>
      </c>
      <c r="F101" s="2863">
        <f t="shared" si="31"/>
        <v>3.62</v>
      </c>
      <c r="G101" s="2863">
        <f t="shared" si="31"/>
        <v>3.62</v>
      </c>
      <c r="H101" s="2863">
        <f t="shared" si="31"/>
        <v>3.62</v>
      </c>
      <c r="I101" s="2863">
        <f t="shared" si="31"/>
        <v>3.62</v>
      </c>
      <c r="J101" s="2863">
        <f t="shared" si="31"/>
        <v>3.62</v>
      </c>
      <c r="K101" s="2863">
        <f t="shared" si="31"/>
        <v>3.62</v>
      </c>
      <c r="L101" s="2863">
        <f t="shared" si="31"/>
        <v>3.62</v>
      </c>
      <c r="M101" s="2863">
        <f t="shared" si="31"/>
        <v>3.62</v>
      </c>
      <c r="N101" s="2863">
        <f t="shared" si="31"/>
        <v>3.62</v>
      </c>
    </row>
    <row r="102" spans="1:14">
      <c r="A102" s="3810"/>
      <c r="B102" s="2858">
        <v>1</v>
      </c>
      <c r="C102" s="2859">
        <f>1.9362/C101</f>
        <v>0.53486187845303867</v>
      </c>
      <c r="D102" s="2859">
        <f>1.9362/D101</f>
        <v>0.53486187845303867</v>
      </c>
      <c r="E102" s="2859">
        <f>1.8629/E101</f>
        <v>0.51461325966850824</v>
      </c>
      <c r="F102" s="2859">
        <f>1.8629/F101</f>
        <v>0.51461325966850824</v>
      </c>
      <c r="G102" s="2859">
        <f>1.8629/G101</f>
        <v>0.51461325966850824</v>
      </c>
      <c r="H102" s="2859">
        <f>1.8629/H101</f>
        <v>0.51461325966850824</v>
      </c>
      <c r="I102" s="2859">
        <f>1.8629/I101</f>
        <v>0.51461325966850824</v>
      </c>
      <c r="J102" s="2859">
        <f>1.942/J101</f>
        <v>0.53646408839779003</v>
      </c>
      <c r="K102" s="2859">
        <f>1.942/K101</f>
        <v>0.53646408839779003</v>
      </c>
      <c r="L102" s="2859">
        <f>1.942/L101</f>
        <v>0.53646408839779003</v>
      </c>
      <c r="M102" s="2859">
        <f>1.942/M101</f>
        <v>0.53646408839779003</v>
      </c>
      <c r="N102" s="2859">
        <f>1.942/N101</f>
        <v>0.53646408839779003</v>
      </c>
    </row>
    <row r="103" spans="1:14">
      <c r="A103" s="3810"/>
      <c r="B103" s="2858">
        <v>2</v>
      </c>
      <c r="C103" s="2859">
        <f>1.4198/C101</f>
        <v>0.39220994475138121</v>
      </c>
      <c r="D103" s="2859">
        <f>1.4198/D101</f>
        <v>0.39220994475138121</v>
      </c>
      <c r="E103" s="2859">
        <f>1.3372/E101</f>
        <v>0.36939226519337015</v>
      </c>
      <c r="F103" s="2859">
        <f>1.3372/F101</f>
        <v>0.36939226519337015</v>
      </c>
      <c r="G103" s="2859">
        <f>1.3372/G101</f>
        <v>0.36939226519337015</v>
      </c>
      <c r="H103" s="2859">
        <f>1.3372/H101</f>
        <v>0.36939226519337015</v>
      </c>
      <c r="I103" s="2859">
        <f>1.3372/I101</f>
        <v>0.36939226519337015</v>
      </c>
      <c r="J103" s="2859">
        <f>1.2799/J101</f>
        <v>0.35356353591160222</v>
      </c>
      <c r="K103" s="2859">
        <f>1.2799/K101</f>
        <v>0.35356353591160222</v>
      </c>
      <c r="L103" s="2859">
        <f>1.2799/L101</f>
        <v>0.35356353591160222</v>
      </c>
      <c r="M103" s="2859">
        <f>1.2799/M101</f>
        <v>0.35356353591160222</v>
      </c>
      <c r="N103" s="2859">
        <f>1.2799/N101</f>
        <v>0.35356353591160222</v>
      </c>
    </row>
    <row r="104" spans="1:14">
      <c r="A104" s="3810"/>
      <c r="B104" s="2858">
        <v>3</v>
      </c>
      <c r="C104" s="2859">
        <f>1.1594/C101</f>
        <v>0.32027624309392266</v>
      </c>
      <c r="D104" s="2859">
        <f>1.1594/D101</f>
        <v>0.32027624309392266</v>
      </c>
      <c r="E104" s="2859">
        <f>1.0788/E101</f>
        <v>0.29801104972375692</v>
      </c>
      <c r="F104" s="2859">
        <f>1.0788/F101</f>
        <v>0.29801104972375692</v>
      </c>
      <c r="G104" s="2859">
        <f>1.0788/G101</f>
        <v>0.29801104972375692</v>
      </c>
      <c r="H104" s="2859">
        <f>1.0788/H101</f>
        <v>0.29801104972375692</v>
      </c>
      <c r="I104" s="2859">
        <f>1.0788/I101</f>
        <v>0.29801104972375692</v>
      </c>
      <c r="J104" s="2859">
        <f>1.0072/J101</f>
        <v>0.27823204419889502</v>
      </c>
      <c r="K104" s="2859">
        <f>1.0072/K101</f>
        <v>0.27823204419889502</v>
      </c>
      <c r="L104" s="2859">
        <f>1.0072/L101</f>
        <v>0.27823204419889502</v>
      </c>
      <c r="M104" s="2859">
        <f>1.0072/M101</f>
        <v>0.27823204419889502</v>
      </c>
      <c r="N104" s="2859">
        <f>1.0072/N101</f>
        <v>0.27823204419889502</v>
      </c>
    </row>
    <row r="105" spans="1:14">
      <c r="A105" s="3810"/>
      <c r="B105" s="2858">
        <v>4</v>
      </c>
      <c r="C105" s="2859">
        <f>0.9622/C101</f>
        <v>0.26580110497237569</v>
      </c>
      <c r="D105" s="2859">
        <f>0.9622/D101</f>
        <v>0.26580110497237569</v>
      </c>
      <c r="E105" s="2859">
        <f>0.8656/E101</f>
        <v>0.23911602209944752</v>
      </c>
      <c r="F105" s="2859">
        <f>0.8656/F101</f>
        <v>0.23911602209944752</v>
      </c>
      <c r="G105" s="2859">
        <f>0.8656/G101</f>
        <v>0.23911602209944752</v>
      </c>
      <c r="H105" s="2859">
        <f>0.8656/H101</f>
        <v>0.23911602209944752</v>
      </c>
      <c r="I105" s="2859">
        <f>0.8656/I101</f>
        <v>0.23911602209944752</v>
      </c>
      <c r="J105" s="2859">
        <f>0.7525/J101</f>
        <v>0.20787292817679556</v>
      </c>
      <c r="K105" s="2859">
        <f>0.7525/K101</f>
        <v>0.20787292817679556</v>
      </c>
      <c r="L105" s="2859">
        <f>0.7525/L101</f>
        <v>0.20787292817679556</v>
      </c>
      <c r="M105" s="2859">
        <f>0.7525/M101</f>
        <v>0.20787292817679556</v>
      </c>
      <c r="N105" s="2859">
        <f>0.7525/N101</f>
        <v>0.20787292817679556</v>
      </c>
    </row>
    <row r="106" spans="1:14">
      <c r="A106" s="3810"/>
      <c r="B106" s="2858">
        <v>5</v>
      </c>
      <c r="C106" s="2859">
        <f>0.8417/C101</f>
        <v>0.23251381215469613</v>
      </c>
      <c r="D106" s="2859">
        <f>0.8417/D101</f>
        <v>0.23251381215469613</v>
      </c>
      <c r="E106" s="2859">
        <f>0.7371/E101</f>
        <v>0.20361878453038673</v>
      </c>
      <c r="F106" s="2859">
        <f>0.7371/F101</f>
        <v>0.20361878453038673</v>
      </c>
      <c r="G106" s="2859">
        <f>0.7371/G101</f>
        <v>0.20361878453038673</v>
      </c>
      <c r="H106" s="2859">
        <f>0.7371/H101</f>
        <v>0.20361878453038673</v>
      </c>
      <c r="I106" s="2859">
        <f>0.7371/I101</f>
        <v>0.20361878453038673</v>
      </c>
      <c r="J106" s="2859">
        <f>0.5659/J101</f>
        <v>0.15632596685082872</v>
      </c>
      <c r="K106" s="2859">
        <f>0.5659/K101</f>
        <v>0.15632596685082872</v>
      </c>
      <c r="L106" s="2859">
        <f>0.5659/L101</f>
        <v>0.15632596685082872</v>
      </c>
      <c r="M106" s="2859">
        <f>0.5659/M101</f>
        <v>0.15632596685082872</v>
      </c>
      <c r="N106" s="2859">
        <f>0.5659/N101</f>
        <v>0.15632596685082872</v>
      </c>
    </row>
    <row r="107" spans="1:14">
      <c r="A107" s="3810"/>
      <c r="B107" s="2858">
        <v>6</v>
      </c>
      <c r="C107" s="2859">
        <f>0.7608/C101</f>
        <v>0.21016574585635359</v>
      </c>
      <c r="D107" s="2859">
        <f>0.7608/D101</f>
        <v>0.21016574585635359</v>
      </c>
      <c r="E107" s="2859">
        <f>0.6482/E101</f>
        <v>0.17906077348066299</v>
      </c>
      <c r="F107" s="2859">
        <f>0.6482/F101</f>
        <v>0.17906077348066299</v>
      </c>
      <c r="G107" s="2859">
        <f>0.6482/G101</f>
        <v>0.17906077348066299</v>
      </c>
      <c r="H107" s="2859">
        <f>0.6482/H101</f>
        <v>0.17906077348066299</v>
      </c>
      <c r="I107" s="2859">
        <f>0.6482/I101</f>
        <v>0.17906077348066299</v>
      </c>
      <c r="J107" s="2859">
        <f>0.4525/J101</f>
        <v>0.125</v>
      </c>
      <c r="K107" s="2859">
        <f>0.4525/K101</f>
        <v>0.125</v>
      </c>
      <c r="L107" s="2859">
        <f>0.4525/L101</f>
        <v>0.125</v>
      </c>
      <c r="M107" s="2859">
        <f>0.4525/M101</f>
        <v>0.125</v>
      </c>
      <c r="N107" s="2859">
        <f>0.4525/N101</f>
        <v>0.125</v>
      </c>
    </row>
    <row r="108" spans="1:14">
      <c r="A108" s="3810"/>
      <c r="B108" s="3606"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811"/>
      <c r="B109" s="3607"/>
      <c r="C109" s="2861">
        <f>(-0.163*(C108^2)-0.59*C108+7617)*(10^(-4))/C101</f>
        <v>0.21041436464088398</v>
      </c>
      <c r="D109" s="2861">
        <f>(-0.163*(D108^2)-0.59*D108+7617)*(10^(-4))/D101</f>
        <v>0.21041436464088398</v>
      </c>
      <c r="E109" s="2861">
        <f>(-0.161*(E108^2)-7.509*E108+6533)*(10^(-4))/E101</f>
        <v>0.18046961325966851</v>
      </c>
      <c r="F109" s="2861">
        <f>(-0.161*(F108^2)-7.509*F108+6533)*(10^(-4))/F101</f>
        <v>0.18046961325966851</v>
      </c>
      <c r="G109" s="2861">
        <f>(-0.161*(G108^2)-7.509*G108+6533)*(10^(-4))/G101</f>
        <v>0.18046961325966851</v>
      </c>
      <c r="H109" s="2861">
        <f>(-0.161*(H108^2)-7.509*H108+6533)*(10^(-4))/H101</f>
        <v>0.18046961325966851</v>
      </c>
      <c r="I109" s="2861">
        <f>(-0.161*(I108^2)-7.509*I108+6533)*(10^(-4))/I101</f>
        <v>0.18046961325966851</v>
      </c>
      <c r="J109" s="2861">
        <f>(-0.214*(J108^2)-21.991*J108+4665)*(10^(-4))/J101</f>
        <v>0.12886740331491714</v>
      </c>
      <c r="K109" s="2861">
        <f>(-0.214*(K108^2)-21.991*K108+4665)*(10^(-4))/K101</f>
        <v>0.12886740331491714</v>
      </c>
      <c r="L109" s="2861">
        <f>(-0.214*(L108^2)-21.991*L108+4665)*(10^(-4))/L101</f>
        <v>0.12886740331491714</v>
      </c>
      <c r="M109" s="2861">
        <f>(-0.214*(M108^2)-21.991*M108+4665)*(10^(-4))/M101</f>
        <v>0.12886740331491714</v>
      </c>
      <c r="N109" s="2861">
        <f>(-0.214*(N108^2)-21.991*N108+4665)*(10^(-4))/N101</f>
        <v>0.12886740331491714</v>
      </c>
    </row>
    <row r="110" spans="1:14">
      <c r="A110" s="3807" t="s">
        <v>2957</v>
      </c>
      <c r="B110" s="3807"/>
      <c r="C110" s="3807"/>
      <c r="D110" s="3807"/>
      <c r="E110" s="3807"/>
      <c r="F110" s="3807"/>
      <c r="G110" s="3807"/>
      <c r="H110" s="3807"/>
      <c r="I110" s="3807"/>
      <c r="J110" s="3807"/>
      <c r="K110" s="2864"/>
      <c r="L110" s="2864"/>
      <c r="M110" s="2864"/>
      <c r="N110" s="2864"/>
    </row>
    <row r="112" spans="1:14" ht="13.5" thickBot="1"/>
    <row r="113" spans="1:13" ht="25.5" thickBot="1">
      <c r="A113" s="893" t="s">
        <v>2958</v>
      </c>
      <c r="B113" s="1269">
        <f>G3</f>
        <v>3.62</v>
      </c>
      <c r="C113" s="894" t="s">
        <v>2959</v>
      </c>
      <c r="D113" s="895">
        <f>SUMPRODUCT((A115:A118=F113)*(B114:M114=H113)*B115:M118)</f>
        <v>0.80959999999999999</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0.89949999999999997</v>
      </c>
      <c r="C115" s="900">
        <f>B115</f>
        <v>0.89949999999999997</v>
      </c>
      <c r="D115" s="900">
        <f>ROUND(0.8331-0.0109*B113,4)</f>
        <v>0.79359999999999997</v>
      </c>
      <c r="E115" s="900">
        <f>D115</f>
        <v>0.79359999999999997</v>
      </c>
      <c r="F115" s="900">
        <f>E115</f>
        <v>0.79359999999999997</v>
      </c>
      <c r="G115" s="900">
        <f>F115</f>
        <v>0.79359999999999997</v>
      </c>
      <c r="H115" s="900">
        <f>G115</f>
        <v>0.79359999999999997</v>
      </c>
      <c r="I115" s="900">
        <f>ROUND(0.689-0.0155*B113,4)</f>
        <v>0.63290000000000002</v>
      </c>
      <c r="J115" s="900">
        <f t="shared" ref="J115:M118" si="33">I115</f>
        <v>0.63290000000000002</v>
      </c>
      <c r="K115" s="900">
        <f t="shared" si="33"/>
        <v>0.63290000000000002</v>
      </c>
      <c r="L115" s="900">
        <f t="shared" si="33"/>
        <v>0.63290000000000002</v>
      </c>
      <c r="M115" s="901">
        <f t="shared" si="33"/>
        <v>0.63290000000000002</v>
      </c>
    </row>
    <row r="116" spans="1:13">
      <c r="A116" s="899" t="s">
        <v>2858</v>
      </c>
      <c r="B116" s="900">
        <f>ROUND(0.949-0.012*B113,4)</f>
        <v>0.90559999999999996</v>
      </c>
      <c r="C116" s="900">
        <f>B116</f>
        <v>0.90559999999999996</v>
      </c>
      <c r="D116" s="900">
        <f>ROUND(0.8567-0.013*B113,4)</f>
        <v>0.80959999999999999</v>
      </c>
      <c r="E116" s="900">
        <f t="shared" ref="E116:H117" si="34">D116</f>
        <v>0.80959999999999999</v>
      </c>
      <c r="F116" s="900">
        <f t="shared" si="34"/>
        <v>0.80959999999999999</v>
      </c>
      <c r="G116" s="900">
        <f t="shared" si="34"/>
        <v>0.80959999999999999</v>
      </c>
      <c r="H116" s="900">
        <f t="shared" si="34"/>
        <v>0.80959999999999999</v>
      </c>
      <c r="I116" s="900">
        <f>ROUND(0.7694-0.014*B113,4)</f>
        <v>0.71870000000000001</v>
      </c>
      <c r="J116" s="900">
        <f t="shared" si="33"/>
        <v>0.71870000000000001</v>
      </c>
      <c r="K116" s="900">
        <f t="shared" si="33"/>
        <v>0.71870000000000001</v>
      </c>
      <c r="L116" s="900">
        <f t="shared" si="33"/>
        <v>0.71870000000000001</v>
      </c>
      <c r="M116" s="901">
        <f t="shared" si="33"/>
        <v>0.71870000000000001</v>
      </c>
    </row>
    <row r="117" spans="1:13">
      <c r="A117" s="899" t="s">
        <v>2859</v>
      </c>
      <c r="B117" s="900">
        <f>ROUND(0.8808-0.006*B113,4)</f>
        <v>0.85909999999999997</v>
      </c>
      <c r="C117" s="900">
        <f>B117</f>
        <v>0.85909999999999997</v>
      </c>
      <c r="D117" s="900">
        <f>ROUND(0.8748-0.008*B113,4)</f>
        <v>0.8458</v>
      </c>
      <c r="E117" s="900">
        <f t="shared" si="34"/>
        <v>0.8458</v>
      </c>
      <c r="F117" s="900">
        <f t="shared" si="34"/>
        <v>0.8458</v>
      </c>
      <c r="G117" s="900">
        <f t="shared" si="34"/>
        <v>0.8458</v>
      </c>
      <c r="H117" s="900">
        <f t="shared" si="34"/>
        <v>0.8458</v>
      </c>
      <c r="I117" s="900">
        <f>ROUND(0.7412-0.0095*B113,4)</f>
        <v>0.70679999999999998</v>
      </c>
      <c r="J117" s="900">
        <f t="shared" si="33"/>
        <v>0.70679999999999998</v>
      </c>
      <c r="K117" s="900">
        <f t="shared" si="33"/>
        <v>0.70679999999999998</v>
      </c>
      <c r="L117" s="900">
        <f t="shared" si="33"/>
        <v>0.70679999999999998</v>
      </c>
      <c r="M117" s="901">
        <f t="shared" si="33"/>
        <v>0.70679999999999998</v>
      </c>
    </row>
    <row r="118" spans="1:13" ht="13.5" thickBot="1">
      <c r="A118" s="711" t="s">
        <v>2860</v>
      </c>
      <c r="B118" s="902">
        <f>ROUND(0.7275-0.01*B113,4)</f>
        <v>0.69130000000000003</v>
      </c>
      <c r="C118" s="902">
        <f>B118</f>
        <v>0.69130000000000003</v>
      </c>
      <c r="D118" s="902">
        <f>ROUND(0.7043-0.012*B113,4)</f>
        <v>0.66090000000000004</v>
      </c>
      <c r="E118" s="902">
        <f>D118</f>
        <v>0.66090000000000004</v>
      </c>
      <c r="F118" s="902">
        <f>E118</f>
        <v>0.66090000000000004</v>
      </c>
      <c r="G118" s="902">
        <f>ROUND(0.6299-0.0122*B113,4)</f>
        <v>0.5857</v>
      </c>
      <c r="H118" s="902">
        <f>G118</f>
        <v>0.5857</v>
      </c>
      <c r="I118" s="902">
        <f>ROUND(0.5667-0.0136*B113,4)</f>
        <v>0.51749999999999996</v>
      </c>
      <c r="J118" s="902">
        <f t="shared" si="33"/>
        <v>0.51749999999999996</v>
      </c>
      <c r="K118" s="902">
        <f t="shared" si="33"/>
        <v>0.51749999999999996</v>
      </c>
      <c r="L118" s="902">
        <f t="shared" si="33"/>
        <v>0.51749999999999996</v>
      </c>
      <c r="M118" s="903">
        <f t="shared" si="33"/>
        <v>0.51749999999999996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827" t="s">
        <v>183</v>
      </c>
      <c r="B18" s="872" t="s">
        <v>560</v>
      </c>
      <c r="C18" s="873" t="s">
        <v>561</v>
      </c>
      <c r="D18" s="874"/>
      <c r="E18" s="872">
        <v>1</v>
      </c>
      <c r="F18" s="875" t="s">
        <v>562</v>
      </c>
      <c r="G18" s="876"/>
      <c r="H18" s="868"/>
      <c r="I18" s="868"/>
    </row>
    <row r="19" spans="1:9" s="877" customFormat="1" ht="19.5" customHeight="1">
      <c r="A19" s="3827"/>
      <c r="B19" s="3827" t="s">
        <v>563</v>
      </c>
      <c r="C19" s="873" t="s">
        <v>564</v>
      </c>
      <c r="D19" s="874"/>
      <c r="E19" s="872">
        <v>0.9</v>
      </c>
      <c r="F19" s="875" t="s">
        <v>565</v>
      </c>
      <c r="G19" s="876"/>
      <c r="H19" s="868"/>
      <c r="I19" s="868"/>
    </row>
    <row r="20" spans="1:9" s="877" customFormat="1" ht="19.5" customHeight="1">
      <c r="A20" s="3827"/>
      <c r="B20" s="3827"/>
      <c r="C20" s="873" t="s">
        <v>566</v>
      </c>
      <c r="D20" s="874"/>
      <c r="E20" s="872">
        <v>1.1000000000000001</v>
      </c>
      <c r="F20" s="875" t="s">
        <v>567</v>
      </c>
      <c r="G20" s="876"/>
      <c r="H20" s="868"/>
      <c r="I20" s="868"/>
    </row>
    <row r="21" spans="1:9" s="877" customFormat="1" ht="19.5" customHeight="1">
      <c r="A21" s="3827"/>
      <c r="B21" s="3827"/>
      <c r="C21" s="873" t="s">
        <v>568</v>
      </c>
      <c r="D21" s="874"/>
      <c r="E21" s="872">
        <v>0.8</v>
      </c>
      <c r="F21" s="875" t="s">
        <v>569</v>
      </c>
      <c r="G21" s="876"/>
      <c r="H21" s="868"/>
      <c r="I21" s="868"/>
    </row>
    <row r="22" spans="1:9" s="877" customFormat="1" ht="19.5" customHeight="1">
      <c r="A22" s="3827"/>
      <c r="B22" s="3827"/>
      <c r="C22" s="873" t="s">
        <v>570</v>
      </c>
      <c r="D22" s="874"/>
      <c r="E22" s="872">
        <v>0.5</v>
      </c>
      <c r="F22" s="875"/>
      <c r="G22" s="876"/>
      <c r="H22" s="868"/>
      <c r="I22" s="868"/>
    </row>
    <row r="23" spans="1:9" s="877" customFormat="1" ht="19.5" customHeight="1">
      <c r="A23" s="3827" t="s">
        <v>184</v>
      </c>
      <c r="B23" s="872" t="s">
        <v>560</v>
      </c>
      <c r="C23" s="873" t="s">
        <v>571</v>
      </c>
      <c r="D23" s="874"/>
      <c r="E23" s="872">
        <v>1</v>
      </c>
      <c r="F23" s="875" t="s">
        <v>572</v>
      </c>
      <c r="G23" s="876"/>
      <c r="H23" s="868"/>
      <c r="I23" s="868"/>
    </row>
    <row r="24" spans="1:9" s="877" customFormat="1" ht="19.5" customHeight="1">
      <c r="A24" s="3827"/>
      <c r="B24" s="3827" t="s">
        <v>563</v>
      </c>
      <c r="C24" s="873" t="s">
        <v>573</v>
      </c>
      <c r="D24" s="874"/>
      <c r="E24" s="872">
        <v>0.5</v>
      </c>
      <c r="F24" s="875"/>
      <c r="G24" s="876"/>
      <c r="H24" s="868"/>
      <c r="I24" s="868"/>
    </row>
    <row r="25" spans="1:9" s="877" customFormat="1" ht="19.5" customHeight="1">
      <c r="A25" s="3827"/>
      <c r="B25" s="3827"/>
      <c r="C25" s="873" t="s">
        <v>574</v>
      </c>
      <c r="D25" s="874"/>
      <c r="E25" s="872">
        <v>1.1000000000000001</v>
      </c>
      <c r="F25" s="875"/>
      <c r="G25" s="876"/>
      <c r="H25" s="868"/>
      <c r="I25" s="868"/>
    </row>
    <row r="26" spans="1:9" s="877" customFormat="1" ht="19.5" customHeight="1">
      <c r="A26" s="3827"/>
      <c r="B26" s="3827"/>
      <c r="C26" s="873" t="s">
        <v>575</v>
      </c>
      <c r="D26" s="874"/>
      <c r="E26" s="872">
        <v>1.1000000000000001</v>
      </c>
      <c r="F26" s="875"/>
      <c r="G26" s="876"/>
      <c r="H26" s="868"/>
      <c r="I26" s="868"/>
    </row>
    <row r="27" spans="1:9" s="877" customFormat="1" ht="19.5" customHeight="1">
      <c r="A27" s="3827"/>
      <c r="B27" s="3827"/>
      <c r="C27" s="873" t="s">
        <v>576</v>
      </c>
      <c r="D27" s="874"/>
      <c r="E27" s="872">
        <v>0.9</v>
      </c>
      <c r="F27" s="875" t="s">
        <v>577</v>
      </c>
      <c r="G27" s="876"/>
      <c r="H27" s="868"/>
      <c r="I27" s="868"/>
    </row>
    <row r="28" spans="1:9" s="877" customFormat="1" ht="19.5" customHeight="1">
      <c r="A28" s="3827"/>
      <c r="B28" s="3827"/>
      <c r="C28" s="873" t="s">
        <v>578</v>
      </c>
      <c r="D28" s="874"/>
      <c r="E28" s="872">
        <v>0.9</v>
      </c>
      <c r="F28" s="875" t="s">
        <v>579</v>
      </c>
      <c r="G28" s="876"/>
      <c r="H28" s="868"/>
      <c r="I28" s="868"/>
    </row>
    <row r="29" spans="1:9" s="877" customFormat="1" ht="19.5" customHeight="1">
      <c r="A29" s="3827"/>
      <c r="B29" s="3827"/>
      <c r="C29" s="873" t="s">
        <v>580</v>
      </c>
      <c r="D29" s="874"/>
      <c r="E29" s="872">
        <v>0.9</v>
      </c>
      <c r="F29" s="875" t="s">
        <v>581</v>
      </c>
      <c r="G29" s="876"/>
      <c r="H29" s="868"/>
      <c r="I29" s="868"/>
    </row>
    <row r="30" spans="1:9" s="877" customFormat="1" ht="19.5" customHeight="1">
      <c r="A30" s="3827"/>
      <c r="B30" s="3827"/>
      <c r="C30" s="873" t="s">
        <v>582</v>
      </c>
      <c r="D30" s="874"/>
      <c r="E30" s="872">
        <v>0.9</v>
      </c>
      <c r="F30" s="875" t="s">
        <v>583</v>
      </c>
      <c r="G30" s="876"/>
      <c r="H30" s="868"/>
      <c r="I30" s="868"/>
    </row>
    <row r="31" spans="1:9" s="877" customFormat="1" ht="19.5" customHeight="1">
      <c r="A31" s="3827"/>
      <c r="B31" s="3827"/>
      <c r="C31" s="873" t="s">
        <v>584</v>
      </c>
      <c r="D31" s="874"/>
      <c r="E31" s="872">
        <v>0.8</v>
      </c>
      <c r="F31" s="875" t="s">
        <v>585</v>
      </c>
      <c r="G31" s="876"/>
      <c r="H31" s="868"/>
      <c r="I31" s="868"/>
    </row>
    <row r="32" spans="1:9" s="877" customFormat="1" ht="19.5" customHeight="1">
      <c r="A32" s="3827"/>
      <c r="B32" s="3827"/>
      <c r="C32" s="873" t="s">
        <v>586</v>
      </c>
      <c r="D32" s="874"/>
      <c r="E32" s="872">
        <v>0.8</v>
      </c>
      <c r="F32" s="875" t="s">
        <v>587</v>
      </c>
      <c r="G32" s="876"/>
      <c r="H32" s="868"/>
      <c r="I32" s="868"/>
    </row>
    <row r="33" spans="1:9" s="877" customFormat="1" ht="19.5" customHeight="1">
      <c r="A33" s="3827" t="s">
        <v>185</v>
      </c>
      <c r="B33" s="872" t="s">
        <v>560</v>
      </c>
      <c r="C33" s="873" t="s">
        <v>588</v>
      </c>
      <c r="D33" s="874"/>
      <c r="E33" s="872">
        <v>1</v>
      </c>
      <c r="F33" s="875" t="s">
        <v>589</v>
      </c>
      <c r="G33" s="876"/>
      <c r="H33" s="868"/>
      <c r="I33" s="868"/>
    </row>
    <row r="34" spans="1:9" s="877" customFormat="1" ht="19.5" customHeight="1">
      <c r="A34" s="3827"/>
      <c r="B34" s="872" t="s">
        <v>563</v>
      </c>
      <c r="C34" s="873" t="s">
        <v>590</v>
      </c>
      <c r="D34" s="874"/>
      <c r="E34" s="872">
        <v>1.5</v>
      </c>
      <c r="F34" s="875" t="s">
        <v>591</v>
      </c>
      <c r="G34" s="876"/>
      <c r="H34" s="868"/>
      <c r="I34" s="868"/>
    </row>
    <row r="35" spans="1:9" s="877" customFormat="1" ht="19.5" customHeight="1">
      <c r="A35" s="3827" t="s">
        <v>186</v>
      </c>
      <c r="B35" s="872" t="s">
        <v>560</v>
      </c>
      <c r="C35" s="873" t="s">
        <v>592</v>
      </c>
      <c r="D35" s="874"/>
      <c r="E35" s="872">
        <v>1</v>
      </c>
      <c r="F35" s="875" t="s">
        <v>593</v>
      </c>
      <c r="G35" s="876"/>
      <c r="H35" s="868"/>
      <c r="I35" s="868"/>
    </row>
    <row r="36" spans="1:9" s="877" customFormat="1" ht="19.5" customHeight="1">
      <c r="A36" s="3827"/>
      <c r="B36" s="3827" t="s">
        <v>563</v>
      </c>
      <c r="C36" s="873" t="s">
        <v>594</v>
      </c>
      <c r="D36" s="874"/>
      <c r="E36" s="872">
        <v>1</v>
      </c>
      <c r="F36" s="875" t="s">
        <v>595</v>
      </c>
      <c r="G36" s="876"/>
      <c r="H36" s="868"/>
      <c r="I36" s="868"/>
    </row>
    <row r="37" spans="1:9" s="877" customFormat="1" ht="19.5" customHeight="1">
      <c r="A37" s="3827"/>
      <c r="B37" s="3827"/>
      <c r="C37" s="873" t="s">
        <v>596</v>
      </c>
      <c r="D37" s="874"/>
      <c r="E37" s="872">
        <v>1.5</v>
      </c>
      <c r="F37" s="875" t="s">
        <v>597</v>
      </c>
      <c r="G37" s="876"/>
      <c r="H37" s="868"/>
      <c r="I37" s="868"/>
    </row>
    <row r="38" spans="1:9" s="877" customFormat="1" ht="19.5" customHeight="1">
      <c r="A38" s="3827"/>
      <c r="B38" s="3827"/>
      <c r="C38" s="873" t="s">
        <v>598</v>
      </c>
      <c r="D38" s="874"/>
      <c r="E38" s="872">
        <v>1</v>
      </c>
      <c r="F38" s="875" t="s">
        <v>599</v>
      </c>
      <c r="G38" s="876"/>
      <c r="H38" s="868"/>
      <c r="I38" s="868"/>
    </row>
    <row r="39" spans="1:9" s="877" customFormat="1" ht="19.5" customHeight="1">
      <c r="A39" s="3827"/>
      <c r="B39" s="3827"/>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827" t="s">
        <v>614</v>
      </c>
      <c r="C61" s="808" t="s">
        <v>615</v>
      </c>
      <c r="D61" s="808" t="s">
        <v>616</v>
      </c>
      <c r="E61" s="885">
        <v>0.5</v>
      </c>
      <c r="F61" s="872">
        <v>80</v>
      </c>
    </row>
    <row r="62" spans="1:8" s="868" customFormat="1" ht="24">
      <c r="A62" s="872">
        <v>2</v>
      </c>
      <c r="B62" s="3827"/>
      <c r="C62" s="808" t="s">
        <v>617</v>
      </c>
      <c r="D62" s="808" t="s">
        <v>618</v>
      </c>
      <c r="E62" s="885">
        <v>0.5</v>
      </c>
      <c r="F62" s="872">
        <v>80</v>
      </c>
    </row>
    <row r="63" spans="1:8" s="868" customFormat="1" ht="36">
      <c r="A63" s="872">
        <v>3</v>
      </c>
      <c r="B63" s="3827"/>
      <c r="C63" s="808" t="s">
        <v>619</v>
      </c>
      <c r="D63" s="808" t="s">
        <v>620</v>
      </c>
      <c r="E63" s="885">
        <v>0.5</v>
      </c>
      <c r="F63" s="872">
        <v>80</v>
      </c>
    </row>
    <row r="64" spans="1:8" s="868" customFormat="1" ht="36">
      <c r="A64" s="872">
        <v>4</v>
      </c>
      <c r="B64" s="3827"/>
      <c r="C64" s="808" t="s">
        <v>621</v>
      </c>
      <c r="D64" s="808" t="s">
        <v>622</v>
      </c>
      <c r="E64" s="885">
        <v>0.4</v>
      </c>
      <c r="F64" s="872">
        <v>60</v>
      </c>
    </row>
    <row r="65" spans="1:6" s="868" customFormat="1" ht="36">
      <c r="A65" s="872">
        <v>5</v>
      </c>
      <c r="B65" s="3827"/>
      <c r="C65" s="808" t="s">
        <v>623</v>
      </c>
      <c r="D65" s="808" t="s">
        <v>624</v>
      </c>
      <c r="E65" s="885">
        <v>0.2</v>
      </c>
      <c r="F65" s="872">
        <v>30</v>
      </c>
    </row>
    <row r="66" spans="1:6" s="868" customFormat="1" ht="36">
      <c r="A66" s="872">
        <v>6</v>
      </c>
      <c r="B66" s="3827"/>
      <c r="C66" s="808" t="s">
        <v>625</v>
      </c>
      <c r="D66" s="808" t="s">
        <v>626</v>
      </c>
      <c r="E66" s="885">
        <v>0.3</v>
      </c>
      <c r="F66" s="872">
        <v>50</v>
      </c>
    </row>
    <row r="67" spans="1:6" s="868" customFormat="1" ht="36">
      <c r="A67" s="872">
        <v>7</v>
      </c>
      <c r="B67" s="3827"/>
      <c r="C67" s="808" t="s">
        <v>627</v>
      </c>
      <c r="D67" s="808" t="s">
        <v>628</v>
      </c>
      <c r="E67" s="885">
        <v>0.2</v>
      </c>
      <c r="F67" s="872">
        <v>30</v>
      </c>
    </row>
    <row r="68" spans="1:6" s="868" customFormat="1" ht="36">
      <c r="A68" s="872">
        <v>8</v>
      </c>
      <c r="B68" s="3827"/>
      <c r="C68" s="808" t="s">
        <v>629</v>
      </c>
      <c r="D68" s="808" t="s">
        <v>630</v>
      </c>
      <c r="E68" s="885">
        <v>0.2</v>
      </c>
      <c r="F68" s="872">
        <v>30</v>
      </c>
    </row>
    <row r="69" spans="1:6" s="868" customFormat="1" ht="36">
      <c r="A69" s="872">
        <v>9</v>
      </c>
      <c r="B69" s="3827"/>
      <c r="C69" s="808" t="s">
        <v>631</v>
      </c>
      <c r="D69" s="808" t="s">
        <v>632</v>
      </c>
      <c r="E69" s="885">
        <v>0.2</v>
      </c>
      <c r="F69" s="872">
        <v>30</v>
      </c>
    </row>
    <row r="70" spans="1:6" s="868" customFormat="1" ht="48">
      <c r="A70" s="872">
        <v>10</v>
      </c>
      <c r="B70" s="3827"/>
      <c r="C70" s="808" t="s">
        <v>633</v>
      </c>
      <c r="D70" s="808" t="s">
        <v>634</v>
      </c>
      <c r="E70" s="885">
        <v>0.2</v>
      </c>
      <c r="F70" s="872">
        <v>30</v>
      </c>
    </row>
    <row r="71" spans="1:6" s="868" customFormat="1" ht="48">
      <c r="A71" s="872">
        <v>11</v>
      </c>
      <c r="B71" s="3827"/>
      <c r="C71" s="808" t="s">
        <v>635</v>
      </c>
      <c r="D71" s="808" t="s">
        <v>636</v>
      </c>
      <c r="E71" s="885">
        <v>0.2</v>
      </c>
      <c r="F71" s="872">
        <v>30</v>
      </c>
    </row>
    <row r="72" spans="1:6" s="868" customFormat="1" ht="36">
      <c r="A72" s="872">
        <v>12</v>
      </c>
      <c r="B72" s="3827"/>
      <c r="C72" s="808" t="s">
        <v>637</v>
      </c>
      <c r="D72" s="808" t="s">
        <v>638</v>
      </c>
      <c r="E72" s="885">
        <v>0.5</v>
      </c>
      <c r="F72" s="872">
        <v>80</v>
      </c>
    </row>
    <row r="73" spans="1:6" s="868" customFormat="1" ht="24">
      <c r="A73" s="872">
        <v>13</v>
      </c>
      <c r="B73" s="3827"/>
      <c r="C73" s="808" t="s">
        <v>639</v>
      </c>
      <c r="D73" s="808" t="s">
        <v>640</v>
      </c>
      <c r="E73" s="885">
        <v>0.4</v>
      </c>
      <c r="F73" s="872">
        <v>60</v>
      </c>
    </row>
    <row r="74" spans="1:6" s="868" customFormat="1" ht="24">
      <c r="A74" s="872">
        <v>14</v>
      </c>
      <c r="B74" s="3827"/>
      <c r="C74" s="808" t="s">
        <v>641</v>
      </c>
      <c r="D74" s="808" t="s">
        <v>642</v>
      </c>
      <c r="E74" s="885">
        <v>0.2</v>
      </c>
      <c r="F74" s="872">
        <v>30</v>
      </c>
    </row>
    <row r="75" spans="1:6" s="868" customFormat="1" ht="24">
      <c r="A75" s="872">
        <v>15</v>
      </c>
      <c r="B75" s="3827"/>
      <c r="C75" s="808" t="s">
        <v>643</v>
      </c>
      <c r="D75" s="808" t="s">
        <v>644</v>
      </c>
      <c r="E75" s="885">
        <v>0.2</v>
      </c>
      <c r="F75" s="872">
        <v>30</v>
      </c>
    </row>
    <row r="76" spans="1:6" s="868" customFormat="1" ht="24">
      <c r="A76" s="872">
        <v>16</v>
      </c>
      <c r="B76" s="3827" t="s">
        <v>645</v>
      </c>
      <c r="C76" s="808" t="s">
        <v>646</v>
      </c>
      <c r="D76" s="808" t="s">
        <v>647</v>
      </c>
      <c r="E76" s="885">
        <v>0.5</v>
      </c>
      <c r="F76" s="872">
        <v>80</v>
      </c>
    </row>
    <row r="77" spans="1:6" s="868" customFormat="1" ht="24">
      <c r="A77" s="872">
        <v>17</v>
      </c>
      <c r="B77" s="3827"/>
      <c r="C77" s="808" t="s">
        <v>648</v>
      </c>
      <c r="D77" s="808" t="s">
        <v>649</v>
      </c>
      <c r="E77" s="885">
        <v>0.5</v>
      </c>
      <c r="F77" s="872">
        <v>80</v>
      </c>
    </row>
    <row r="78" spans="1:6" s="868" customFormat="1" ht="24">
      <c r="A78" s="872">
        <v>18</v>
      </c>
      <c r="B78" s="3827"/>
      <c r="C78" s="808" t="s">
        <v>650</v>
      </c>
      <c r="D78" s="808" t="s">
        <v>651</v>
      </c>
      <c r="E78" s="885">
        <v>0.2</v>
      </c>
      <c r="F78" s="872">
        <v>30</v>
      </c>
    </row>
    <row r="79" spans="1:6" s="868" customFormat="1" ht="24">
      <c r="A79" s="872">
        <v>19</v>
      </c>
      <c r="B79" s="3827"/>
      <c r="C79" s="808" t="s">
        <v>652</v>
      </c>
      <c r="D79" s="808" t="s">
        <v>653</v>
      </c>
      <c r="E79" s="885">
        <v>0.5</v>
      </c>
      <c r="F79" s="872">
        <v>80</v>
      </c>
    </row>
    <row r="80" spans="1:6" s="868" customFormat="1" ht="36">
      <c r="A80" s="872">
        <v>20</v>
      </c>
      <c r="B80" s="3827"/>
      <c r="C80" s="808" t="s">
        <v>654</v>
      </c>
      <c r="D80" s="808" t="s">
        <v>655</v>
      </c>
      <c r="E80" s="885">
        <v>0.2</v>
      </c>
      <c r="F80" s="872">
        <v>30</v>
      </c>
    </row>
    <row r="81" spans="1:6" s="868" customFormat="1" ht="36">
      <c r="A81" s="872">
        <v>21</v>
      </c>
      <c r="B81" s="3827"/>
      <c r="C81" s="808" t="s">
        <v>656</v>
      </c>
      <c r="D81" s="808" t="s">
        <v>657</v>
      </c>
      <c r="E81" s="885">
        <v>0.2</v>
      </c>
      <c r="F81" s="872">
        <v>30</v>
      </c>
    </row>
    <row r="82" spans="1:6" s="868" customFormat="1" ht="48">
      <c r="A82" s="872">
        <v>22</v>
      </c>
      <c r="B82" s="3827"/>
      <c r="C82" s="808" t="s">
        <v>658</v>
      </c>
      <c r="D82" s="808" t="s">
        <v>659</v>
      </c>
      <c r="E82" s="885">
        <v>0.2</v>
      </c>
      <c r="F82" s="872">
        <v>30</v>
      </c>
    </row>
    <row r="83" spans="1:6" s="868" customFormat="1" ht="48">
      <c r="A83" s="872">
        <v>23</v>
      </c>
      <c r="B83" s="3827"/>
      <c r="C83" s="808" t="s">
        <v>660</v>
      </c>
      <c r="D83" s="808" t="s">
        <v>661</v>
      </c>
      <c r="E83" s="885">
        <v>0.2</v>
      </c>
      <c r="F83" s="872">
        <v>30</v>
      </c>
    </row>
    <row r="84" spans="1:6" s="868" customFormat="1" ht="36">
      <c r="A84" s="872">
        <v>24</v>
      </c>
      <c r="B84" s="3827"/>
      <c r="C84" s="808" t="s">
        <v>662</v>
      </c>
      <c r="D84" s="808" t="s">
        <v>663</v>
      </c>
      <c r="E84" s="885">
        <v>0.2</v>
      </c>
      <c r="F84" s="872">
        <v>30</v>
      </c>
    </row>
    <row r="85" spans="1:6" s="868" customFormat="1" ht="36">
      <c r="A85" s="872">
        <v>25</v>
      </c>
      <c r="B85" s="3827"/>
      <c r="C85" s="808" t="s">
        <v>664</v>
      </c>
      <c r="D85" s="808" t="s">
        <v>665</v>
      </c>
      <c r="E85" s="885">
        <v>0.5</v>
      </c>
      <c r="F85" s="872">
        <v>80</v>
      </c>
    </row>
    <row r="86" spans="1:6" s="868" customFormat="1" ht="36">
      <c r="A86" s="872">
        <v>26</v>
      </c>
      <c r="B86" s="3827"/>
      <c r="C86" s="808" t="s">
        <v>666</v>
      </c>
      <c r="D86" s="808" t="s">
        <v>667</v>
      </c>
      <c r="E86" s="885">
        <v>0.2</v>
      </c>
      <c r="F86" s="872">
        <v>30</v>
      </c>
    </row>
    <row r="87" spans="1:6" s="868" customFormat="1" ht="36">
      <c r="A87" s="872">
        <v>27</v>
      </c>
      <c r="B87" s="3827"/>
      <c r="C87" s="808" t="s">
        <v>668</v>
      </c>
      <c r="D87" s="808" t="s">
        <v>669</v>
      </c>
      <c r="E87" s="885">
        <v>0.2</v>
      </c>
      <c r="F87" s="872">
        <v>30</v>
      </c>
    </row>
    <row r="88" spans="1:6" s="868" customFormat="1" ht="36">
      <c r="A88" s="872">
        <v>28</v>
      </c>
      <c r="B88" s="3827"/>
      <c r="C88" s="808" t="s">
        <v>670</v>
      </c>
      <c r="D88" s="808" t="s">
        <v>671</v>
      </c>
      <c r="E88" s="885">
        <v>0.2</v>
      </c>
      <c r="F88" s="872">
        <v>30</v>
      </c>
    </row>
    <row r="89" spans="1:6" s="868" customFormat="1" ht="24">
      <c r="A89" s="872">
        <v>29</v>
      </c>
      <c r="B89" s="3827"/>
      <c r="C89" s="808" t="s">
        <v>672</v>
      </c>
      <c r="D89" s="808" t="s">
        <v>673</v>
      </c>
      <c r="E89" s="885">
        <v>0.2</v>
      </c>
      <c r="F89" s="872">
        <v>30</v>
      </c>
    </row>
    <row r="90" spans="1:6" s="868" customFormat="1" ht="24">
      <c r="A90" s="872">
        <v>30</v>
      </c>
      <c r="B90" s="3827"/>
      <c r="C90" s="808" t="s">
        <v>674</v>
      </c>
      <c r="D90" s="808" t="s">
        <v>675</v>
      </c>
      <c r="E90" s="885">
        <v>0.2</v>
      </c>
      <c r="F90" s="872">
        <v>30</v>
      </c>
    </row>
    <row r="91" spans="1:6" s="868" customFormat="1" ht="36">
      <c r="A91" s="872">
        <v>31</v>
      </c>
      <c r="B91" s="3827"/>
      <c r="C91" s="808" t="s">
        <v>676</v>
      </c>
      <c r="D91" s="808" t="s">
        <v>677</v>
      </c>
      <c r="E91" s="885">
        <v>0.2</v>
      </c>
      <c r="F91" s="872">
        <v>30</v>
      </c>
    </row>
    <row r="92" spans="1:6" s="868" customFormat="1" ht="24">
      <c r="A92" s="872">
        <v>32</v>
      </c>
      <c r="B92" s="3827" t="s">
        <v>678</v>
      </c>
      <c r="C92" s="872" t="s">
        <v>679</v>
      </c>
      <c r="D92" s="808" t="s">
        <v>680</v>
      </c>
      <c r="E92" s="885">
        <v>0.2</v>
      </c>
      <c r="F92" s="872">
        <v>30</v>
      </c>
    </row>
    <row r="93" spans="1:6" s="868" customFormat="1" ht="36">
      <c r="A93" s="872">
        <v>33</v>
      </c>
      <c r="B93" s="3827"/>
      <c r="C93" s="872" t="s">
        <v>681</v>
      </c>
      <c r="D93" s="808" t="s">
        <v>682</v>
      </c>
      <c r="E93" s="885">
        <v>0.2</v>
      </c>
      <c r="F93" s="872">
        <v>30</v>
      </c>
    </row>
    <row r="94" spans="1:6" s="868" customFormat="1" ht="48">
      <c r="A94" s="872">
        <v>34</v>
      </c>
      <c r="B94" s="3827"/>
      <c r="C94" s="872" t="s">
        <v>683</v>
      </c>
      <c r="D94" s="808" t="s">
        <v>684</v>
      </c>
      <c r="E94" s="885">
        <v>0.2</v>
      </c>
      <c r="F94" s="872">
        <v>30</v>
      </c>
    </row>
    <row r="95" spans="1:6" s="868" customFormat="1" ht="36">
      <c r="A95" s="872">
        <v>35</v>
      </c>
      <c r="B95" s="3827"/>
      <c r="C95" s="872" t="s">
        <v>685</v>
      </c>
      <c r="D95" s="808" t="s">
        <v>686</v>
      </c>
      <c r="E95" s="885">
        <v>0.2</v>
      </c>
      <c r="F95" s="872">
        <v>30</v>
      </c>
    </row>
    <row r="96" spans="1:6" s="868" customFormat="1" ht="48">
      <c r="A96" s="872">
        <v>36</v>
      </c>
      <c r="B96" s="3827"/>
      <c r="C96" s="808" t="s">
        <v>687</v>
      </c>
      <c r="D96" s="808" t="s">
        <v>688</v>
      </c>
      <c r="E96" s="885">
        <v>0.2</v>
      </c>
      <c r="F96" s="872">
        <v>30</v>
      </c>
    </row>
    <row r="97" spans="1:6" s="868" customFormat="1" ht="36">
      <c r="A97" s="872">
        <v>37</v>
      </c>
      <c r="B97" s="3827"/>
      <c r="C97" s="872" t="s">
        <v>689</v>
      </c>
      <c r="D97" s="808" t="s">
        <v>690</v>
      </c>
      <c r="E97" s="885">
        <v>0.2</v>
      </c>
      <c r="F97" s="872">
        <v>30</v>
      </c>
    </row>
    <row r="98" spans="1:6" s="868" customFormat="1" ht="36">
      <c r="A98" s="872">
        <v>38</v>
      </c>
      <c r="B98" s="3827"/>
      <c r="C98" s="872" t="s">
        <v>691</v>
      </c>
      <c r="D98" s="808" t="s">
        <v>692</v>
      </c>
      <c r="E98" s="885">
        <v>0.2</v>
      </c>
      <c r="F98" s="872">
        <v>30</v>
      </c>
    </row>
    <row r="99" spans="1:6" s="868" customFormat="1" ht="36">
      <c r="A99" s="872">
        <v>39</v>
      </c>
      <c r="B99" s="3827" t="s">
        <v>693</v>
      </c>
      <c r="C99" s="872" t="s">
        <v>694</v>
      </c>
      <c r="D99" s="808" t="s">
        <v>695</v>
      </c>
      <c r="E99" s="885">
        <v>0.3</v>
      </c>
      <c r="F99" s="872">
        <v>50</v>
      </c>
    </row>
    <row r="100" spans="1:6" s="868" customFormat="1" ht="24">
      <c r="A100" s="872">
        <v>40</v>
      </c>
      <c r="B100" s="3827"/>
      <c r="C100" s="872" t="s">
        <v>696</v>
      </c>
      <c r="D100" s="808" t="s">
        <v>697</v>
      </c>
      <c r="E100" s="885">
        <v>0.2</v>
      </c>
      <c r="F100" s="872">
        <v>30</v>
      </c>
    </row>
    <row r="101" spans="1:6" s="868" customFormat="1" ht="36">
      <c r="A101" s="872">
        <v>41</v>
      </c>
      <c r="B101" s="3827"/>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827" t="s">
        <v>708</v>
      </c>
      <c r="C105" s="872" t="s">
        <v>709</v>
      </c>
      <c r="D105" s="808" t="s">
        <v>710</v>
      </c>
      <c r="E105" s="885">
        <v>0.2</v>
      </c>
      <c r="F105" s="872">
        <v>30</v>
      </c>
    </row>
    <row r="106" spans="1:6" s="868" customFormat="1" ht="36">
      <c r="A106" s="872">
        <v>46</v>
      </c>
      <c r="B106" s="3827"/>
      <c r="C106" s="872" t="s">
        <v>711</v>
      </c>
      <c r="D106" s="808" t="s">
        <v>712</v>
      </c>
      <c r="E106" s="885">
        <v>0.2</v>
      </c>
      <c r="F106" s="872">
        <v>30</v>
      </c>
    </row>
    <row r="107" spans="1:6" s="868" customFormat="1" ht="36">
      <c r="A107" s="872">
        <v>47</v>
      </c>
      <c r="B107" s="3827" t="s">
        <v>713</v>
      </c>
      <c r="C107" s="872" t="s">
        <v>714</v>
      </c>
      <c r="D107" s="808" t="s">
        <v>715</v>
      </c>
      <c r="E107" s="885">
        <v>0.3</v>
      </c>
      <c r="F107" s="872">
        <v>50</v>
      </c>
    </row>
    <row r="108" spans="1:6" s="868" customFormat="1" ht="36">
      <c r="A108" s="872">
        <v>48</v>
      </c>
      <c r="B108" s="3827"/>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827" t="s">
        <v>724</v>
      </c>
      <c r="C111" s="872" t="s">
        <v>725</v>
      </c>
      <c r="D111" s="808" t="s">
        <v>726</v>
      </c>
      <c r="E111" s="885">
        <v>0.2</v>
      </c>
      <c r="F111" s="872">
        <v>30</v>
      </c>
    </row>
    <row r="112" spans="1:6" s="868" customFormat="1" ht="24">
      <c r="A112" s="872">
        <v>52</v>
      </c>
      <c r="B112" s="3827"/>
      <c r="C112" s="872" t="s">
        <v>727</v>
      </c>
      <c r="D112" s="808" t="s">
        <v>728</v>
      </c>
      <c r="E112" s="885">
        <v>0.2</v>
      </c>
      <c r="F112" s="872">
        <v>30</v>
      </c>
    </row>
    <row r="113" spans="1:6" s="868" customFormat="1" ht="24">
      <c r="A113" s="872">
        <v>53</v>
      </c>
      <c r="B113" s="3827"/>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827" t="s">
        <v>737</v>
      </c>
      <c r="C116" s="872" t="s">
        <v>738</v>
      </c>
      <c r="D116" s="808" t="s">
        <v>739</v>
      </c>
      <c r="E116" s="885">
        <v>0.2</v>
      </c>
      <c r="F116" s="872">
        <v>30</v>
      </c>
    </row>
    <row r="117" spans="1:6" ht="36">
      <c r="A117" s="872">
        <v>57</v>
      </c>
      <c r="B117" s="3827"/>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0.89190000000000003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3634</v>
      </c>
      <c r="D1" s="1800" t="s">
        <v>70</v>
      </c>
      <c r="E1" s="1801" t="s">
        <v>1375</v>
      </c>
      <c r="F1" s="1265" t="e">
        <f ca="1">J53</f>
        <v>#N/A</v>
      </c>
      <c r="G1" s="1816"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t="e">
        <f ca="1">C40+J29+L46</f>
        <v>#N/A</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t="e">
        <f ca="1">C6+C10+C12</f>
        <v>#N/A</v>
      </c>
      <c r="D5" s="1802" t="s">
        <v>1390</v>
      </c>
      <c r="E5" s="1275"/>
      <c r="F5" s="1276"/>
      <c r="G5" s="1831"/>
      <c r="H5" s="344">
        <v>1</v>
      </c>
      <c r="I5" s="345" t="s">
        <v>1389</v>
      </c>
      <c r="J5" s="1274" t="e">
        <f ca="1">J6+J10+J12</f>
        <v>#N/A</v>
      </c>
      <c r="K5" s="1802" t="s">
        <v>1390</v>
      </c>
      <c r="L5" s="1275"/>
      <c r="M5" s="1276"/>
    </row>
    <row r="6" spans="1:37" ht="18" customHeight="1">
      <c r="A6" s="1273" t="s">
        <v>1032</v>
      </c>
      <c r="B6" s="3766" t="s">
        <v>1391</v>
      </c>
      <c r="C6" s="1278" t="e">
        <f ca="1">ROUND(F6*F8*F7*(1-F9)/10000,0)</f>
        <v>#N/A</v>
      </c>
      <c r="D6" s="164" t="s">
        <v>3004</v>
      </c>
      <c r="E6" s="347" t="s">
        <v>1393</v>
      </c>
      <c r="F6" s="348" t="e">
        <f ca="1">INDIRECT("'数据-取费表'!u"&amp;$G$1)</f>
        <v>#N/A</v>
      </c>
      <c r="G6" s="1831"/>
      <c r="H6" s="1273" t="s">
        <v>1032</v>
      </c>
      <c r="I6" s="3766" t="s">
        <v>1391</v>
      </c>
      <c r="J6" s="346" t="e">
        <f ca="1">ROUND(M6*M8*M7*(1-M9)/10000,0)</f>
        <v>#N/A</v>
      </c>
      <c r="K6" s="164" t="s">
        <v>3003</v>
      </c>
      <c r="L6" s="347" t="s">
        <v>1393</v>
      </c>
      <c r="M6" s="348" t="e">
        <f ca="1">INDIRECT("'数据-取费表'!z"&amp;$G$1)</f>
        <v>#N/A</v>
      </c>
    </row>
    <row r="7" spans="1:37" ht="18" customHeight="1">
      <c r="A7" s="1277"/>
      <c r="B7" s="3767"/>
      <c r="C7" s="1279"/>
      <c r="D7" s="352"/>
      <c r="E7" s="2942" t="s">
        <v>1394</v>
      </c>
      <c r="F7" s="348" t="e">
        <f ca="1">IF(INDIRECT("'数据-取费表'!ah"&amp;$G$1)="",INDIRECT("'数据-取费表'!k"&amp;$G$1),INDIRECT("'数据-取费表'!ah"&amp;$G$1))</f>
        <v>#N/A</v>
      </c>
      <c r="G7" s="1831"/>
      <c r="H7" s="349"/>
      <c r="I7" s="3767"/>
      <c r="J7" s="351"/>
      <c r="K7" s="352"/>
      <c r="L7" s="347" t="s">
        <v>1394</v>
      </c>
      <c r="M7" s="348" t="e">
        <f ca="1">F7</f>
        <v>#N/A</v>
      </c>
    </row>
    <row r="8" spans="1:37" ht="18" customHeight="1">
      <c r="A8" s="349"/>
      <c r="B8" s="3767"/>
      <c r="C8" s="351"/>
      <c r="D8" s="352"/>
      <c r="E8" s="347" t="s">
        <v>1395</v>
      </c>
      <c r="F8" s="348" t="e">
        <f ca="1">INDIRECT("'数据-取费表'!ai"&amp;$G$1)</f>
        <v>#N/A</v>
      </c>
      <c r="G8" s="1831"/>
      <c r="H8" s="349"/>
      <c r="I8" s="3767"/>
      <c r="J8" s="351"/>
      <c r="K8" s="352"/>
      <c r="L8" s="347" t="s">
        <v>1395</v>
      </c>
      <c r="M8" s="348" t="e">
        <f ca="1">INDIRECT("'数据-取费表'!ai"&amp;$G$1)</f>
        <v>#N/A</v>
      </c>
    </row>
    <row r="9" spans="1:37" ht="18" customHeight="1">
      <c r="A9" s="349"/>
      <c r="B9" s="3768"/>
      <c r="C9" s="351"/>
      <c r="D9" s="352"/>
      <c r="E9" s="347" t="s">
        <v>1396</v>
      </c>
      <c r="F9" s="357" t="e">
        <f ca="1">INDIRECT("'数据-取费表'!w"&amp;$G$1)</f>
        <v>#N/A</v>
      </c>
      <c r="G9" s="1831"/>
      <c r="H9" s="349"/>
      <c r="I9" s="3768"/>
      <c r="J9" s="351"/>
      <c r="K9" s="352"/>
      <c r="L9" s="358" t="s">
        <v>1396</v>
      </c>
      <c r="M9" s="359" t="e">
        <f ca="1">INDIRECT("'数据-取费表'!ab"&amp;$G$1)</f>
        <v>#N/A</v>
      </c>
    </row>
    <row r="10" spans="1:37" ht="18" customHeight="1">
      <c r="A10" s="1273" t="s">
        <v>1036</v>
      </c>
      <c r="B10" s="1803" t="s">
        <v>1397</v>
      </c>
      <c r="C10" s="361">
        <f ca="1">ROUND(IF(F10="押一",C6/12*F11,IF(F10="押二",C6/12*2*F11,IF(F10="押三",C6/12*3*F11,C11*F11))),0)</f>
        <v>0</v>
      </c>
      <c r="D10" s="1804" t="s">
        <v>3012</v>
      </c>
      <c r="E10" s="358" t="s">
        <v>1398</v>
      </c>
      <c r="F10" s="1348" t="s">
        <v>3665</v>
      </c>
      <c r="G10" s="1831"/>
      <c r="H10" s="1273" t="s">
        <v>1036</v>
      </c>
      <c r="I10" s="1803" t="s">
        <v>1397</v>
      </c>
      <c r="J10" s="346" t="e">
        <f ca="1">ROUND(IF(M10="押一",J6/12*M11,IF(M10="押二",J6/12*2*M11,IF(M10="押三",J6/12*3*M11,J11*M11))),0)</f>
        <v>#N/A</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t="e">
        <f ca="1">ROUND(C29*F13,0)</f>
        <v>#N/A</v>
      </c>
      <c r="D13" s="1313" t="s">
        <v>1403</v>
      </c>
      <c r="E13" s="1313" t="s">
        <v>1404</v>
      </c>
      <c r="F13" s="1314" t="e">
        <f ca="1">INDIRECT("'数据-取费表'!y"&amp;$G$1)</f>
        <v>#N/A</v>
      </c>
      <c r="G13" s="1831"/>
      <c r="H13" s="1311">
        <v>2</v>
      </c>
      <c r="I13" s="1312" t="s">
        <v>1402</v>
      </c>
      <c r="J13" s="1272" t="e">
        <f ca="1">ROUND(J14*J15,0)</f>
        <v>#N/A</v>
      </c>
      <c r="K13" s="1319" t="s">
        <v>1403</v>
      </c>
      <c r="L13" s="1832"/>
      <c r="M13" s="1833"/>
    </row>
    <row r="14" spans="1:37" ht="18" customHeight="1">
      <c r="A14" s="1183" t="s">
        <v>1031</v>
      </c>
      <c r="B14" s="347" t="s">
        <v>1405</v>
      </c>
      <c r="C14" s="363" t="e">
        <f ca="1">INDIRECT("'数据-取费表'!m"&amp;$G$1)+INDIRECT("'数据-取费表'!t"&amp;$G$1)</f>
        <v>#N/A</v>
      </c>
      <c r="D14" s="2930" t="s">
        <v>1406</v>
      </c>
      <c r="E14" s="2925"/>
      <c r="F14" s="364"/>
      <c r="G14" s="1831"/>
      <c r="H14" s="1183" t="s">
        <v>1032</v>
      </c>
      <c r="I14" s="347" t="s">
        <v>1407</v>
      </c>
      <c r="J14" s="24" t="e">
        <f ca="1">C29</f>
        <v>#N/A</v>
      </c>
      <c r="K14" s="2941"/>
      <c r="L14" s="969"/>
      <c r="M14" s="970"/>
    </row>
    <row r="15" spans="1:37" s="1838" customFormat="1" ht="18" customHeight="1" thickBot="1">
      <c r="A15" s="1183" t="s">
        <v>1033</v>
      </c>
      <c r="B15" s="347" t="s">
        <v>1408</v>
      </c>
      <c r="C15" s="24" t="e">
        <f ca="1">ROUND(C14*F15,0)</f>
        <v>#N/A</v>
      </c>
      <c r="D15" s="365" t="s">
        <v>1409</v>
      </c>
      <c r="E15" s="365" t="s">
        <v>1410</v>
      </c>
      <c r="F15" s="366">
        <f>'数据-取费表'!B33</f>
        <v>0.03</v>
      </c>
      <c r="G15" s="1834"/>
      <c r="H15" s="1321" t="s">
        <v>1036</v>
      </c>
      <c r="I15" s="1322" t="s">
        <v>1404</v>
      </c>
      <c r="J15" s="1331" t="e">
        <f ca="1">INDIRECT("'数据-取费表'!ad"&amp;$G$1)</f>
        <v>#N/A</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t="e">
        <f ca="1">ROUND(INDIRECT("'数据-取费表'!m"&amp;$G$1)*F16,0)</f>
        <v>#N/A</v>
      </c>
      <c r="D16" s="347" t="s">
        <v>1409</v>
      </c>
      <c r="E16" s="347" t="s">
        <v>1410</v>
      </c>
      <c r="F16" s="367" t="e">
        <f ca="1">IF(INDIRECT("'数据-取费表'!c"&amp;$G$1)="住宅",'数据-取费表'!B34,0)</f>
        <v>#N/A</v>
      </c>
      <c r="G16" s="1831"/>
      <c r="H16" s="1311" t="s">
        <v>1027</v>
      </c>
      <c r="I16" s="1312" t="s">
        <v>1412</v>
      </c>
      <c r="J16" s="355" t="e">
        <f ca="1">ROUND(J17+J22+J23+J24,0)</f>
        <v>#N/A</v>
      </c>
      <c r="K16" s="1319" t="s">
        <v>1413</v>
      </c>
      <c r="L16" s="2932"/>
      <c r="M16" s="1276"/>
    </row>
    <row r="17" spans="1:37" s="1838" customFormat="1" ht="18" customHeight="1">
      <c r="A17" s="1183" t="s">
        <v>1378</v>
      </c>
      <c r="B17" s="347" t="s">
        <v>1414</v>
      </c>
      <c r="C17" s="24" t="e">
        <f ca="1">ROUND(F17*(F43+INDIRECT("'数据-取费表'!S"&amp;$G$1))/10000,0)</f>
        <v>#N/A</v>
      </c>
      <c r="D17" s="347" t="s">
        <v>1415</v>
      </c>
      <c r="E17" s="347" t="s">
        <v>1416</v>
      </c>
      <c r="F17" s="26">
        <f>'数据-取费表'!B35</f>
        <v>200</v>
      </c>
      <c r="G17" s="1834"/>
      <c r="H17" s="1183" t="s">
        <v>1032</v>
      </c>
      <c r="I17" s="347" t="s">
        <v>1417</v>
      </c>
      <c r="J17" s="24" t="e">
        <f ca="1">ROUND(IF(项目基本情况!B11="自然人",J6*M17/(1+'数据-取费表'!C42),J18+J19+J20),1)</f>
        <v>#N/A</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t="e">
        <f ca="1">ROUND(C14*F18,0)</f>
        <v>#N/A</v>
      </c>
      <c r="D18" s="347" t="s">
        <v>1409</v>
      </c>
      <c r="E18" s="347" t="s">
        <v>1410</v>
      </c>
      <c r="F18" s="367">
        <f>'数据-取费表'!B36</f>
        <v>1.4999999999999999E-2</v>
      </c>
      <c r="G18" s="1834"/>
      <c r="H18" s="1183" t="s">
        <v>1031</v>
      </c>
      <c r="I18" s="347" t="s">
        <v>1421</v>
      </c>
      <c r="J18" s="24" t="e">
        <f ca="1">ROUND(J6*M18/(1+'数据-取费表'!C42),2)</f>
        <v>#N/A</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t="e">
        <f ca="1">SUM(C14:C18)</f>
        <v>#N/A</v>
      </c>
      <c r="D19" s="140" t="s">
        <v>1424</v>
      </c>
      <c r="E19" s="2939"/>
      <c r="F19" s="26"/>
      <c r="G19" s="1831"/>
      <c r="H19" s="1183" t="s">
        <v>1033</v>
      </c>
      <c r="I19" s="347" t="s">
        <v>1425</v>
      </c>
      <c r="J19" s="24" t="e">
        <f ca="1">IF(K19="按租金收入计税",ROUND(J6*M19/(1+'数据-取费表'!C42),2),ROUND(C29*M19*0.7,2))</f>
        <v>#N/A</v>
      </c>
      <c r="K19" s="1808" t="s">
        <v>1426</v>
      </c>
      <c r="L19" s="347" t="s">
        <v>1410</v>
      </c>
      <c r="M19" s="367">
        <f>IF(K19="按租金收入计税",'数据-取费表'!B51,'数据-取费表'!B50)</f>
        <v>1.2E-2</v>
      </c>
    </row>
    <row r="20" spans="1:37" s="1838" customFormat="1" ht="18" customHeight="1">
      <c r="A20" s="1183" t="s">
        <v>1036</v>
      </c>
      <c r="B20" s="347" t="s">
        <v>1427</v>
      </c>
      <c r="C20" s="24" t="e">
        <f ca="1">ROUND(C19*F20,0)</f>
        <v>#N/A</v>
      </c>
      <c r="D20" s="369" t="s">
        <v>1428</v>
      </c>
      <c r="E20" s="347" t="s">
        <v>1410</v>
      </c>
      <c r="F20" s="367">
        <f>'数据-取费表'!B37</f>
        <v>0.02</v>
      </c>
      <c r="G20" s="1834"/>
      <c r="H20" s="1183" t="s">
        <v>1377</v>
      </c>
      <c r="I20" s="164" t="s">
        <v>1429</v>
      </c>
      <c r="J20" s="25" t="e">
        <f ca="1">ROUND(M20*M21/10000,2)</f>
        <v>#N/A</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t="e">
        <f ca="1">INDIRECT("'数据-取费表'!r"&amp;$G$1)</f>
        <v>#N/A</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t="e">
        <f ca="1">ROUND(J14*M22,1)</f>
        <v>#N/A</v>
      </c>
      <c r="K22" s="2928" t="s">
        <v>1438</v>
      </c>
      <c r="L22" s="347" t="s">
        <v>1410</v>
      </c>
      <c r="M22" s="374" t="e">
        <f ca="1">INDIRECT("'数据-取费表'!Ak"&amp;$G$1)</f>
        <v>#N/A</v>
      </c>
    </row>
    <row r="23" spans="1:37" s="1838" customFormat="1" ht="18" customHeight="1">
      <c r="A23" s="1183" t="s">
        <v>1031</v>
      </c>
      <c r="B23" s="347" t="s">
        <v>1439</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t="e">
        <f ca="1">ROUND(J13*M23,1)</f>
        <v>#N/A</v>
      </c>
      <c r="K23" s="2928" t="s">
        <v>1442</v>
      </c>
      <c r="L23" s="347" t="s">
        <v>1410</v>
      </c>
      <c r="M23" s="376" t="e">
        <f ca="1">INDIRECT("'数据-取费表'!Al"&amp;$G$1)</f>
        <v>#N/A</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t="e">
        <f ca="1">ROUND(J5*M24,1)</f>
        <v>#N/A</v>
      </c>
      <c r="K24" s="1324" t="s">
        <v>1447</v>
      </c>
      <c r="L24" s="1322" t="s">
        <v>1410</v>
      </c>
      <c r="M24" s="1318" t="e">
        <f ca="1">INDIRECT("'数据-取费表'!Am"&amp;$G$1)</f>
        <v>#N/A</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t="e">
        <f ca="1">J5-J16</f>
        <v>#N/A</v>
      </c>
      <c r="K25" s="1327" t="s">
        <v>1452</v>
      </c>
      <c r="L25" s="1328"/>
      <c r="M25" s="1329"/>
    </row>
    <row r="26" spans="1:37">
      <c r="A26" s="1183" t="s">
        <v>1031</v>
      </c>
      <c r="B26" s="347" t="s">
        <v>1453</v>
      </c>
      <c r="C26" s="24" t="e">
        <f ca="1">ROUND((C19+C20)*F26,0)</f>
        <v>#N/A</v>
      </c>
      <c r="D26" s="369" t="s">
        <v>1454</v>
      </c>
      <c r="E26" s="358" t="s">
        <v>1455</v>
      </c>
      <c r="F26" s="357" t="e">
        <f ca="1">INDIRECT("'数据-取费表'!q"&amp;$G$1)</f>
        <v>#N/A</v>
      </c>
      <c r="G26" s="1831"/>
      <c r="H26" s="344" t="s">
        <v>1029</v>
      </c>
      <c r="I26" s="345" t="s">
        <v>1456</v>
      </c>
      <c r="J26" s="346" t="e">
        <f ca="1">IF(J5&lt;&gt;0,ROUND(J25*(1-((1+M28)/(1+M26))^M27)/(M26-M28),0),0)</f>
        <v>#N/A</v>
      </c>
      <c r="K26" s="370" t="s">
        <v>1457</v>
      </c>
      <c r="L26" s="347" t="s">
        <v>1458</v>
      </c>
      <c r="M26" s="357" t="e">
        <f ca="1">INDIRECT("'数据-取费表'!I"&amp;$G$1)</f>
        <v>#N/A</v>
      </c>
    </row>
    <row r="27" spans="1:37" ht="18" customHeight="1">
      <c r="A27" s="1183" t="s">
        <v>1033</v>
      </c>
      <c r="B27" s="347" t="s">
        <v>1459</v>
      </c>
      <c r="C27" s="24" t="e">
        <f ca="1">ROUND(F21*F26,4)</f>
        <v>#N/A</v>
      </c>
      <c r="D27" s="369" t="s">
        <v>1460</v>
      </c>
      <c r="E27" s="365"/>
      <c r="F27" s="366"/>
      <c r="G27" s="1831"/>
      <c r="H27" s="349"/>
      <c r="I27" s="350"/>
      <c r="J27" s="351"/>
      <c r="K27" s="378" t="s">
        <v>1461</v>
      </c>
      <c r="L27" s="347" t="s">
        <v>1462</v>
      </c>
      <c r="M27" s="379" t="e">
        <f ca="1">INDIRECT("'数据-取费表'!ag"&amp;$G$1)</f>
        <v>#N/A</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t="e">
        <f ca="1">INDIRECT("'数据-取费表'!aa"&amp;$G$1)</f>
        <v>#N/A</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t="e">
        <f ca="1">ROUND((C19+C20+C23+C26)/(1-F21-C24-C27-C28),0)</f>
        <v>#N/A</v>
      </c>
      <c r="D29" s="1324"/>
      <c r="E29" s="1322"/>
      <c r="F29" s="1325"/>
      <c r="G29" s="1834"/>
      <c r="H29" s="380" t="s">
        <v>1030</v>
      </c>
      <c r="I29" s="381" t="s">
        <v>1467</v>
      </c>
      <c r="J29" s="382" t="e">
        <f ca="1">ROUND(J26/(1+F40)^F41,0)</f>
        <v>#N/A</v>
      </c>
      <c r="K29" s="383" t="s">
        <v>1468</v>
      </c>
      <c r="L29" s="384"/>
      <c r="M29" s="385" t="e">
        <f ca="1">INDIRECT("'数据-取费表'!k"&amp;$G$1)</f>
        <v>#N/A</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t="e">
        <f ca="1">ROUND(C31+C36+C37+C38,0)</f>
        <v>#N/A</v>
      </c>
      <c r="D30" s="1319" t="s">
        <v>1413</v>
      </c>
      <c r="E30" s="2932"/>
      <c r="F30" s="1276"/>
      <c r="G30" s="1831"/>
      <c r="H30" s="741"/>
      <c r="I30" s="742"/>
      <c r="J30" s="743"/>
      <c r="K30" s="744"/>
      <c r="L30" s="745"/>
      <c r="M30" s="746"/>
    </row>
    <row r="31" spans="1:37" ht="18" customHeight="1">
      <c r="A31" s="1183" t="s">
        <v>1032</v>
      </c>
      <c r="B31" s="347" t="s">
        <v>1417</v>
      </c>
      <c r="C31" s="24" t="e">
        <f ca="1">ROUND(IF(项目基本情况!B11="自然人",C6*F31/(1+'数据-取费表'!C42),C32+C33+C34),1)</f>
        <v>#N/A</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t="e">
        <f ca="1">IF(项目基本情况!B11="自然人","——",ROUND(C6*F32/(1+'数据-取费表'!C42),2))</f>
        <v>#N/A</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t="e">
        <f ca="1">IF(项目基本情况!B11="自然人","——",IF(D33="按租金收入计税",ROUND(C6*F33/(1+'数据-取费表'!C42),2),IF(D33="按房产原值计税",ROUND(C29*F33*0.7,2),INDIRECT("'数据-取费表'!Aj"&amp;$G$1))))</f>
        <v>#N/A</v>
      </c>
      <c r="D33" s="1808" t="s">
        <v>3676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t="e">
        <f ca="1">IF(项目基本情况!B11="自然人","——",ROUND(F34*F35/10000,2))</f>
        <v>#N/A</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t="e">
        <f ca="1">INDIRECT("'数据-取费表'!r"&amp;$G$1)</f>
        <v>#N/A</v>
      </c>
      <c r="G35" s="1831"/>
      <c r="H35" s="741"/>
      <c r="I35" s="1840"/>
      <c r="J35" s="1841"/>
      <c r="K35" s="1842"/>
      <c r="L35" s="1839"/>
      <c r="M35" s="1839"/>
    </row>
    <row r="36" spans="1:18" ht="18" customHeight="1">
      <c r="A36" s="1334" t="s">
        <v>1036</v>
      </c>
      <c r="B36" s="347" t="s">
        <v>1437</v>
      </c>
      <c r="C36" s="24" t="e">
        <f ca="1">ROUND(C29*F36,1)</f>
        <v>#N/A</v>
      </c>
      <c r="D36" s="2928" t="s">
        <v>1470</v>
      </c>
      <c r="E36" s="347" t="s">
        <v>1410</v>
      </c>
      <c r="F36" s="374" t="e">
        <f ca="1">INDIRECT("'数据-取费表'!Ak"&amp;$G$1)</f>
        <v>#N/A</v>
      </c>
      <c r="G36" s="1831"/>
      <c r="H36" s="1839"/>
      <c r="I36" s="1840"/>
      <c r="J36" s="1841"/>
      <c r="K36" s="747"/>
      <c r="L36" s="1839"/>
      <c r="M36" s="1839"/>
    </row>
    <row r="37" spans="1:18" ht="18" customHeight="1">
      <c r="A37" s="1183" t="s">
        <v>1072</v>
      </c>
      <c r="B37" s="347" t="s">
        <v>1441</v>
      </c>
      <c r="C37" s="24" t="e">
        <f ca="1">ROUND(C13*F37,1)</f>
        <v>#N/A</v>
      </c>
      <c r="D37" s="2928" t="s">
        <v>1442</v>
      </c>
      <c r="E37" s="347" t="s">
        <v>1410</v>
      </c>
      <c r="F37" s="376" t="e">
        <f ca="1">INDIRECT("'数据-取费表'!Al"&amp;$G$1)</f>
        <v>#N/A</v>
      </c>
      <c r="G37" s="1831"/>
      <c r="H37" s="1839"/>
      <c r="I37" s="1840"/>
      <c r="J37" s="1841"/>
      <c r="K37" s="747"/>
      <c r="L37" s="1839"/>
      <c r="M37" s="1839"/>
    </row>
    <row r="38" spans="1:18" ht="18" customHeight="1" thickBot="1">
      <c r="A38" s="1321" t="s">
        <v>1381</v>
      </c>
      <c r="B38" s="1322" t="s">
        <v>1427</v>
      </c>
      <c r="C38" s="1323" t="e">
        <f ca="1">ROUND(C5*F38,1)</f>
        <v>#N/A</v>
      </c>
      <c r="D38" s="1324" t="s">
        <v>1447</v>
      </c>
      <c r="E38" s="1322" t="s">
        <v>1410</v>
      </c>
      <c r="F38" s="1318" t="e">
        <f ca="1">INDIRECT("'数据-取费表'!Am"&amp;$G$1)</f>
        <v>#N/A</v>
      </c>
      <c r="G38" s="1831"/>
      <c r="H38" s="1839"/>
      <c r="I38" s="1840"/>
      <c r="J38" s="1841"/>
      <c r="K38" s="1845"/>
      <c r="L38" s="1839"/>
      <c r="M38" s="1839"/>
    </row>
    <row r="39" spans="1:18" ht="24.6" customHeight="1" thickTop="1">
      <c r="A39" s="1311" t="s">
        <v>1028</v>
      </c>
      <c r="B39" s="1326" t="s">
        <v>1451</v>
      </c>
      <c r="C39" s="355" t="e">
        <f ca="1">C5-C30</f>
        <v>#N/A</v>
      </c>
      <c r="D39" s="1327" t="s">
        <v>1452</v>
      </c>
      <c r="E39" s="1328"/>
      <c r="F39" s="1329"/>
      <c r="G39" s="1831"/>
      <c r="H39" s="1839"/>
      <c r="I39" s="1840"/>
      <c r="J39" s="1841"/>
      <c r="K39" s="1845"/>
      <c r="L39" s="1839"/>
      <c r="M39" s="1839"/>
    </row>
    <row r="40" spans="1:18" ht="18" customHeight="1">
      <c r="A40" s="344" t="s">
        <v>1029</v>
      </c>
      <c r="B40" s="345" t="s">
        <v>1473</v>
      </c>
      <c r="C40" s="346" t="e">
        <f ca="1">ROUND(C39*(1-((1+F42)/(1+F40))^F41)/(F40-F42),0)</f>
        <v>#N/A</v>
      </c>
      <c r="D40" s="370" t="s">
        <v>1457</v>
      </c>
      <c r="E40" s="347" t="s">
        <v>1458</v>
      </c>
      <c r="F40" s="357" t="e">
        <f ca="1">INDIRECT("'数据-取费表'!I"&amp;$G$1)</f>
        <v>#N/A</v>
      </c>
      <c r="G40" s="1831"/>
      <c r="H40" s="1819"/>
      <c r="I40" s="1840"/>
      <c r="J40" s="1841"/>
      <c r="K40" s="1845"/>
      <c r="L40" s="1819"/>
      <c r="M40" s="1819"/>
    </row>
    <row r="41" spans="1:18" ht="18" customHeight="1">
      <c r="A41" s="349"/>
      <c r="B41" s="350"/>
      <c r="C41" s="351"/>
      <c r="D41" s="378" t="s">
        <v>1474</v>
      </c>
      <c r="E41" s="347" t="s">
        <v>1462</v>
      </c>
      <c r="F41" s="379" t="e">
        <f ca="1">IF(INDIRECT("'数据-取费表'!af"&amp;$G$1)=0,INDIRECT("'数据-取费表'!ae"&amp;$G$1),INDIRECT("'数据-取费表'!af"&amp;$G$1))</f>
        <v>#N/A</v>
      </c>
      <c r="G41" s="1831"/>
      <c r="H41" s="728"/>
      <c r="I41" s="1840"/>
      <c r="J41" s="1841"/>
      <c r="K41" s="747"/>
      <c r="L41" s="728"/>
      <c r="M41" s="728"/>
    </row>
    <row r="42" spans="1:18" ht="18" customHeight="1">
      <c r="A42" s="353"/>
      <c r="B42" s="354"/>
      <c r="C42" s="355"/>
      <c r="D42" s="373"/>
      <c r="E42" s="347" t="s">
        <v>1465</v>
      </c>
      <c r="F42" s="357" t="e">
        <f ca="1">INDIRECT("'数据-取费表'!v"&amp;$G$1)</f>
        <v>#N/A</v>
      </c>
      <c r="G42" s="1831"/>
      <c r="H42" s="728"/>
      <c r="I42" s="1840"/>
      <c r="J42" s="1841"/>
      <c r="K42" s="747"/>
      <c r="L42" s="728"/>
      <c r="M42" s="728"/>
    </row>
    <row r="43" spans="1:18" ht="18" customHeight="1" thickBot="1">
      <c r="A43" s="380" t="s">
        <v>1030</v>
      </c>
      <c r="B43" s="381" t="s">
        <v>1475</v>
      </c>
      <c r="C43" s="382" t="e">
        <f ca="1">ROUND(C40*10000/F43,0)</f>
        <v>#N/A</v>
      </c>
      <c r="D43" s="383" t="s">
        <v>1476</v>
      </c>
      <c r="E43" s="384" t="s">
        <v>1477</v>
      </c>
      <c r="F43" s="385" t="e">
        <f ca="1">INDIRECT("'数据-取费表'!k"&amp;$G$1)</f>
        <v>#N/A</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t="e">
        <f ca="1">C68-C40</f>
        <v>#N/A</v>
      </c>
      <c r="D46" s="1852" t="str">
        <f>C2</f>
        <v>万元</v>
      </c>
      <c r="E46" s="1846"/>
      <c r="F46" s="1846"/>
      <c r="I46" s="1853" t="s">
        <v>1509</v>
      </c>
      <c r="J46" s="1854"/>
      <c r="K46" s="1855"/>
      <c r="L46" s="1856" t="e">
        <f ca="1">IF(M47="住宅",0,IF(L48&gt;J51,L60,J60))</f>
        <v>#N/A</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t="e">
        <f ca="1">INDIRECT("'数据-取费表'!d"&amp;$G$1)</f>
        <v>#N/A</v>
      </c>
      <c r="M47" s="1818" t="str">
        <f>IF(ISNUMBER(FIND("住宅",C1)),"住宅","非住宅")</f>
        <v>非住宅</v>
      </c>
      <c r="O47" s="1864" t="s">
        <v>1037</v>
      </c>
      <c r="P47" s="1865" t="s">
        <v>1516</v>
      </c>
      <c r="Q47" s="1866" t="e">
        <f ca="1">C40+J29</f>
        <v>#N/A</v>
      </c>
      <c r="R47" s="1866" t="s">
        <v>1517</v>
      </c>
    </row>
    <row r="48" spans="1:18" s="1822" customFormat="1" ht="28.5" thickBot="1">
      <c r="A48" s="1342" t="s">
        <v>1125</v>
      </c>
      <c r="B48" s="345" t="s">
        <v>1389</v>
      </c>
      <c r="C48" s="2938" t="e">
        <f ca="1">C49+C53+C55</f>
        <v>#N/A</v>
      </c>
      <c r="D48" s="1344"/>
      <c r="E48" s="1345"/>
      <c r="F48" s="1163"/>
      <c r="G48" s="787"/>
      <c r="H48" s="788"/>
      <c r="I48" s="1867" t="s">
        <v>1518</v>
      </c>
      <c r="J48" s="1868" t="s">
        <v>3045</v>
      </c>
      <c r="K48" s="1869" t="s">
        <v>1519</v>
      </c>
      <c r="L48" s="1870" t="e">
        <f ca="1">INDIRECT("'数据-取费表'!f"&amp;$G$1)</f>
        <v>#N/A</v>
      </c>
      <c r="O48" s="1864" t="s">
        <v>1038</v>
      </c>
      <c r="P48" s="1865" t="s">
        <v>1520</v>
      </c>
      <c r="Q48" s="1866" t="e">
        <f ca="1">J60</f>
        <v>#N/A</v>
      </c>
      <c r="R48" s="1866" t="s">
        <v>1521</v>
      </c>
    </row>
    <row r="49" spans="1:18" s="1822" customFormat="1" ht="13.5" thickBot="1">
      <c r="A49" s="1176" t="s">
        <v>1126</v>
      </c>
      <c r="B49" s="1809" t="s">
        <v>1478</v>
      </c>
      <c r="C49" s="1346" t="e">
        <f ca="1">ROUND(F49*F51*F50*(1-F52)/10000,0)</f>
        <v>#N/A</v>
      </c>
      <c r="D49" s="1258" t="s">
        <v>3003</v>
      </c>
      <c r="E49" s="1810" t="s">
        <v>1479</v>
      </c>
      <c r="F49" s="1263"/>
      <c r="G49" s="1871"/>
      <c r="H49" s="788"/>
      <c r="I49" s="1867" t="s">
        <v>1522</v>
      </c>
      <c r="J49" s="1872">
        <v>1997</v>
      </c>
      <c r="K49" s="1869" t="s">
        <v>1523</v>
      </c>
      <c r="L49" s="1873"/>
      <c r="O49" s="1874" t="s">
        <v>1039</v>
      </c>
      <c r="P49" s="1865" t="s">
        <v>1524</v>
      </c>
      <c r="Q49" s="1866" t="e">
        <f ca="1">C29</f>
        <v>#N/A</v>
      </c>
      <c r="R49" s="1866" t="s">
        <v>1517</v>
      </c>
    </row>
    <row r="50" spans="1:18" s="1822" customFormat="1" ht="13.5" thickBot="1">
      <c r="A50" s="1177"/>
      <c r="B50" s="1180"/>
      <c r="C50" s="1350"/>
      <c r="D50" s="1154"/>
      <c r="E50" s="1259" t="s">
        <v>1394</v>
      </c>
      <c r="F50" s="1260" t="e">
        <f ca="1">F7</f>
        <v>#N/A</v>
      </c>
      <c r="H50" s="788"/>
      <c r="I50" s="1867" t="s">
        <v>1525</v>
      </c>
      <c r="J50" s="1875">
        <f>SUMPRODUCT((I63:I65=J47)*(J62:L62=J48)*(J63:L65))</f>
        <v>60</v>
      </c>
      <c r="K50" s="1869" t="s">
        <v>1526</v>
      </c>
      <c r="L50" s="1873"/>
      <c r="M50" s="1876"/>
      <c r="O50" s="1874" t="s">
        <v>1040</v>
      </c>
      <c r="P50" s="1865" t="s">
        <v>1527</v>
      </c>
      <c r="Q50" s="1877" t="e">
        <f ca="1">J58</f>
        <v>#N/A</v>
      </c>
      <c r="R50" s="1866"/>
    </row>
    <row r="51" spans="1:18" s="1822" customFormat="1" ht="13.5" thickBot="1">
      <c r="A51" s="1178"/>
      <c r="B51" s="1180"/>
      <c r="C51" s="1181"/>
      <c r="D51" s="1154"/>
      <c r="E51" s="1182" t="s">
        <v>1395</v>
      </c>
      <c r="F51" s="348" t="e">
        <f ca="1">F8</f>
        <v>#N/A</v>
      </c>
      <c r="I51" s="1878" t="s">
        <v>1528</v>
      </c>
      <c r="J51" s="1879">
        <f>IF(J49="",J50,J49+J50-YEAR('数据-取费表'!B2))</f>
        <v>37</v>
      </c>
      <c r="K51" s="1880" t="s">
        <v>1529</v>
      </c>
      <c r="L51" s="1881" t="e">
        <f ca="1">ROUND(-PV(INDIRECT("'数据-取费表'!h"&amp;$G$1),L48,(C39-C13*C76),0),0)</f>
        <v>#N/A</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t="e">
        <f ca="1">J53</f>
        <v>#N/A</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t="e">
        <f ca="1">IF(M47="住宅",IF(D1="——",MAX(J51,L48),MAX(J51,L48-'数据-取费表'!B24)),IF(D1="——",MIN(J51,L48),MIN(J51,L48-'数据-取费表'!B24)))</f>
        <v>#N/A</v>
      </c>
      <c r="K53" s="3769" t="s">
        <v>1536</v>
      </c>
      <c r="L53" s="3770"/>
      <c r="O53" s="1864" t="s">
        <v>1043</v>
      </c>
      <c r="P53" s="1865" t="s">
        <v>1537</v>
      </c>
      <c r="Q53" s="1866" t="e">
        <f ca="1">Q47+Q48</f>
        <v>#N/A</v>
      </c>
      <c r="R53" s="1866" t="s">
        <v>1044</v>
      </c>
    </row>
    <row r="54" spans="1:18" s="1822" customFormat="1" ht="13.5" thickBot="1">
      <c r="A54" s="1387"/>
      <c r="B54" s="1805" t="s">
        <v>1376</v>
      </c>
      <c r="C54" s="1160"/>
      <c r="D54" s="1804"/>
      <c r="E54" s="2934"/>
      <c r="F54" s="1886"/>
      <c r="I54" s="18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#N/A</v>
      </c>
      <c r="K55" s="1891" t="s">
        <v>1540</v>
      </c>
      <c r="L55" s="1892" t="s">
        <v>1541</v>
      </c>
      <c r="O55" s="1857" t="s">
        <v>1510</v>
      </c>
      <c r="P55" s="1858" t="s">
        <v>1511</v>
      </c>
      <c r="Q55" s="1859" t="s">
        <v>1512</v>
      </c>
      <c r="R55" s="1859" t="s">
        <v>1513</v>
      </c>
    </row>
    <row r="56" spans="1:18" s="1822" customFormat="1" ht="25.5" thickTop="1" thickBot="1">
      <c r="A56" s="1158">
        <v>2</v>
      </c>
      <c r="B56" s="1159" t="s">
        <v>1402</v>
      </c>
      <c r="C56" s="276" t="e">
        <f ca="1">C13</f>
        <v>#N/A</v>
      </c>
      <c r="D56" s="1893"/>
      <c r="E56" s="1894"/>
      <c r="F56" s="1886"/>
      <c r="I56" s="1895" t="s">
        <v>1542</v>
      </c>
      <c r="J56" s="1896" t="s">
        <v>3042</v>
      </c>
      <c r="K56" s="1867" t="s">
        <v>1543</v>
      </c>
      <c r="L56" s="1870" t="e">
        <f ca="1">IF(L48&lt;J51,"——",L48-J53)</f>
        <v>#N/A</v>
      </c>
      <c r="O56" s="1864" t="s">
        <v>1037</v>
      </c>
      <c r="P56" s="1865" t="s">
        <v>1516</v>
      </c>
      <c r="Q56" s="1866" t="e">
        <f ca="1">C40+J29</f>
        <v>#N/A</v>
      </c>
      <c r="R56" s="1866" t="s">
        <v>1517</v>
      </c>
    </row>
    <row r="57" spans="1:18" s="1822" customFormat="1" ht="24.75" thickBot="1">
      <c r="A57" s="1897"/>
      <c r="B57" s="1151" t="s">
        <v>1466</v>
      </c>
      <c r="C57" s="282" t="e">
        <f ca="1">C29</f>
        <v>#N/A</v>
      </c>
      <c r="D57" s="1898"/>
      <c r="E57" s="1899"/>
      <c r="F57" s="1900"/>
      <c r="I57" s="1901" t="s">
        <v>1544</v>
      </c>
      <c r="J57" s="1902" t="e">
        <f ca="1">IF(OR(M47="住宅",J51&lt;L48,J56="是"),"——",J51-L48)</f>
        <v>#N/A</v>
      </c>
      <c r="K57" s="1867" t="s">
        <v>1545</v>
      </c>
      <c r="L57" s="1870" t="e">
        <f ca="1">IF(L48&lt;J51,"——",IF(L55="比较法",L49,IF(L55="基准地价",L50,L51)))</f>
        <v>#N/A</v>
      </c>
      <c r="O57" s="1864" t="s">
        <v>1038</v>
      </c>
      <c r="P57" s="1865" t="s">
        <v>1546</v>
      </c>
      <c r="Q57" s="1866" t="e">
        <f ca="1">L60</f>
        <v>#N/A</v>
      </c>
      <c r="R57" s="1866" t="s">
        <v>1547</v>
      </c>
    </row>
    <row r="58" spans="1:18" s="1822" customFormat="1" ht="24.75" thickBot="1">
      <c r="A58" s="360" t="s">
        <v>1027</v>
      </c>
      <c r="B58" s="1159" t="s">
        <v>1412</v>
      </c>
      <c r="C58" s="361" t="e">
        <f ca="1">ROUND(C59+C64+C65+C66,0)</f>
        <v>#N/A</v>
      </c>
      <c r="D58" s="1161" t="s">
        <v>1413</v>
      </c>
      <c r="E58" s="1162"/>
      <c r="F58" s="1163"/>
      <c r="I58" s="1901" t="s">
        <v>1548</v>
      </c>
      <c r="J58" s="1903" t="e">
        <f ca="1">IF(J55&lt;0.4,0.4,J55)</f>
        <v>#N/A</v>
      </c>
      <c r="K58" s="1880" t="s">
        <v>1549</v>
      </c>
      <c r="L58" s="1870" t="e">
        <f ca="1">ROUND(POWER(1+L52,L47-L48)*(POWER(1+L52,L48)-1)/(POWER(1+L52,L47)-1),4)</f>
        <v>#N/A</v>
      </c>
      <c r="O58" s="1874" t="s">
        <v>1039</v>
      </c>
      <c r="P58" s="1865" t="s">
        <v>1550</v>
      </c>
      <c r="Q58" s="1866">
        <f>IF(L55="比较法",L49,IF(L55="基准地价",L50,0))</f>
        <v>0</v>
      </c>
      <c r="R58" s="1866" t="s">
        <v>1517</v>
      </c>
    </row>
    <row r="59" spans="1:18" s="1822" customFormat="1" ht="24.75" thickBot="1">
      <c r="A59" s="1183" t="s">
        <v>1032</v>
      </c>
      <c r="B59" s="1151" t="s">
        <v>1417</v>
      </c>
      <c r="C59" s="24" t="e">
        <f ca="1">ROUND(IF(项目基本情况!B11="自然人",C48*F59,C60+C61+C62),1)</f>
        <v>#N/A</v>
      </c>
      <c r="D59" s="1164" t="s">
        <v>1418</v>
      </c>
      <c r="E59" s="1165" t="s">
        <v>1419</v>
      </c>
      <c r="F59" s="368" t="str">
        <f ca="1">IF(项目基本情况!B11="企业","",IF(INDIRECT("'数据-取费表'!c"&amp;$G$1)="住宅",5%,IF(F49*F50*F51/12/(1+'数据-取费表'!C42)&gt;20000,12%,7%)))</f>
        <v/>
      </c>
      <c r="I59" s="1901" t="s">
        <v>1551</v>
      </c>
      <c r="J59" s="1902" t="e">
        <f ca="1">IF(OR(M47="住宅",J51&lt;L48,J56="是"),"——",ROUND(C29*J58,0))</f>
        <v>#N/A</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#N/A</v>
      </c>
      <c r="M59" s="1818" t="e">
        <f ca="1">ROUND(POWER(1+L52,L47-(J51+'数据-取费表'!B24))*(POWER(1+L52,(J51+'数据-取费表'!B24))-1)/(POWER(1+L52,L47)-1),4)</f>
        <v>#N/A</v>
      </c>
      <c r="N59" s="1818" t="e">
        <f ca="1">ROUND(POWER(1+L52,L47-(J51+'数据-取费表'!B20))*(POWER(1+L52,(J51+'数据-取费表'!B20))-1)/(POWER(1+L52,L47)-1),4)</f>
        <v>#N/A</v>
      </c>
      <c r="O59" s="1874" t="s">
        <v>1040</v>
      </c>
      <c r="P59" s="1865" t="s">
        <v>1552</v>
      </c>
      <c r="Q59" s="1877">
        <f>L52</f>
        <v>0</v>
      </c>
      <c r="R59" s="1866"/>
    </row>
    <row r="60" spans="1:18" s="1822" customFormat="1" ht="16.5" thickBot="1">
      <c r="A60" s="1183" t="s">
        <v>1031</v>
      </c>
      <c r="B60" s="1151" t="s">
        <v>1421</v>
      </c>
      <c r="C60" s="24" t="e">
        <f ca="1">IF(项目基本情况!B11="自然人","——",ROUND(C48*F60/(1+'数据-取费表'!C42),2))</f>
        <v>#N/A</v>
      </c>
      <c r="D60" s="1165" t="s">
        <v>1422</v>
      </c>
      <c r="E60" s="1151" t="s">
        <v>1410</v>
      </c>
      <c r="F60" s="377">
        <f t="shared" ref="F60:F66" si="0">F32</f>
        <v>5.6000000000000001E-2</v>
      </c>
      <c r="I60" s="1904" t="s">
        <v>1553</v>
      </c>
      <c r="J60" s="1905" t="e">
        <f ca="1">IF(OR(M47="住宅",J51&lt;L48,J56="是"),"0",ROUND(J59/(1+J52)^J53,0))</f>
        <v>#N/A</v>
      </c>
      <c r="K60" s="1906" t="s">
        <v>1554</v>
      </c>
      <c r="L60" s="1905" t="e">
        <f ca="1">IF(OR(M47="住宅",L48&lt;J51),0,ROUND(L57*(L58/L59-1),0))</f>
        <v>#N/A</v>
      </c>
      <c r="O60" s="1874" t="s">
        <v>1041</v>
      </c>
      <c r="P60" s="1865" t="s">
        <v>1555</v>
      </c>
      <c r="Q60" s="1866" t="e">
        <f ca="1">L58</f>
        <v>#N/A</v>
      </c>
      <c r="R60" s="1866" t="s">
        <v>1556</v>
      </c>
    </row>
    <row r="61" spans="1:18" s="1822" customFormat="1" ht="13.5" thickBot="1">
      <c r="A61" s="1183" t="s">
        <v>1480</v>
      </c>
      <c r="B61" s="1151" t="s">
        <v>1425</v>
      </c>
      <c r="C61" s="24" t="e">
        <f ca="1">IF(项目基本情况!B11="自然人","——",IF(D61="按租金收入计税",ROUND(C48*F61,2),IF(D61="按房产原值计税",ROUND(C57*F61*0.7,2),INDIRECT("'数据-取费表'!Aj"&amp;$G$1))))</f>
        <v>#N/A</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#N/A</v>
      </c>
      <c r="R61" s="1866" t="s">
        <v>1557</v>
      </c>
    </row>
    <row r="62" spans="1:18" s="1822" customFormat="1" ht="13.5" thickBot="1">
      <c r="A62" s="1183" t="s">
        <v>1483</v>
      </c>
      <c r="B62" s="1150" t="s">
        <v>1429</v>
      </c>
      <c r="C62" s="25" t="e">
        <f ca="1">IF(项目基本情况!B11="自然人","——",ROUND(F62*F63/10000,2))</f>
        <v>#N/A</v>
      </c>
      <c r="D62" s="1166" t="s">
        <v>1430</v>
      </c>
      <c r="E62" s="1151" t="s">
        <v>1431</v>
      </c>
      <c r="F62" s="371">
        <f t="shared" si="0"/>
        <v>3</v>
      </c>
      <c r="I62" s="1908" t="s">
        <v>1558</v>
      </c>
      <c r="J62" s="1909" t="s">
        <v>1559</v>
      </c>
      <c r="K62" s="1909" t="s">
        <v>1560</v>
      </c>
      <c r="L62" s="1909" t="s">
        <v>1561</v>
      </c>
      <c r="M62" s="1910" t="s">
        <v>1562</v>
      </c>
      <c r="O62" s="1864" t="s">
        <v>1043</v>
      </c>
      <c r="P62" s="1865" t="s">
        <v>1537</v>
      </c>
      <c r="Q62" s="1866" t="e">
        <f ca="1">Q56+Q57</f>
        <v>#N/A</v>
      </c>
      <c r="R62" s="1866" t="s">
        <v>1044</v>
      </c>
    </row>
    <row r="63" spans="1:18" s="1822" customFormat="1" ht="13.5" thickBot="1">
      <c r="A63" s="372"/>
      <c r="B63" s="1157"/>
      <c r="C63" s="29"/>
      <c r="D63" s="1167"/>
      <c r="E63" s="1151" t="s">
        <v>1435</v>
      </c>
      <c r="F63" s="348" t="e">
        <f t="shared" ca="1" si="0"/>
        <v>#N/A</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t="e">
        <f ca="1">ROUND(C57*F64,1)</f>
        <v>#N/A</v>
      </c>
      <c r="D64" s="1165" t="s">
        <v>1470</v>
      </c>
      <c r="E64" s="1151" t="s">
        <v>1410</v>
      </c>
      <c r="F64" s="374" t="e">
        <f t="shared" ca="1" si="0"/>
        <v>#N/A</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t="e">
        <f ca="1">ROUND(C56*F65,1)</f>
        <v>#N/A</v>
      </c>
      <c r="D65" s="1165" t="s">
        <v>1442</v>
      </c>
      <c r="E65" s="1151" t="s">
        <v>1410</v>
      </c>
      <c r="F65" s="376" t="e">
        <f t="shared" ca="1" si="0"/>
        <v>#N/A</v>
      </c>
      <c r="I65" s="1908" t="s">
        <v>1567</v>
      </c>
      <c r="J65" s="1909">
        <v>40</v>
      </c>
      <c r="K65" s="1909">
        <v>30</v>
      </c>
      <c r="L65" s="1909">
        <v>50</v>
      </c>
      <c r="M65" s="1911">
        <v>0.02</v>
      </c>
      <c r="O65" s="1864" t="s">
        <v>1037</v>
      </c>
      <c r="P65" s="1865" t="s">
        <v>1516</v>
      </c>
      <c r="Q65" s="1866" t="e">
        <f ca="1">C40+J29</f>
        <v>#N/A</v>
      </c>
      <c r="R65" s="1866" t="s">
        <v>1517</v>
      </c>
    </row>
    <row r="66" spans="1:18" s="1822" customFormat="1" ht="16.5" thickBot="1">
      <c r="A66" s="1183" t="s">
        <v>1492</v>
      </c>
      <c r="B66" s="1151" t="s">
        <v>1427</v>
      </c>
      <c r="C66" s="24" t="e">
        <f ca="1">ROUND(C48*F66,1)</f>
        <v>#N/A</v>
      </c>
      <c r="D66" s="1165" t="s">
        <v>1447</v>
      </c>
      <c r="E66" s="1151" t="s">
        <v>1410</v>
      </c>
      <c r="F66" s="357" t="e">
        <f t="shared" ca="1" si="0"/>
        <v>#N/A</v>
      </c>
      <c r="O66" s="1864" t="s">
        <v>1038</v>
      </c>
      <c r="P66" s="1865" t="s">
        <v>1546</v>
      </c>
      <c r="Q66" s="1866" t="e">
        <f ca="1">L60</f>
        <v>#N/A</v>
      </c>
      <c r="R66" s="1866" t="s">
        <v>1569</v>
      </c>
    </row>
    <row r="67" spans="1:18" s="1822" customFormat="1" ht="16.5" thickBot="1">
      <c r="A67" s="1158" t="s">
        <v>1028</v>
      </c>
      <c r="B67" s="1168" t="s">
        <v>1451</v>
      </c>
      <c r="C67" s="361" t="e">
        <f ca="1">C48-C58</f>
        <v>#N/A</v>
      </c>
      <c r="D67" s="1164" t="s">
        <v>1452</v>
      </c>
      <c r="E67" s="1169"/>
      <c r="F67" s="1170"/>
      <c r="O67" s="1874" t="s">
        <v>1039</v>
      </c>
      <c r="P67" s="1865" t="s">
        <v>1550</v>
      </c>
      <c r="Q67" s="1912" t="e">
        <f ca="1">L51</f>
        <v>#N/A</v>
      </c>
      <c r="R67" s="1866" t="s">
        <v>1570</v>
      </c>
    </row>
    <row r="68" spans="1:18" s="1822" customFormat="1" ht="16.5" thickBot="1">
      <c r="A68" s="1148" t="s">
        <v>1029</v>
      </c>
      <c r="B68" s="1149" t="s">
        <v>1473</v>
      </c>
      <c r="C68" s="346" t="e">
        <f ca="1">ROUND(C67*(1-((1+F70)/(1+F68))^F69)/(F68-F70),0)</f>
        <v>#N/A</v>
      </c>
      <c r="D68" s="1166" t="s">
        <v>1457</v>
      </c>
      <c r="E68" s="1151" t="s">
        <v>1458</v>
      </c>
      <c r="F68" s="357" t="e">
        <f ca="1">F40</f>
        <v>#N/A</v>
      </c>
      <c r="O68" s="1874" t="s">
        <v>1040</v>
      </c>
      <c r="P68" s="1913" t="s">
        <v>1571</v>
      </c>
      <c r="Q68" s="1866" t="e">
        <f ca="1">ROUND(Q69-Q70*Q71,0)</f>
        <v>#N/A</v>
      </c>
      <c r="R68" s="1866" t="s">
        <v>1048</v>
      </c>
    </row>
    <row r="69" spans="1:18" s="1822" customFormat="1" ht="13.5" thickBot="1">
      <c r="A69" s="1152"/>
      <c r="B69" s="1153"/>
      <c r="C69" s="351"/>
      <c r="D69" s="1171" t="s">
        <v>1461</v>
      </c>
      <c r="E69" s="1151" t="s">
        <v>1462</v>
      </c>
      <c r="F69" s="379" t="e">
        <f ca="1">F41</f>
        <v>#N/A</v>
      </c>
      <c r="O69" s="1874" t="s">
        <v>1045</v>
      </c>
      <c r="P69" s="1913" t="s">
        <v>1572</v>
      </c>
      <c r="Q69" s="1866" t="e">
        <f ca="1">C39</f>
        <v>#N/A</v>
      </c>
      <c r="R69" s="1866" t="s">
        <v>1517</v>
      </c>
    </row>
    <row r="70" spans="1:18" s="1822" customFormat="1" ht="13.5" thickBot="1">
      <c r="A70" s="1155"/>
      <c r="B70" s="1156"/>
      <c r="C70" s="355"/>
      <c r="D70" s="1167"/>
      <c r="E70" s="1151" t="s">
        <v>1465</v>
      </c>
      <c r="F70" s="1257"/>
      <c r="O70" s="1874" t="s">
        <v>1046</v>
      </c>
      <c r="P70" s="1913" t="s">
        <v>1573</v>
      </c>
      <c r="Q70" s="1866" t="e">
        <f ca="1">C13</f>
        <v>#N/A</v>
      </c>
      <c r="R70" s="1866" t="s">
        <v>1517</v>
      </c>
    </row>
    <row r="71" spans="1:18" s="1822" customFormat="1" ht="13.5" thickBot="1">
      <c r="A71" s="1172" t="s">
        <v>1030</v>
      </c>
      <c r="B71" s="1173" t="s">
        <v>1475</v>
      </c>
      <c r="C71" s="382" t="e">
        <f ca="1">ROUND(C68*10000/F71,0)</f>
        <v>#N/A</v>
      </c>
      <c r="D71" s="1174" t="s">
        <v>1476</v>
      </c>
      <c r="E71" s="1175" t="s">
        <v>1477</v>
      </c>
      <c r="F71" s="385" t="e">
        <f ca="1">F43</f>
        <v>#N/A</v>
      </c>
      <c r="O71" s="1874" t="s">
        <v>1047</v>
      </c>
      <c r="P71" s="1913" t="s">
        <v>1574</v>
      </c>
      <c r="Q71" s="1877" t="e">
        <f ca="1">C76</f>
        <v>#N/A</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#N/A</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#N/A</v>
      </c>
      <c r="R74" s="1866" t="s">
        <v>1557</v>
      </c>
    </row>
    <row r="75" spans="1:18" ht="13.5" thickBot="1">
      <c r="A75" s="1822"/>
      <c r="B75" s="386" t="s">
        <v>1494</v>
      </c>
      <c r="C75" s="387" t="e">
        <f ca="1">ROUND(C13*C76,0)</f>
        <v>#N/A</v>
      </c>
      <c r="D75" s="1822"/>
      <c r="E75" s="1822"/>
      <c r="F75" s="1822"/>
      <c r="K75" s="1848"/>
      <c r="L75" s="1822"/>
      <c r="O75" s="1864" t="s">
        <v>1043</v>
      </c>
      <c r="P75" s="1865" t="s">
        <v>1537</v>
      </c>
      <c r="Q75" s="1866" t="e">
        <f ca="1">Q65+Q66</f>
        <v>#N/A</v>
      </c>
      <c r="R75" s="1866" t="s">
        <v>1044</v>
      </c>
    </row>
    <row r="76" spans="1:18">
      <c r="B76" s="388" t="s">
        <v>1495</v>
      </c>
      <c r="C76" s="389" t="e">
        <f ca="1">INDIRECT("'数据-取费表'!j"&amp;$G$1)</f>
        <v>#N/A</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#N/A</v>
      </c>
    </row>
    <row r="80" spans="1:18">
      <c r="B80" s="386" t="s">
        <v>1499</v>
      </c>
      <c r="C80" s="318" t="e">
        <f ca="1">ROUND(C75/C39,3)</f>
        <v>#N/A</v>
      </c>
    </row>
    <row r="81" spans="2:3">
      <c r="B81" s="314" t="s">
        <v>1500</v>
      </c>
      <c r="C81" s="282"/>
    </row>
    <row r="82" spans="2:3">
      <c r="B82" s="317" t="s">
        <v>1501</v>
      </c>
      <c r="C82" s="319" t="e">
        <f ca="1">1-C83</f>
        <v>#N/A</v>
      </c>
    </row>
    <row r="83" spans="2:3">
      <c r="B83" s="317" t="s">
        <v>1502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828" t="s">
        <v>1073</v>
      </c>
      <c r="B1" s="3829"/>
      <c r="C1" s="3830"/>
      <c r="D1" s="3831">
        <f>SUM(I10,I15,I20,I21,I23)</f>
        <v>5522</v>
      </c>
      <c r="E1" s="3831"/>
      <c r="F1" s="3831"/>
      <c r="G1" s="3831"/>
      <c r="H1" s="3831"/>
      <c r="I1" s="3832"/>
    </row>
    <row r="2" spans="1:16">
      <c r="A2" s="3833" t="s">
        <v>1074</v>
      </c>
      <c r="B2" s="3834" t="s">
        <v>1075</v>
      </c>
      <c r="C2" s="3834"/>
      <c r="D2" s="1283" t="s">
        <v>1076</v>
      </c>
      <c r="E2" s="1283" t="s">
        <v>1077</v>
      </c>
      <c r="F2" s="1283" t="s">
        <v>1078</v>
      </c>
      <c r="G2" s="1283" t="s">
        <v>1079</v>
      </c>
      <c r="H2" s="1283" t="s">
        <v>1080</v>
      </c>
      <c r="I2" s="1284" t="s">
        <v>1081</v>
      </c>
    </row>
    <row r="3" spans="1:16" ht="15.75">
      <c r="A3" s="3833"/>
      <c r="B3" s="3835" t="s">
        <v>3642</v>
      </c>
      <c r="C3" s="3836"/>
      <c r="D3" s="3395">
        <v>198</v>
      </c>
      <c r="E3" s="3395">
        <v>500</v>
      </c>
      <c r="F3" s="3396">
        <v>1</v>
      </c>
      <c r="G3" s="3396">
        <v>0.9</v>
      </c>
      <c r="H3" s="1287">
        <v>365</v>
      </c>
      <c r="I3" s="1288">
        <f>ROUND(D3*E3*F3*G3*H3/10000,0)</f>
        <v>3252</v>
      </c>
    </row>
    <row r="4" spans="1:16" ht="15.75">
      <c r="A4" s="3833"/>
      <c r="B4" s="3835" t="s">
        <v>3643</v>
      </c>
      <c r="C4" s="3836"/>
      <c r="D4" s="3395">
        <v>86</v>
      </c>
      <c r="E4" s="3395">
        <v>520</v>
      </c>
      <c r="F4" s="3396">
        <v>1</v>
      </c>
      <c r="G4" s="3396">
        <v>0.85</v>
      </c>
      <c r="H4" s="1287">
        <v>365</v>
      </c>
      <c r="I4" s="1288">
        <f t="shared" ref="I4:I9" si="0">ROUND(D4*E4*F4*G4*H4/10000,0)</f>
        <v>1387</v>
      </c>
    </row>
    <row r="5" spans="1:16" ht="15.75">
      <c r="A5" s="3833"/>
      <c r="B5" s="3835" t="s">
        <v>3644</v>
      </c>
      <c r="C5" s="3836"/>
      <c r="D5" s="3395">
        <v>9</v>
      </c>
      <c r="E5" s="3395">
        <v>900</v>
      </c>
      <c r="F5" s="3396">
        <v>1</v>
      </c>
      <c r="G5" s="3396">
        <v>0.77</v>
      </c>
      <c r="H5" s="1287">
        <v>365</v>
      </c>
      <c r="I5" s="1288">
        <f t="shared" si="0"/>
        <v>228</v>
      </c>
      <c r="K5" s="3391" t="s">
        <v>3635</v>
      </c>
      <c r="L5" s="3391" t="s">
        <v>3636</v>
      </c>
      <c r="M5" s="3391" t="s">
        <v>3637</v>
      </c>
      <c r="N5" s="3391" t="s">
        <v>3638</v>
      </c>
      <c r="O5" s="3391" t="s">
        <v>3639</v>
      </c>
      <c r="P5" s="3391" t="s">
        <v>3640</v>
      </c>
    </row>
    <row r="6" spans="1:16" ht="15.75">
      <c r="A6" s="3833"/>
      <c r="B6" s="3835" t="s">
        <v>3645</v>
      </c>
      <c r="C6" s="3836"/>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833"/>
      <c r="B7" s="3834"/>
      <c r="C7" s="3834"/>
      <c r="D7" s="1285"/>
      <c r="E7" s="1283"/>
      <c r="F7" s="1286"/>
      <c r="G7" s="1286"/>
      <c r="H7" s="1287"/>
      <c r="I7" s="1288">
        <f t="shared" si="0"/>
        <v>0</v>
      </c>
      <c r="K7" s="3391">
        <v>2017</v>
      </c>
      <c r="L7" s="3391">
        <v>313</v>
      </c>
      <c r="M7" s="3392">
        <v>0.86260000000000003</v>
      </c>
      <c r="N7" s="3391">
        <v>432.99</v>
      </c>
      <c r="O7" s="3393">
        <v>4763.54</v>
      </c>
      <c r="P7" s="3394">
        <v>2186.4299999999998</v>
      </c>
    </row>
    <row r="8" spans="1:16">
      <c r="A8" s="3833"/>
      <c r="B8" s="3834"/>
      <c r="C8" s="3834"/>
      <c r="D8" s="1285"/>
      <c r="E8" s="1283"/>
      <c r="F8" s="1286"/>
      <c r="G8" s="1286"/>
      <c r="H8" s="1287"/>
      <c r="I8" s="1288">
        <f t="shared" si="0"/>
        <v>0</v>
      </c>
      <c r="K8" s="3391">
        <v>2018</v>
      </c>
      <c r="L8" s="3391">
        <v>313</v>
      </c>
      <c r="M8" s="3392">
        <v>0.85750000000000004</v>
      </c>
      <c r="N8" s="3391">
        <v>490.61</v>
      </c>
      <c r="O8" s="3393">
        <v>5636.54</v>
      </c>
      <c r="P8" s="3394">
        <v>2910.75</v>
      </c>
    </row>
    <row r="9" spans="1:16">
      <c r="A9" s="3833"/>
      <c r="B9" s="3834"/>
      <c r="C9" s="3834"/>
      <c r="D9" s="1285"/>
      <c r="E9" s="1283"/>
      <c r="F9" s="1286"/>
      <c r="G9" s="1286"/>
      <c r="H9" s="1287"/>
      <c r="I9" s="1288">
        <f t="shared" si="0"/>
        <v>0</v>
      </c>
      <c r="K9" s="3391" t="s">
        <v>3641</v>
      </c>
      <c r="L9" s="3391">
        <v>313</v>
      </c>
      <c r="M9" s="3392">
        <v>0.89019999999999999</v>
      </c>
      <c r="N9" s="3391">
        <v>489.52</v>
      </c>
      <c r="O9" s="3393">
        <v>4419.04</v>
      </c>
      <c r="P9" s="3394">
        <v>2299.9899999999998</v>
      </c>
    </row>
    <row r="10" spans="1:16">
      <c r="A10" s="3833"/>
      <c r="B10" s="3837" t="s">
        <v>1082</v>
      </c>
      <c r="C10" s="3837"/>
      <c r="D10" s="1289"/>
      <c r="E10" s="1289" t="e">
        <f>ROUND(D1*10000/D10/H9,0)</f>
        <v>#DIV/0!</v>
      </c>
      <c r="F10" s="1290"/>
      <c r="G10" s="1290"/>
      <c r="H10" s="1291">
        <v>365</v>
      </c>
      <c r="I10" s="1292">
        <f>SUM(I3:I9)</f>
        <v>5227</v>
      </c>
    </row>
    <row r="11" spans="1:16" ht="14.25">
      <c r="A11" s="3833" t="s">
        <v>1083</v>
      </c>
      <c r="B11" s="3834" t="s">
        <v>1084</v>
      </c>
      <c r="C11" s="3834"/>
      <c r="D11" s="1285" t="s">
        <v>1085</v>
      </c>
      <c r="E11" s="1285" t="s">
        <v>1086</v>
      </c>
      <c r="F11" s="1286" t="s">
        <v>1087</v>
      </c>
      <c r="G11" s="1286" t="s">
        <v>1080</v>
      </c>
      <c r="H11" s="1293" t="s">
        <v>1</v>
      </c>
      <c r="I11" s="1284" t="s">
        <v>1081</v>
      </c>
    </row>
    <row r="12" spans="1:16">
      <c r="A12" s="3833"/>
      <c r="B12" s="3834" t="s">
        <v>1089</v>
      </c>
      <c r="C12" s="3834"/>
      <c r="D12" s="1285">
        <f>40*2</f>
        <v>80</v>
      </c>
      <c r="E12" s="1285">
        <v>108</v>
      </c>
      <c r="F12" s="1286">
        <v>0.8</v>
      </c>
      <c r="G12" s="1287">
        <v>365</v>
      </c>
      <c r="H12" s="1294"/>
      <c r="I12" s="1284">
        <f>ROUND(D12*E12*F12*G12/10000,0)</f>
        <v>252</v>
      </c>
    </row>
    <row r="13" spans="1:16">
      <c r="A13" s="3833"/>
      <c r="B13" s="3834" t="s">
        <v>1090</v>
      </c>
      <c r="C13" s="3834"/>
      <c r="D13" s="1285"/>
      <c r="E13" s="1285"/>
      <c r="F13" s="1286"/>
      <c r="G13" s="1287"/>
      <c r="H13" s="1294"/>
      <c r="I13" s="1284">
        <f>ROUND(D13*E13*F13*G13/10000,0)</f>
        <v>0</v>
      </c>
    </row>
    <row r="14" spans="1:16">
      <c r="A14" s="3833"/>
      <c r="B14" s="3834" t="s">
        <v>1091</v>
      </c>
      <c r="C14" s="3834"/>
      <c r="D14" s="1285"/>
      <c r="E14" s="1285"/>
      <c r="F14" s="1286"/>
      <c r="G14" s="1287"/>
      <c r="H14" s="1294"/>
      <c r="I14" s="1284">
        <f>ROUND(D14*E14*F14*G14/10000,0)</f>
        <v>0</v>
      </c>
      <c r="N14">
        <f>D3*G3+D4*G4+D5*G5+D6*G6</f>
        <v>275.23</v>
      </c>
    </row>
    <row r="15" spans="1:16">
      <c r="A15" s="3833"/>
      <c r="B15" s="3837" t="s">
        <v>1082</v>
      </c>
      <c r="C15" s="3837"/>
      <c r="D15" s="1289"/>
      <c r="E15" s="1289">
        <f>SUM(E12:E14)</f>
        <v>108</v>
      </c>
      <c r="F15" s="1290"/>
      <c r="G15" s="1287"/>
      <c r="H15" s="1294"/>
      <c r="I15" s="1295">
        <f>SUM(I12:I14)</f>
        <v>252</v>
      </c>
      <c r="N15">
        <f>N14/L9</f>
        <v>0.87932907348242817</v>
      </c>
    </row>
    <row r="16" spans="1:16" ht="24">
      <c r="A16" s="3833" t="s">
        <v>1092</v>
      </c>
      <c r="B16" s="3834" t="s">
        <v>1093</v>
      </c>
      <c r="C16" s="3834"/>
      <c r="D16" s="1285" t="s">
        <v>1076</v>
      </c>
      <c r="E16" s="1296" t="s">
        <v>1094</v>
      </c>
      <c r="F16" s="1286" t="s">
        <v>1095</v>
      </c>
      <c r="G16" s="1287" t="s">
        <v>1080</v>
      </c>
      <c r="H16" s="1293" t="s">
        <v>1088</v>
      </c>
      <c r="I16" s="1284" t="s">
        <v>1081</v>
      </c>
    </row>
    <row r="17" spans="1:9" ht="14.25">
      <c r="A17" s="3833"/>
      <c r="B17" s="3834" t="s">
        <v>1096</v>
      </c>
      <c r="C17" s="3834"/>
      <c r="D17" s="1285">
        <v>1</v>
      </c>
      <c r="E17" s="1285">
        <v>6000</v>
      </c>
      <c r="F17" s="1286">
        <f>6*12/365</f>
        <v>0.19726027397260273</v>
      </c>
      <c r="G17" s="1287">
        <v>365</v>
      </c>
      <c r="H17" s="1297"/>
      <c r="I17" s="1298">
        <f>ROUND(D17*E17*F17*G17/10000,0)</f>
        <v>43</v>
      </c>
    </row>
    <row r="18" spans="1:9" ht="14.25">
      <c r="A18" s="3833"/>
      <c r="B18" s="3834" t="s">
        <v>1097</v>
      </c>
      <c r="C18" s="3834"/>
      <c r="D18" s="1285"/>
      <c r="E18" s="1285"/>
      <c r="F18" s="1286"/>
      <c r="G18" s="1287"/>
      <c r="H18" s="1297"/>
      <c r="I18" s="1298">
        <f>ROUND(D18*E18*F18*G18/10000,0)</f>
        <v>0</v>
      </c>
    </row>
    <row r="19" spans="1:9" ht="14.25">
      <c r="A19" s="3833"/>
      <c r="B19" s="3834" t="s">
        <v>1098</v>
      </c>
      <c r="C19" s="3834"/>
      <c r="D19" s="1285"/>
      <c r="E19" s="1285"/>
      <c r="F19" s="1286"/>
      <c r="G19" s="1287"/>
      <c r="H19" s="1297"/>
      <c r="I19" s="1298">
        <f>ROUND(D19*E19*F19*G19/10000,0)</f>
        <v>0</v>
      </c>
    </row>
    <row r="20" spans="1:9">
      <c r="A20" s="3833"/>
      <c r="B20" s="3837" t="s">
        <v>1082</v>
      </c>
      <c r="C20" s="3837"/>
      <c r="D20" s="1289">
        <f>SUM(D17:D19)</f>
        <v>1</v>
      </c>
      <c r="E20" s="1289"/>
      <c r="F20" s="1290"/>
      <c r="G20" s="1287"/>
      <c r="H20" s="1294"/>
      <c r="I20" s="1295">
        <f>SUM(I17:I19)</f>
        <v>43</v>
      </c>
    </row>
    <row r="21" spans="1:9">
      <c r="A21" s="3833" t="s">
        <v>1099</v>
      </c>
      <c r="B21" s="3839"/>
      <c r="C21" s="3839"/>
      <c r="D21" s="3839"/>
      <c r="E21" s="3839"/>
      <c r="F21" s="3839"/>
      <c r="G21" s="3839"/>
      <c r="H21" s="1745"/>
      <c r="I21" s="1292">
        <f>ROUND(I10*H21,0)</f>
        <v>0</v>
      </c>
    </row>
    <row r="22" spans="1:9" ht="14.25">
      <c r="A22" s="3840" t="s">
        <v>1100</v>
      </c>
      <c r="B22" s="3841"/>
      <c r="C22" s="3842"/>
      <c r="D22" s="1299" t="s">
        <v>1101</v>
      </c>
      <c r="E22" s="1299" t="s">
        <v>1102</v>
      </c>
      <c r="F22" s="1300" t="s">
        <v>1103</v>
      </c>
      <c r="G22" s="1300" t="s">
        <v>1104</v>
      </c>
      <c r="H22" s="1293" t="s">
        <v>1105</v>
      </c>
      <c r="I22" s="1284" t="s">
        <v>1106</v>
      </c>
    </row>
    <row r="23" spans="1:9" ht="14.25" thickBot="1">
      <c r="A23" s="3843"/>
      <c r="B23" s="3844"/>
      <c r="C23" s="3845"/>
      <c r="D23" s="1301"/>
      <c r="E23" s="1301"/>
      <c r="F23" s="1301"/>
      <c r="G23" s="1302"/>
      <c r="H23" s="1303"/>
      <c r="I23" s="1304">
        <f>ROUND(E23*D23*F23*(1-G23)/10000,0)</f>
        <v>0</v>
      </c>
    </row>
    <row r="26" spans="1:9">
      <c r="A26" s="1305" t="s">
        <v>1107</v>
      </c>
      <c r="B26" s="1305"/>
      <c r="C26" s="1305"/>
      <c r="D26" s="1305"/>
      <c r="E26" s="3846">
        <f>C27-C30-C31-C32</f>
        <v>3313.2000000000003</v>
      </c>
      <c r="F26" s="3846"/>
      <c r="G26" s="3846"/>
      <c r="H26" s="1717" t="s">
        <v>1329</v>
      </c>
    </row>
    <row r="27" spans="1:9">
      <c r="A27" s="1306">
        <v>1</v>
      </c>
      <c r="B27" s="1307" t="s">
        <v>1108</v>
      </c>
      <c r="C27" s="1307">
        <f>C28+C29</f>
        <v>5522</v>
      </c>
      <c r="D27" s="1307"/>
      <c r="E27" s="3847"/>
      <c r="F27" s="3847"/>
      <c r="G27" s="3847"/>
    </row>
    <row r="28" spans="1:9">
      <c r="A28" s="1308" t="s">
        <v>1109</v>
      </c>
      <c r="B28" s="1307" t="s">
        <v>1110</v>
      </c>
      <c r="C28" s="1307">
        <f>I10</f>
        <v>5227</v>
      </c>
      <c r="D28" s="1307"/>
      <c r="E28" s="3847"/>
      <c r="F28" s="3847"/>
      <c r="G28" s="3847"/>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838"/>
      <c r="F32" s="3838"/>
      <c r="G32" s="3838"/>
    </row>
    <row r="33" spans="1:7" hidden="1">
      <c r="A33" s="3848" t="s">
        <v>1119</v>
      </c>
      <c r="B33" s="3849"/>
      <c r="C33" s="3849"/>
      <c r="D33" s="3850"/>
      <c r="E33" s="3846"/>
      <c r="F33" s="3846"/>
      <c r="G33" s="3846"/>
    </row>
    <row r="34" spans="1:7" hidden="1">
      <c r="A34" s="1310">
        <v>1</v>
      </c>
      <c r="B34" s="1307" t="s">
        <v>1120</v>
      </c>
      <c r="C34" s="1307"/>
      <c r="D34" s="1307"/>
      <c r="E34" s="3847"/>
      <c r="F34" s="3847"/>
      <c r="G34" s="3847"/>
    </row>
    <row r="35" spans="1:7" hidden="1">
      <c r="A35" s="1310">
        <v>2</v>
      </c>
      <c r="B35" s="1307" t="s">
        <v>1121</v>
      </c>
      <c r="C35" s="1307"/>
      <c r="D35" s="1307"/>
      <c r="E35" s="3847"/>
      <c r="F35" s="3847"/>
      <c r="G35" s="3847"/>
    </row>
    <row r="36" spans="1:7" hidden="1">
      <c r="A36" s="1310">
        <v>3</v>
      </c>
      <c r="B36" s="1307" t="s">
        <v>1122</v>
      </c>
      <c r="C36" s="1307"/>
      <c r="D36" s="1307"/>
      <c r="E36" s="3847"/>
      <c r="F36" s="3847"/>
      <c r="G36" s="3847"/>
    </row>
    <row r="37" spans="1:7" hidden="1">
      <c r="A37" s="1310">
        <v>4</v>
      </c>
      <c r="B37" s="1307" t="s">
        <v>1123</v>
      </c>
      <c r="C37" s="1307"/>
      <c r="D37" s="1307"/>
      <c r="E37" s="3847"/>
      <c r="F37" s="3847"/>
      <c r="G37" s="3847"/>
    </row>
    <row r="38" spans="1:7" hidden="1">
      <c r="A38" s="3848" t="s">
        <v>1124</v>
      </c>
      <c r="B38" s="3849"/>
      <c r="C38" s="3849"/>
      <c r="D38" s="3850"/>
      <c r="E38" s="3846"/>
      <c r="F38" s="3846"/>
      <c r="G38" s="38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56" t="s">
        <v>1139</v>
      </c>
      <c r="C1" s="3856"/>
      <c r="D1" s="3856"/>
      <c r="E1" s="3856"/>
      <c r="F1" s="3856"/>
      <c r="G1" s="3852" t="s">
        <v>1140</v>
      </c>
      <c r="H1" s="3852"/>
      <c r="I1" s="3852"/>
      <c r="J1" s="3852"/>
      <c r="K1" s="3852"/>
      <c r="L1" s="3852"/>
      <c r="N1" s="3852" t="s">
        <v>1141</v>
      </c>
      <c r="O1" s="3852"/>
      <c r="P1" s="3852"/>
      <c r="Q1" s="3852"/>
      <c r="R1" s="1427"/>
      <c r="S1" s="3852" t="s">
        <v>1142</v>
      </c>
      <c r="T1" s="3852"/>
      <c r="U1" s="3852"/>
      <c r="V1" s="3852"/>
      <c r="X1" s="3851" t="s">
        <v>1143</v>
      </c>
      <c r="Y1" s="3852"/>
      <c r="Z1" s="3852"/>
      <c r="AA1" s="3852"/>
      <c r="AB1" s="3852"/>
      <c r="AD1" s="3851" t="s">
        <v>1144</v>
      </c>
      <c r="AE1" s="3852"/>
      <c r="AF1" s="3852"/>
      <c r="AG1" s="3852"/>
      <c r="AH1" s="3852"/>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54">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54"/>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54"/>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61"/>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57">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54"/>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54"/>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61"/>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57">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54"/>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54"/>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55"/>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53">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54"/>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54"/>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55"/>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53">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54"/>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54"/>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55"/>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58">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59"/>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59"/>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60"/>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53">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54"/>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54"/>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55"/>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53">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54">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54">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55">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53">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54">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54">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55">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53">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54">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54">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55">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53">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54">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54">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55">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53">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54">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54">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55">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53">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54">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54">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55">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53">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54">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54">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55">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53">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54">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54">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55">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53">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54">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54">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55">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53">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54">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54">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55">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I30" sqref="I30"/>
    </sheetView>
  </sheetViews>
  <sheetFormatPr defaultRowHeight="13.5"/>
  <cols>
    <col min="1" max="1" width="38.5" customWidth="1"/>
    <col min="3" max="3" width="14" customWidth="1"/>
  </cols>
  <sheetData>
    <row r="1" spans="1:14" s="1615" customFormat="1">
      <c r="A1" s="1615" t="s">
        <v>3590</v>
      </c>
      <c r="B1" s="1615" t="s">
        <v>3591</v>
      </c>
      <c r="C1" s="1615" t="s">
        <v>3592</v>
      </c>
      <c r="D1" s="1615" t="s">
        <v>3593</v>
      </c>
      <c r="E1" s="1615" t="s">
        <v>3594</v>
      </c>
      <c r="F1" s="1615" t="s">
        <v>3595</v>
      </c>
      <c r="G1" s="1615" t="s">
        <v>3596</v>
      </c>
      <c r="H1" s="1615" t="s">
        <v>3597</v>
      </c>
      <c r="I1" s="1615" t="s">
        <v>3598</v>
      </c>
      <c r="J1" s="1615" t="s">
        <v>3599</v>
      </c>
      <c r="K1" s="1615" t="s">
        <v>3600</v>
      </c>
      <c r="L1" s="1615" t="s">
        <v>3601</v>
      </c>
      <c r="M1" s="1615" t="s">
        <v>3602</v>
      </c>
      <c r="N1" s="1615" t="s">
        <v>3603</v>
      </c>
    </row>
    <row r="2" spans="1:14" s="1615" customFormat="1">
      <c r="A2" s="1615" t="s">
        <v>3604</v>
      </c>
      <c r="B2" s="1615" t="s">
        <v>3033</v>
      </c>
      <c r="C2" s="1615" t="s">
        <v>3605</v>
      </c>
      <c r="D2" s="1615">
        <v>138746.29999999999</v>
      </c>
      <c r="E2" s="1615">
        <v>486596</v>
      </c>
      <c r="F2" s="1615">
        <v>3.51</v>
      </c>
      <c r="G2" s="1615" t="s">
        <v>3606</v>
      </c>
      <c r="H2" s="1615" t="s">
        <v>3607</v>
      </c>
      <c r="I2" s="1615">
        <v>866300</v>
      </c>
      <c r="J2" s="1615">
        <v>866300</v>
      </c>
      <c r="K2" s="1615">
        <v>17803.27</v>
      </c>
      <c r="L2" s="1615">
        <v>0</v>
      </c>
      <c r="M2" s="1615" t="s">
        <v>3608</v>
      </c>
      <c r="N2" s="1615" t="s">
        <v>3609</v>
      </c>
    </row>
    <row r="3" spans="1:14" s="3370" customFormat="1">
      <c r="A3" s="3370" t="s">
        <v>3610</v>
      </c>
      <c r="B3" s="3370" t="s">
        <v>3033</v>
      </c>
      <c r="C3" s="3370" t="s">
        <v>3605</v>
      </c>
      <c r="D3" s="3370">
        <v>39744.120000000003</v>
      </c>
      <c r="E3" s="3370">
        <v>119232</v>
      </c>
      <c r="F3" s="3370">
        <v>3</v>
      </c>
      <c r="G3" s="3370" t="s">
        <v>3606</v>
      </c>
      <c r="H3" s="3370" t="s">
        <v>3611</v>
      </c>
      <c r="I3" s="3370">
        <v>227000</v>
      </c>
      <c r="J3" s="3370">
        <v>292000</v>
      </c>
      <c r="K3" s="3370">
        <v>24490.06</v>
      </c>
      <c r="L3" s="3370">
        <v>28.63</v>
      </c>
      <c r="M3" s="3370" t="s">
        <v>3612</v>
      </c>
      <c r="N3" s="3370" t="s">
        <v>3613</v>
      </c>
    </row>
    <row r="4" spans="1:14" s="1615" customFormat="1">
      <c r="A4" s="1615" t="s">
        <v>3614</v>
      </c>
      <c r="B4" s="1615" t="s">
        <v>3033</v>
      </c>
      <c r="C4" s="1615" t="s">
        <v>3605</v>
      </c>
      <c r="D4" s="1615">
        <v>92055.95</v>
      </c>
      <c r="E4" s="1615">
        <v>92056</v>
      </c>
      <c r="F4" s="1615">
        <v>1</v>
      </c>
      <c r="G4" s="1615" t="s">
        <v>3615</v>
      </c>
      <c r="H4" s="1615" t="s">
        <v>3616</v>
      </c>
      <c r="I4" s="1615" t="s">
        <v>1320</v>
      </c>
      <c r="J4" s="1615">
        <v>285373.59000000003</v>
      </c>
      <c r="K4" s="1615">
        <v>31000</v>
      </c>
      <c r="L4" s="1615" t="s">
        <v>1320</v>
      </c>
      <c r="M4" s="1615" t="s">
        <v>3617</v>
      </c>
      <c r="N4" s="1615" t="s">
        <v>3613</v>
      </c>
    </row>
    <row r="5" spans="1:14" s="3370" customFormat="1">
      <c r="A5" s="3370" t="s">
        <v>3618</v>
      </c>
      <c r="B5" s="3370" t="s">
        <v>3033</v>
      </c>
      <c r="C5" s="3370" t="s">
        <v>3605</v>
      </c>
      <c r="D5" s="3370">
        <v>46165.91</v>
      </c>
      <c r="E5" s="3370">
        <v>92332</v>
      </c>
      <c r="F5" s="3370">
        <v>2</v>
      </c>
      <c r="G5" s="3370" t="s">
        <v>3606</v>
      </c>
      <c r="H5" s="3370" t="s">
        <v>3619</v>
      </c>
      <c r="I5" s="3370">
        <v>176000</v>
      </c>
      <c r="J5" s="3370">
        <v>225000</v>
      </c>
      <c r="K5" s="3370">
        <v>24368.58</v>
      </c>
      <c r="L5" s="3370">
        <v>27.84</v>
      </c>
      <c r="M5" s="3370" t="s">
        <v>3620</v>
      </c>
      <c r="N5" s="3370" t="s">
        <v>3613</v>
      </c>
    </row>
    <row r="6" spans="1:14" s="3370" customFormat="1">
      <c r="A6" s="3370" t="s">
        <v>3621</v>
      </c>
      <c r="B6" s="3370" t="s">
        <v>3033</v>
      </c>
      <c r="C6" s="3370" t="s">
        <v>3605</v>
      </c>
      <c r="D6" s="3370">
        <v>38100</v>
      </c>
      <c r="E6" s="3370">
        <v>76200</v>
      </c>
      <c r="F6" s="3370">
        <v>2</v>
      </c>
      <c r="G6" s="3370" t="s">
        <v>3606</v>
      </c>
      <c r="H6" s="3370" t="s">
        <v>3619</v>
      </c>
      <c r="I6" s="3370">
        <v>145000</v>
      </c>
      <c r="J6" s="3370">
        <v>204000</v>
      </c>
      <c r="K6" s="3370">
        <v>26771.65</v>
      </c>
      <c r="L6" s="3370">
        <v>40.69</v>
      </c>
      <c r="M6" s="3370" t="s">
        <v>3622</v>
      </c>
      <c r="N6" s="3370" t="s">
        <v>3613</v>
      </c>
    </row>
  </sheetData>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50803</v>
      </c>
      <c r="C2" s="2" t="s">
        <v>133</v>
      </c>
      <c r="D2" s="243"/>
      <c r="E2" s="243"/>
      <c r="F2" s="243"/>
      <c r="G2" s="243"/>
    </row>
    <row r="3" spans="1:7" s="244" customFormat="1" ht="18" customHeight="1" thickBot="1">
      <c r="A3" s="247" t="s">
        <v>85</v>
      </c>
      <c r="B3" s="248">
        <f ca="1">ROUND(B2*10000/'数据-汇总表'!E3,0)</f>
        <v>11519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882</v>
      </c>
      <c r="D10" s="1022">
        <f>'数据-汇总表'!E6</f>
        <v>44104.409999999996</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882</v>
      </c>
      <c r="D19" s="1026">
        <f>'数据-汇总表'!E3</f>
        <v>44104.409999999996</v>
      </c>
      <c r="E19" s="255">
        <f>'数据-取费表'!B31</f>
        <v>200</v>
      </c>
      <c r="F19" s="275"/>
      <c r="G19" s="1" t="s">
        <v>1071</v>
      </c>
    </row>
    <row r="20" spans="1:7" s="258" customFormat="1" ht="13.5" customHeight="1">
      <c r="A20" s="938" t="s">
        <v>1054</v>
      </c>
      <c r="B20" s="254" t="s">
        <v>104</v>
      </c>
      <c r="C20" s="276">
        <f>ROUND((C5+C19)*F20,0)</f>
        <v>430</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2110</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86</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5481</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5481</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32056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16303</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14757</v>
      </c>
      <c r="D34" s="261"/>
      <c r="E34" s="264"/>
      <c r="F34" s="301">
        <f>IF('数据-取费表'!B24=0,1,'数据-取费表'!N16)</f>
        <v>1</v>
      </c>
      <c r="G34" s="263" t="s">
        <v>116</v>
      </c>
    </row>
    <row r="35" spans="1:7" ht="13.5" customHeight="1">
      <c r="A35" s="941" t="s">
        <v>796</v>
      </c>
      <c r="B35" s="259" t="s">
        <v>60</v>
      </c>
      <c r="C35" s="264">
        <f>ROUND(C34*F35,0)</f>
        <v>443</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882</v>
      </c>
      <c r="D37" s="261">
        <f>'数据-汇总表'!E3</f>
        <v>44104.409999999996</v>
      </c>
      <c r="E37" s="293">
        <f>'数据-取费表'!B35</f>
        <v>200</v>
      </c>
      <c r="F37" s="303"/>
      <c r="G37" s="305" t="s">
        <v>119</v>
      </c>
    </row>
    <row r="38" spans="1:7" ht="13.5" customHeight="1">
      <c r="A38" s="941" t="s">
        <v>799</v>
      </c>
      <c r="B38" s="259" t="s">
        <v>63</v>
      </c>
      <c r="C38" s="264">
        <f>ROUND(C34*F38,0)</f>
        <v>221</v>
      </c>
      <c r="D38" s="264"/>
      <c r="E38" s="264"/>
      <c r="F38" s="303">
        <f>'数据-取费表'!B36</f>
        <v>1.4999999999999999E-2</v>
      </c>
      <c r="G38" s="263" t="s">
        <v>117</v>
      </c>
    </row>
    <row r="39" spans="1:7" s="258" customFormat="1" ht="13.5" customHeight="1">
      <c r="A39" s="938" t="s">
        <v>783</v>
      </c>
      <c r="B39" s="254" t="s">
        <v>104</v>
      </c>
      <c r="C39" s="276">
        <f>ROUND(C33*F20,0)</f>
        <v>326</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789</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774</v>
      </c>
      <c r="D42" s="282"/>
      <c r="E42" s="282"/>
      <c r="F42" s="283"/>
      <c r="G42" s="3713" t="s">
        <v>121</v>
      </c>
    </row>
    <row r="43" spans="1:7" ht="13.5" customHeight="1">
      <c r="A43" s="941" t="s">
        <v>792</v>
      </c>
      <c r="B43" s="259" t="s">
        <v>1061</v>
      </c>
      <c r="C43" s="282">
        <f ca="1">ROUND(IF('数据-取费表'!B22&lt;=1,C39*F22*'数据-取费表'!B21/2,C39*(POWER((1+F22),'数据-取费表'!B21/2)-1)),0)</f>
        <v>15</v>
      </c>
      <c r="D43" s="282"/>
      <c r="E43" s="282"/>
      <c r="F43" s="283"/>
      <c r="G43" s="3714"/>
    </row>
    <row r="44" spans="1:7" ht="13.5" customHeight="1">
      <c r="A44" s="941" t="s">
        <v>793</v>
      </c>
      <c r="B44" s="259" t="s">
        <v>1063</v>
      </c>
      <c r="C44" s="282">
        <f ca="1">ROUND(IF('数据-取费表'!B22&lt;=1,C40*F22*'数据-取费表'!B21/2,C40*(POWER((1+F22),'数据-取费表'!B21/2)-1)),4)</f>
        <v>1E-3</v>
      </c>
      <c r="D44" s="282"/>
      <c r="E44" s="282"/>
      <c r="F44" s="283"/>
      <c r="G44" s="3715"/>
    </row>
    <row r="45" spans="1:7" s="258" customFormat="1" ht="13.5" customHeight="1">
      <c r="A45" s="938" t="s">
        <v>786</v>
      </c>
      <c r="B45" s="288" t="s">
        <v>112</v>
      </c>
      <c r="C45" s="289">
        <f>C46</f>
        <v>4157</v>
      </c>
      <c r="D45" s="279">
        <f>C47</f>
        <v>5.0000000000000001E-3</v>
      </c>
      <c r="E45" s="280" t="s">
        <v>129</v>
      </c>
      <c r="F45" s="290"/>
      <c r="G45" s="291" t="s">
        <v>1069</v>
      </c>
    </row>
    <row r="46" spans="1:7" s="258" customFormat="1" ht="13.5" customHeight="1">
      <c r="A46" s="941" t="s">
        <v>794</v>
      </c>
      <c r="B46" s="292" t="s">
        <v>1062</v>
      </c>
      <c r="C46" s="293">
        <f>ROUND((C33+C39)*F27,0)</f>
        <v>4157</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23434</v>
      </c>
      <c r="D49" s="276"/>
      <c r="E49" s="276"/>
      <c r="F49" s="308"/>
      <c r="G49" s="278" t="s">
        <v>1070</v>
      </c>
    </row>
    <row r="50" spans="1:7" s="302" customFormat="1" ht="24">
      <c r="A50" s="938" t="s">
        <v>789</v>
      </c>
      <c r="B50" s="254" t="s">
        <v>124</v>
      </c>
      <c r="C50" s="276"/>
      <c r="D50" s="276"/>
      <c r="E50" s="276"/>
      <c r="F50" s="308">
        <f>IF('数据-取费表'!B24=0,'数据-取费表'!N16,1)</f>
        <v>0.8</v>
      </c>
      <c r="G50" s="291" t="s">
        <v>125</v>
      </c>
    </row>
    <row r="51" spans="1:7" ht="16.5" customHeight="1">
      <c r="A51" s="938" t="s">
        <v>790</v>
      </c>
      <c r="B51" s="254" t="s">
        <v>132</v>
      </c>
      <c r="C51" s="276">
        <f ca="1">ROUND(C49*F50,0)</f>
        <v>18747</v>
      </c>
      <c r="D51" s="276"/>
      <c r="E51" s="276"/>
      <c r="F51" s="308"/>
      <c r="G51" s="278" t="s">
        <v>64</v>
      </c>
    </row>
    <row r="52" spans="1:7" s="252" customFormat="1" ht="16.5" thickBot="1">
      <c r="A52" s="309" t="s">
        <v>65</v>
      </c>
      <c r="B52" s="310"/>
      <c r="C52" s="311">
        <f ca="1">C31+C51</f>
        <v>50803</v>
      </c>
      <c r="D52" s="310"/>
      <c r="E52" s="310"/>
      <c r="F52" s="310"/>
      <c r="G52" s="312"/>
    </row>
    <row r="55" spans="1:7" ht="15">
      <c r="B55" s="314" t="s">
        <v>66</v>
      </c>
      <c r="C55" s="315"/>
    </row>
    <row r="56" spans="1:7">
      <c r="B56" s="317" t="s">
        <v>67</v>
      </c>
      <c r="C56" s="318">
        <f ca="1">ROUND(C51/C52,3)</f>
        <v>0.36899999999999999</v>
      </c>
    </row>
    <row r="57" spans="1:7">
      <c r="B57" s="317" t="s">
        <v>68</v>
      </c>
      <c r="C57" s="319">
        <f ca="1">1-C56</f>
        <v>0.63100000000000001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95" t="s">
        <v>1650</v>
      </c>
      <c r="B1" s="3495"/>
      <c r="C1" s="3495"/>
      <c r="D1" s="3495"/>
    </row>
    <row r="2" spans="1:4" ht="18">
      <c r="A2" s="3496" t="s">
        <v>1634</v>
      </c>
      <c r="B2" s="3496"/>
      <c r="C2" s="3496"/>
      <c r="D2" s="3496"/>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96" t="s">
        <v>1640</v>
      </c>
      <c r="B6" s="3496"/>
      <c r="C6" s="3496"/>
      <c r="D6" s="3496"/>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97" t="s">
        <v>1643</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1644</v>
      </c>
      <c r="B16" s="3501"/>
      <c r="C16" s="3501"/>
      <c r="D16" s="3501"/>
    </row>
    <row r="17" spans="1:4" ht="144" customHeight="1">
      <c r="A17" s="3501" t="s">
        <v>1645</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1646</v>
      </c>
      <c r="B22" s="3503"/>
      <c r="C22" s="3503"/>
      <c r="D22" s="3503"/>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62" t="s">
        <v>156</v>
      </c>
      <c r="B1" s="3862"/>
      <c r="C1" s="3862"/>
      <c r="D1" s="3862"/>
      <c r="E1" s="3862"/>
      <c r="F1" s="3862"/>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63" t="s">
        <v>169</v>
      </c>
      <c r="B2" s="3863"/>
      <c r="C2" s="3863"/>
      <c r="D2" s="3863"/>
      <c r="E2" s="3863"/>
      <c r="F2" s="3863"/>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64"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65"/>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62" t="s">
        <v>868</v>
      </c>
      <c r="B1" s="3862"/>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509" t="s">
        <v>1657</v>
      </c>
      <c r="B15" s="3504" t="s">
        <v>136</v>
      </c>
      <c r="C15" s="3505"/>
    </row>
    <row r="16" spans="1:7" ht="13.5">
      <c r="A16" s="3510"/>
      <c r="B16" s="3504" t="s">
        <v>69</v>
      </c>
      <c r="C16" s="3505"/>
    </row>
    <row r="17" spans="1:3" ht="13.5">
      <c r="A17" s="3510"/>
      <c r="B17" s="3507" t="s">
        <v>1658</v>
      </c>
      <c r="C17" s="1979" t="s">
        <v>1657</v>
      </c>
    </row>
    <row r="18" spans="1:3" ht="13.5">
      <c r="A18" s="3510"/>
      <c r="B18" s="3507"/>
      <c r="C18" s="1979" t="s">
        <v>1659</v>
      </c>
    </row>
    <row r="19" spans="1:3" ht="13.5">
      <c r="A19" s="3510"/>
      <c r="B19" s="3507"/>
      <c r="C19" s="1979" t="s">
        <v>1660</v>
      </c>
    </row>
    <row r="20" spans="1:3" ht="13.5">
      <c r="A20" s="3511"/>
      <c r="B20" s="3506" t="s">
        <v>1661</v>
      </c>
      <c r="C20" s="3505"/>
    </row>
    <row r="21" spans="1:3" ht="13.5">
      <c r="A21" s="1980" t="s">
        <v>1662</v>
      </c>
      <c r="B21" s="1981"/>
      <c r="C21" s="1982"/>
    </row>
    <row r="22" spans="1:3" ht="13.5">
      <c r="A22" s="3508" t="s">
        <v>1663</v>
      </c>
      <c r="B22" s="3506" t="s">
        <v>1664</v>
      </c>
      <c r="C22" s="3505"/>
    </row>
    <row r="23" spans="1:3" ht="13.5">
      <c r="A23" s="3508"/>
      <c r="B23" s="3506" t="s">
        <v>1665</v>
      </c>
      <c r="C23" s="3505"/>
    </row>
    <row r="24" spans="1:3" ht="13.5">
      <c r="A24" s="3508"/>
      <c r="B24" s="3506" t="s">
        <v>1666</v>
      </c>
      <c r="C24" s="3505"/>
    </row>
    <row r="25" spans="1:3" ht="13.5">
      <c r="A25" s="3508"/>
      <c r="B25" s="3507" t="s">
        <v>1667</v>
      </c>
      <c r="C25" s="1979" t="s">
        <v>1668</v>
      </c>
    </row>
    <row r="26" spans="1:3" ht="13.5">
      <c r="A26" s="3508"/>
      <c r="B26" s="3507"/>
      <c r="C26" s="1979" t="s">
        <v>1669</v>
      </c>
    </row>
    <row r="27" spans="1:3" ht="13.5">
      <c r="A27" s="3508"/>
      <c r="B27" s="3507"/>
      <c r="C27" s="1979" t="s">
        <v>1670</v>
      </c>
    </row>
    <row r="28" spans="1:3" ht="13.5">
      <c r="A28" s="3508"/>
      <c r="B28" s="3507"/>
      <c r="C28" s="1979" t="s">
        <v>1671</v>
      </c>
    </row>
    <row r="29" spans="1:3" ht="13.5">
      <c r="A29" s="3508"/>
      <c r="B29" s="3507"/>
      <c r="C29" s="1979" t="s">
        <v>1672</v>
      </c>
    </row>
    <row r="30" spans="1:3" ht="13.5">
      <c r="A30" s="3508"/>
      <c r="B30" s="3507"/>
      <c r="C30" s="1979" t="s">
        <v>1673</v>
      </c>
    </row>
    <row r="31" spans="1:3" ht="13.5">
      <c r="A31" s="3508"/>
      <c r="B31" s="3507"/>
      <c r="C31" s="1979" t="s">
        <v>1674</v>
      </c>
    </row>
    <row r="32" spans="1:3" ht="13.5">
      <c r="A32" s="3508"/>
      <c r="B32" s="3507"/>
      <c r="C32" s="1979" t="s">
        <v>1675</v>
      </c>
    </row>
    <row r="33" spans="1:3" ht="13.5">
      <c r="A33" s="3508"/>
      <c r="B33" s="3507"/>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43987</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t="str">
        <f ca="1">IF(C9&lt;B2,"已过期",1419970001)</f>
        <v>已过期</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512" t="s">
        <v>843</v>
      </c>
      <c r="B25" s="3512"/>
      <c r="C25" s="3512"/>
      <c r="D25" s="3512"/>
      <c r="E25" s="3512"/>
      <c r="F25" s="3512"/>
      <c r="G25" s="3512"/>
    </row>
    <row r="26" spans="1:7" s="1015" customFormat="1" ht="24" customHeight="1">
      <c r="A26" s="3513" t="s">
        <v>844</v>
      </c>
      <c r="B26" s="3513"/>
      <c r="C26" s="3514"/>
      <c r="D26" s="3515" t="s">
        <v>845</v>
      </c>
      <c r="E26" s="3513"/>
      <c r="F26" s="3513"/>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76" priority="97" stopIfTrue="1" operator="lessThan">
      <formula>$B$2</formula>
    </cfRule>
  </conditionalFormatting>
  <conditionalFormatting sqref="C5">
    <cfRule type="expression" dxfId="275" priority="92">
      <formula>AND($C5-TODAY()&lt;30,TODAY()&lt;$C5)</formula>
    </cfRule>
  </conditionalFormatting>
  <conditionalFormatting sqref="C5 F5">
    <cfRule type="cellIs" dxfId="274" priority="93" stopIfTrue="1" operator="lessThan">
      <formula>$B$2</formula>
    </cfRule>
  </conditionalFormatting>
  <conditionalFormatting sqref="F6 F8 F10">
    <cfRule type="cellIs" dxfId="273" priority="91" stopIfTrue="1" operator="lessThan">
      <formula>$B$2</formula>
    </cfRule>
  </conditionalFormatting>
  <conditionalFormatting sqref="C4:C11 C13 C23 C17 C19:C21">
    <cfRule type="expression" dxfId="272" priority="89">
      <formula>AND($C4-TODAY()&lt;30,TODAY()&lt;$C4)</formula>
    </cfRule>
  </conditionalFormatting>
  <conditionalFormatting sqref="F7 F9 F11 C4:C11 C13 C23 C17 C19:C21">
    <cfRule type="cellIs" dxfId="271" priority="90" stopIfTrue="1" operator="lessThan">
      <formula>$B$2</formula>
    </cfRule>
  </conditionalFormatting>
  <conditionalFormatting sqref="C20">
    <cfRule type="expression" dxfId="270" priority="77">
      <formula>AND($C20-TODAY()&lt;30,TODAY()&lt;$C20)</formula>
    </cfRule>
  </conditionalFormatting>
  <conditionalFormatting sqref="C20">
    <cfRule type="cellIs" dxfId="269" priority="78" stopIfTrue="1" operator="lessThan">
      <formula>$B$2</formula>
    </cfRule>
  </conditionalFormatting>
  <conditionalFormatting sqref="C17">
    <cfRule type="expression" dxfId="268" priority="71">
      <formula>AND($C17-TODAY()&lt;30,TODAY()&lt;$C17)</formula>
    </cfRule>
  </conditionalFormatting>
  <conditionalFormatting sqref="C17">
    <cfRule type="cellIs" dxfId="267" priority="72" stopIfTrue="1" operator="lessThan">
      <formula>$B$2</formula>
    </cfRule>
  </conditionalFormatting>
  <conditionalFormatting sqref="C19">
    <cfRule type="expression" dxfId="266" priority="69">
      <formula>AND($C19-TODAY()&lt;30,TODAY()&lt;$C19)</formula>
    </cfRule>
  </conditionalFormatting>
  <conditionalFormatting sqref="C19">
    <cfRule type="cellIs" dxfId="265" priority="70" stopIfTrue="1" operator="lessThan">
      <formula>$B$2</formula>
    </cfRule>
  </conditionalFormatting>
  <conditionalFormatting sqref="C21">
    <cfRule type="expression" dxfId="264" priority="67">
      <formula>AND($C21-TODAY()&lt;30,TODAY()&lt;$C21)</formula>
    </cfRule>
  </conditionalFormatting>
  <conditionalFormatting sqref="C21">
    <cfRule type="cellIs" dxfId="263" priority="68" stopIfTrue="1" operator="lessThan">
      <formula>$B$2</formula>
    </cfRule>
  </conditionalFormatting>
  <conditionalFormatting sqref="C23">
    <cfRule type="expression" dxfId="262" priority="65">
      <formula>AND($C23-TODAY()&lt;30,TODAY()&lt;$C23)</formula>
    </cfRule>
  </conditionalFormatting>
  <conditionalFormatting sqref="C23">
    <cfRule type="cellIs" dxfId="261" priority="66" stopIfTrue="1" operator="lessThan">
      <formula>$B$2</formula>
    </cfRule>
  </conditionalFormatting>
  <conditionalFormatting sqref="F18">
    <cfRule type="cellIs" dxfId="260" priority="62" stopIfTrue="1" operator="lessThan">
      <formula>$B$2</formula>
    </cfRule>
  </conditionalFormatting>
  <conditionalFormatting sqref="F22">
    <cfRule type="cellIs" dxfId="259" priority="61" stopIfTrue="1" operator="lessThan">
      <formula>$B$2</formula>
    </cfRule>
  </conditionalFormatting>
  <conditionalFormatting sqref="F21">
    <cfRule type="cellIs" dxfId="258" priority="60" stopIfTrue="1" operator="lessThan">
      <formula>$B$2</formula>
    </cfRule>
  </conditionalFormatting>
  <conditionalFormatting sqref="B4:B11 E4:E11 B17 E18:E23 B13 E13 B19:B23">
    <cfRule type="cellIs" dxfId="257" priority="58" stopIfTrue="1" operator="equal">
      <formula>"已过期"</formula>
    </cfRule>
  </conditionalFormatting>
  <conditionalFormatting sqref="A24:F24">
    <cfRule type="cellIs" dxfId="256" priority="54" stopIfTrue="1" operator="equal">
      <formula>"已过期"</formula>
    </cfRule>
  </conditionalFormatting>
  <conditionalFormatting sqref="F28">
    <cfRule type="expression" dxfId="255" priority="52">
      <formula>AND($E28-TODAY()&lt;30,TODAY()&lt;$E28)</formula>
    </cfRule>
  </conditionalFormatting>
  <conditionalFormatting sqref="F28">
    <cfRule type="cellIs" dxfId="254" priority="53" stopIfTrue="1" operator="lessThan">
      <formula>$B$2</formula>
    </cfRule>
  </conditionalFormatting>
  <conditionalFormatting sqref="F29">
    <cfRule type="expression" dxfId="253" priority="48" stopIfTrue="1">
      <formula>AND($E29-TODAY()&lt;30,TODAY()&lt;$E29)</formula>
    </cfRule>
  </conditionalFormatting>
  <conditionalFormatting sqref="F29">
    <cfRule type="cellIs" dxfId="252" priority="49" stopIfTrue="1" operator="lessThan">
      <formula>$B$2</formula>
    </cfRule>
  </conditionalFormatting>
  <conditionalFormatting sqref="F13">
    <cfRule type="cellIs" dxfId="251" priority="41" stopIfTrue="1" operator="lessThan">
      <formula>$B$2</formula>
    </cfRule>
  </conditionalFormatting>
  <conditionalFormatting sqref="C12">
    <cfRule type="expression" dxfId="250" priority="39">
      <formula>AND($C12-TODAY()&lt;30,TODAY()&lt;$C12)</formula>
    </cfRule>
  </conditionalFormatting>
  <conditionalFormatting sqref="C12">
    <cfRule type="cellIs" dxfId="249" priority="40" stopIfTrue="1" operator="lessThan">
      <formula>$B$2</formula>
    </cfRule>
  </conditionalFormatting>
  <conditionalFormatting sqref="C12">
    <cfRule type="expression" dxfId="248" priority="37">
      <formula>AND($C12-TODAY()&lt;30,TODAY()&lt;$C12)</formula>
    </cfRule>
  </conditionalFormatting>
  <conditionalFormatting sqref="C12">
    <cfRule type="cellIs" dxfId="247" priority="38" stopIfTrue="1" operator="lessThan">
      <formula>$B$2</formula>
    </cfRule>
  </conditionalFormatting>
  <conditionalFormatting sqref="B12">
    <cfRule type="cellIs" dxfId="246" priority="36" stopIfTrue="1" operator="equal">
      <formula>"已过期"</formula>
    </cfRule>
  </conditionalFormatting>
  <conditionalFormatting sqref="E12">
    <cfRule type="cellIs" dxfId="245" priority="35" stopIfTrue="1" operator="equal">
      <formula>"已过期"</formula>
    </cfRule>
  </conditionalFormatting>
  <conditionalFormatting sqref="F12">
    <cfRule type="cellIs" dxfId="244" priority="34" stopIfTrue="1" operator="lessThan">
      <formula>$B$2</formula>
    </cfRule>
  </conditionalFormatting>
  <conditionalFormatting sqref="C22">
    <cfRule type="expression" dxfId="243" priority="32">
      <formula>AND($C22-TODAY()&lt;30,TODAY()&lt;$C22)</formula>
    </cfRule>
  </conditionalFormatting>
  <conditionalFormatting sqref="C22">
    <cfRule type="cellIs" dxfId="242" priority="33" stopIfTrue="1" operator="lessThan">
      <formula>$B$2</formula>
    </cfRule>
  </conditionalFormatting>
  <conditionalFormatting sqref="C22">
    <cfRule type="expression" dxfId="241" priority="30">
      <formula>AND($C22-TODAY()&lt;30,TODAY()&lt;$C22)</formula>
    </cfRule>
  </conditionalFormatting>
  <conditionalFormatting sqref="C22">
    <cfRule type="cellIs" dxfId="240" priority="31" stopIfTrue="1" operator="lessThan">
      <formula>$B$2</formula>
    </cfRule>
  </conditionalFormatting>
  <conditionalFormatting sqref="C16">
    <cfRule type="expression" dxfId="239" priority="28">
      <formula>AND($C16-TODAY()&lt;30,TODAY()&lt;$C16)</formula>
    </cfRule>
  </conditionalFormatting>
  <conditionalFormatting sqref="C16">
    <cfRule type="cellIs" dxfId="238" priority="29" stopIfTrue="1" operator="lessThan">
      <formula>$B$2</formula>
    </cfRule>
  </conditionalFormatting>
  <conditionalFormatting sqref="C16">
    <cfRule type="expression" dxfId="237" priority="26">
      <formula>AND($C16-TODAY()&lt;30,TODAY()&lt;$C16)</formula>
    </cfRule>
  </conditionalFormatting>
  <conditionalFormatting sqref="C16">
    <cfRule type="cellIs" dxfId="236" priority="27" stopIfTrue="1" operator="lessThan">
      <formula>$B$2</formula>
    </cfRule>
  </conditionalFormatting>
  <conditionalFormatting sqref="B16">
    <cfRule type="cellIs" dxfId="235" priority="25" stopIfTrue="1" operator="equal">
      <formula>"已过期"</formula>
    </cfRule>
  </conditionalFormatting>
  <conditionalFormatting sqref="C14:C15">
    <cfRule type="expression" dxfId="234" priority="23">
      <formula>AND($C14-TODAY()&lt;30,TODAY()&lt;$C14)</formula>
    </cfRule>
  </conditionalFormatting>
  <conditionalFormatting sqref="C14:C15">
    <cfRule type="cellIs" dxfId="233" priority="24" stopIfTrue="1" operator="lessThan">
      <formula>$B$2</formula>
    </cfRule>
  </conditionalFormatting>
  <conditionalFormatting sqref="C14">
    <cfRule type="expression" dxfId="232" priority="21">
      <formula>AND($C14-TODAY()&lt;30,TODAY()&lt;$C14)</formula>
    </cfRule>
  </conditionalFormatting>
  <conditionalFormatting sqref="C14">
    <cfRule type="cellIs" dxfId="231" priority="22" stopIfTrue="1" operator="lessThan">
      <formula>$B$2</formula>
    </cfRule>
  </conditionalFormatting>
  <conditionalFormatting sqref="C15">
    <cfRule type="expression" dxfId="230" priority="19">
      <formula>AND($C15-TODAY()&lt;30,TODAY()&lt;$C15)</formula>
    </cfRule>
  </conditionalFormatting>
  <conditionalFormatting sqref="C15">
    <cfRule type="cellIs" dxfId="229" priority="20" stopIfTrue="1" operator="lessThan">
      <formula>$B$2</formula>
    </cfRule>
  </conditionalFormatting>
  <conditionalFormatting sqref="B14">
    <cfRule type="cellIs" dxfId="228" priority="18" stopIfTrue="1" operator="equal">
      <formula>"已过期"</formula>
    </cfRule>
  </conditionalFormatting>
  <conditionalFormatting sqref="B15">
    <cfRule type="cellIs" dxfId="227" priority="17" stopIfTrue="1" operator="equal">
      <formula>"已过期"</formula>
    </cfRule>
  </conditionalFormatting>
  <conditionalFormatting sqref="A15">
    <cfRule type="cellIs" dxfId="226" priority="16" stopIfTrue="1" operator="equal">
      <formula>"已过期"</formula>
    </cfRule>
  </conditionalFormatting>
  <conditionalFormatting sqref="C15">
    <cfRule type="expression" dxfId="225" priority="15">
      <formula>AND($C15-TODAY()&lt;30,TODAY()&lt;$C15)</formula>
    </cfRule>
  </conditionalFormatting>
  <conditionalFormatting sqref="F16">
    <cfRule type="cellIs" dxfId="224" priority="14" stopIfTrue="1" operator="lessThan">
      <formula>$B$2</formula>
    </cfRule>
  </conditionalFormatting>
  <conditionalFormatting sqref="E16 E14">
    <cfRule type="cellIs" dxfId="223" priority="13" stopIfTrue="1" operator="equal">
      <formula>"已过期"</formula>
    </cfRule>
  </conditionalFormatting>
  <conditionalFormatting sqref="E15">
    <cfRule type="cellIs" dxfId="222" priority="12" stopIfTrue="1" operator="equal">
      <formula>"已过期"</formula>
    </cfRule>
  </conditionalFormatting>
  <conditionalFormatting sqref="D15">
    <cfRule type="cellIs" dxfId="221" priority="11" stopIfTrue="1" operator="equal">
      <formula>"已过期"</formula>
    </cfRule>
  </conditionalFormatting>
  <conditionalFormatting sqref="F17">
    <cfRule type="cellIs" dxfId="220" priority="10" stopIfTrue="1" operator="lessThan">
      <formula>$B$2</formula>
    </cfRule>
  </conditionalFormatting>
  <conditionalFormatting sqref="E17">
    <cfRule type="cellIs" dxfId="219" priority="9" stopIfTrue="1" operator="equal">
      <formula>"已过期"</formula>
    </cfRule>
  </conditionalFormatting>
  <conditionalFormatting sqref="F14">
    <cfRule type="cellIs" dxfId="218" priority="8" stopIfTrue="1" operator="lessThan">
      <formula>$B$2</formula>
    </cfRule>
  </conditionalFormatting>
  <conditionalFormatting sqref="C18">
    <cfRule type="expression" dxfId="217" priority="6">
      <formula>AND($C18-TODAY()&lt;30,TODAY()&lt;$C18)</formula>
    </cfRule>
  </conditionalFormatting>
  <conditionalFormatting sqref="C18">
    <cfRule type="cellIs" dxfId="216" priority="7" stopIfTrue="1" operator="lessThan">
      <formula>$B$2</formula>
    </cfRule>
  </conditionalFormatting>
  <conditionalFormatting sqref="C18">
    <cfRule type="expression" dxfId="215" priority="4">
      <formula>AND($C18-TODAY()&lt;30,TODAY()&lt;$C18)</formula>
    </cfRule>
  </conditionalFormatting>
  <conditionalFormatting sqref="C18">
    <cfRule type="cellIs" dxfId="214" priority="5" stopIfTrue="1" operator="lessThan">
      <formula>$B$2</formula>
    </cfRule>
  </conditionalFormatting>
  <conditionalFormatting sqref="B18">
    <cfRule type="cellIs" dxfId="213" priority="3" stopIfTrue="1" operator="equal">
      <formula>"已过期"</formula>
    </cfRule>
  </conditionalFormatting>
  <conditionalFormatting sqref="C28">
    <cfRule type="expression" dxfId="212" priority="1">
      <formula>AND($C28-TODAY()&lt;30,TODAY()&lt;$C28)</formula>
    </cfRule>
  </conditionalFormatting>
  <conditionalFormatting sqref="C28">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148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按楼清单</vt:lpstr>
      <vt:lpstr>结果表汇总</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土地比较法-住宅、综合</vt:lpstr>
      <vt:lpstr>成本法</vt:lpstr>
      <vt:lpstr>比较法-商业</vt:lpstr>
      <vt:lpstr>典型户型修正</vt:lpstr>
      <vt:lpstr>收益法商租</vt:lpstr>
      <vt:lpstr>收益法商自</vt:lpstr>
      <vt:lpstr>收益法1号楼</vt:lpstr>
      <vt:lpstr>收益法2号楼</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土地案例</vt:lpstr>
      <vt:lpstr>成本法（废）</vt:lpstr>
      <vt:lpstr>区片价</vt:lpstr>
      <vt:lpstr>因素修正幅度</vt:lpstr>
      <vt:lpstr>存贷款利率</vt:lpstr>
      <vt:lpstr>区片价（范围）</vt:lpstr>
      <vt:lpstr>估价师及机构信息!Print_Area</vt:lpstr>
      <vt:lpstr>'收益法 (元)'!Print_Area</vt:lpstr>
      <vt:lpstr>收益法1号楼!Print_Area</vt:lpstr>
      <vt:lpstr>收益法2号楼!Print_Area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2020-06-05T06:04:37Z</dcterms:modified>
</cp:coreProperties>
</file>