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F:\2024-1-0935通投-保租房\"/>
    </mc:Choice>
  </mc:AlternateContent>
  <xr:revisionPtr revIDLastSave="0" documentId="13_ncr:1_{B8BC2C23-3FE2-4240-8899-50004B3E5AAD}" xr6:coauthVersionLast="47" xr6:coauthVersionMax="47" xr10:uidLastSave="{00000000-0000-0000-0000-000000000000}"/>
  <bookViews>
    <workbookView xWindow="-120" yWindow="-120" windowWidth="38640" windowHeight="21240" tabRatio="899" firstSheet="9"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state="hidden" r:id="rId14"/>
    <sheet name="数据-取费表" sheetId="1" state="hidden"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面积及结果" sheetId="80" r:id="rId28"/>
    <sheet name="案例" sheetId="81"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P54" i="80"/>
  <c r="E10" i="74" s="1"/>
  <c r="K54" i="80"/>
  <c r="Q54" i="80"/>
  <c r="Q34" i="80"/>
  <c r="Q35" i="80"/>
  <c r="Q36" i="80"/>
  <c r="Q37" i="80"/>
  <c r="Q38" i="80"/>
  <c r="Q39" i="80"/>
  <c r="Q40" i="80"/>
  <c r="Q41" i="80"/>
  <c r="Q42" i="80"/>
  <c r="Q43" i="80"/>
  <c r="Q44" i="80"/>
  <c r="Q45" i="80"/>
  <c r="Q46" i="80"/>
  <c r="Q47" i="80"/>
  <c r="Q48" i="80"/>
  <c r="Q49" i="80"/>
  <c r="Q50" i="80"/>
  <c r="Q51" i="80"/>
  <c r="Q33" i="80"/>
  <c r="B14" i="74"/>
  <c r="U35" i="80" l="1"/>
  <c r="V35" i="80" s="1"/>
  <c r="W35" i="80" s="1"/>
  <c r="X35" i="80" s="1"/>
  <c r="Y35" i="80" s="1"/>
  <c r="Y33" i="80"/>
  <c r="X33" i="80"/>
  <c r="W33" i="80"/>
  <c r="V33" i="80"/>
  <c r="U33" i="80"/>
  <c r="T33" i="80"/>
  <c r="R26" i="80"/>
  <c r="S26" i="80" s="1"/>
  <c r="T26" i="80" s="1"/>
  <c r="U26" i="80" s="1"/>
  <c r="V26" i="80" s="1"/>
  <c r="V24" i="80"/>
  <c r="U24" i="80"/>
  <c r="T24" i="80"/>
  <c r="S24" i="80"/>
  <c r="R24" i="80"/>
  <c r="Q24" i="80"/>
  <c r="E104" i="33"/>
  <c r="F104" i="33"/>
  <c r="G104" i="33" s="1"/>
  <c r="H104" i="33" s="1"/>
  <c r="D104" i="33"/>
  <c r="I47" i="33"/>
  <c r="G47" i="33"/>
  <c r="E47" i="33"/>
  <c r="I33" i="33"/>
  <c r="G33" i="33"/>
  <c r="E33" i="33"/>
  <c r="I5" i="33"/>
  <c r="G5" i="33"/>
  <c r="E5" i="33"/>
  <c r="O10" i="81"/>
  <c r="O9" i="81"/>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T34" i="79"/>
  <c r="W34" i="79" s="1"/>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V80" i="71"/>
  <c r="E80" i="71"/>
  <c r="U80" i="71" s="1"/>
  <c r="C80" i="71"/>
  <c r="B80" i="71"/>
  <c r="S80" i="71" s="1"/>
  <c r="Q79" i="71"/>
  <c r="P79" i="71"/>
  <c r="O79" i="71"/>
  <c r="N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AA35" i="71" s="1"/>
  <c r="O36" i="71"/>
  <c r="N36" i="71"/>
  <c r="X36" i="71" s="1"/>
  <c r="Q35" i="71"/>
  <c r="AB35" i="71"/>
  <c r="P35" i="71"/>
  <c r="O35" i="71"/>
  <c r="N35" i="71"/>
  <c r="Q34" i="71"/>
  <c r="AB34" i="71" s="1"/>
  <c r="P34" i="71"/>
  <c r="O34" i="71"/>
  <c r="N34" i="71"/>
  <c r="Q33" i="71"/>
  <c r="P33" i="71"/>
  <c r="E34" i="71" s="1"/>
  <c r="E35"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X25" i="71" s="1"/>
  <c r="D29" i="71"/>
  <c r="O28" i="71"/>
  <c r="N28" i="71"/>
  <c r="B28" i="71" s="1"/>
  <c r="B30" i="71"/>
  <c r="B31" i="71" s="1"/>
  <c r="B32" i="71" s="1"/>
  <c r="S32" i="71" s="1"/>
  <c r="B34" i="71"/>
  <c r="B35" i="71" s="1"/>
  <c r="B36" i="71" s="1"/>
  <c r="S36" i="71" s="1"/>
  <c r="B39" i="71"/>
  <c r="B40" i="71" s="1"/>
  <c r="S40" i="71" s="1"/>
  <c r="E38" i="71"/>
  <c r="E39" i="71" s="1"/>
  <c r="E40" i="71"/>
  <c r="U40" i="71" s="1"/>
  <c r="N68" i="71"/>
  <c r="E36" i="71"/>
  <c r="U36" i="71" s="1"/>
  <c r="C30" i="71"/>
  <c r="X31" i="71"/>
  <c r="X34" i="71"/>
  <c r="C38" i="71"/>
  <c r="F51" i="71"/>
  <c r="F52" i="71" s="1"/>
  <c r="V52" i="71" s="1"/>
  <c r="D30" i="71"/>
  <c r="D47" i="71"/>
  <c r="P28" i="71"/>
  <c r="E60" i="71"/>
  <c r="U60" i="71" s="1"/>
  <c r="U68" i="71"/>
  <c r="E67" i="71"/>
  <c r="Q28" i="71"/>
  <c r="D54" i="71"/>
  <c r="C59" i="71"/>
  <c r="D58" i="71"/>
  <c r="D62" i="71"/>
  <c r="B66" i="71"/>
  <c r="N65" i="71" s="1"/>
  <c r="Q67" i="71"/>
  <c r="T68" i="71"/>
  <c r="D68" i="71"/>
  <c r="Q68" i="71"/>
  <c r="E71" i="71"/>
  <c r="E70" i="71" s="1"/>
  <c r="D76" i="71"/>
  <c r="E79" i="71"/>
  <c r="E78" i="71" s="1"/>
  <c r="D80" i="71"/>
  <c r="C87" i="71"/>
  <c r="C86" i="71" s="1"/>
  <c r="D86" i="71" s="1"/>
  <c r="F28" i="71"/>
  <c r="F27" i="71" s="1"/>
  <c r="F26" i="71"/>
  <c r="N66" i="71"/>
  <c r="C60" i="71"/>
  <c r="D60" i="71" s="1"/>
  <c r="D59" i="71"/>
  <c r="D55"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H36" i="33" s="1"/>
  <c r="U36"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J8" i="34"/>
  <c r="AC8" i="34" s="1"/>
  <c r="H8" i="34"/>
  <c r="U8" i="34" s="1"/>
  <c r="F8" i="34"/>
  <c r="D121" i="33"/>
  <c r="E121" i="33"/>
  <c r="F109" i="33"/>
  <c r="E109" i="33"/>
  <c r="D109" i="33"/>
  <c r="C109" i="33"/>
  <c r="D91" i="33"/>
  <c r="E91" i="33"/>
  <c r="B88" i="33"/>
  <c r="F26" i="33" s="1"/>
  <c r="J26" i="33"/>
  <c r="C23" i="33"/>
  <c r="C19" i="33"/>
  <c r="C17" i="33"/>
  <c r="C15" i="33"/>
  <c r="C15" i="21"/>
  <c r="D125" i="33"/>
  <c r="D123" i="33"/>
  <c r="E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17" i="33" s="1"/>
  <c r="S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c r="Q43" i="33"/>
  <c r="Z43" i="33" s="1"/>
  <c r="Q42" i="33"/>
  <c r="Z42" i="33"/>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c r="B92" i="21"/>
  <c r="J28" i="21" s="1"/>
  <c r="B90" i="21"/>
  <c r="J27" i="21"/>
  <c r="W27" i="21"/>
  <c r="B74" i="21"/>
  <c r="J14" i="21" s="1"/>
  <c r="W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S40" i="33"/>
  <c r="W39" i="33"/>
  <c r="S27" i="35"/>
  <c r="F11" i="40"/>
  <c r="AA11" i="40" s="1"/>
  <c r="H11" i="40"/>
  <c r="AB11" i="40"/>
  <c r="W8" i="40"/>
  <c r="AA9" i="40"/>
  <c r="S34" i="40"/>
  <c r="U38"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AC11" i="40" s="1"/>
  <c r="AB8" i="39"/>
  <c r="AB12" i="35"/>
  <c r="AB12" i="36"/>
  <c r="W32" i="40"/>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E113" i="33"/>
  <c r="F32" i="33"/>
  <c r="S32" i="33" s="1"/>
  <c r="J19" i="33"/>
  <c r="AC19" i="33" s="1"/>
  <c r="F11" i="33"/>
  <c r="AA11" i="33" s="1"/>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F14" i="21"/>
  <c r="S14" i="21" s="1"/>
  <c r="H28" i="21"/>
  <c r="AB28" i="21" s="1"/>
  <c r="F28" i="21"/>
  <c r="AA28" i="21" s="1"/>
  <c r="H30" i="21"/>
  <c r="AB30" i="21" s="1"/>
  <c r="U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AC12" i="40"/>
  <c r="W12" i="40"/>
  <c r="H14" i="33"/>
  <c r="U14" i="33" s="1"/>
  <c r="F14" i="33"/>
  <c r="S14" i="33" s="1"/>
  <c r="J14" i="33"/>
  <c r="H30" i="33"/>
  <c r="U30" i="33" s="1"/>
  <c r="AB30" i="33"/>
  <c r="F30" i="33"/>
  <c r="J30" i="33"/>
  <c r="H44" i="33"/>
  <c r="J44" i="33"/>
  <c r="F44" i="33"/>
  <c r="S44" i="33" s="1"/>
  <c r="J46" i="33"/>
  <c r="AC46" i="33"/>
  <c r="F46" i="33"/>
  <c r="AA46" i="33" s="1"/>
  <c r="H46" i="33"/>
  <c r="AB46" i="33"/>
  <c r="H13" i="34"/>
  <c r="U13" i="34" s="1"/>
  <c r="J13" i="34"/>
  <c r="W13" i="34" s="1"/>
  <c r="F13" i="34"/>
  <c r="AA13" i="34" s="1"/>
  <c r="J29" i="34"/>
  <c r="F29" i="34"/>
  <c r="S29" i="34" s="1"/>
  <c r="H29" i="34"/>
  <c r="AB29" i="34" s="1"/>
  <c r="J31" i="34"/>
  <c r="H31" i="34"/>
  <c r="F31" i="34"/>
  <c r="S31" i="34"/>
  <c r="H45" i="34"/>
  <c r="U45" i="34" s="1"/>
  <c r="J45" i="34"/>
  <c r="W45" i="34"/>
  <c r="F45" i="34"/>
  <c r="S45" i="34" s="1"/>
  <c r="H47" i="34"/>
  <c r="U47" i="34" s="1"/>
  <c r="F47" i="34"/>
  <c r="S47" i="34" s="1"/>
  <c r="J47" i="34"/>
  <c r="F13" i="35"/>
  <c r="J13" i="35"/>
  <c r="AC13" i="35"/>
  <c r="H13" i="35"/>
  <c r="U13" i="35" s="1"/>
  <c r="J25" i="35"/>
  <c r="W25" i="35"/>
  <c r="F25" i="35"/>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AA12" i="40" s="1"/>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S11" i="36"/>
  <c r="S45" i="33"/>
  <c r="AB45" i="33"/>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AZ554" i="3" s="1"/>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AZ500" i="3" s="1"/>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c r="H31" i="40"/>
  <c r="U31" i="40" s="1"/>
  <c r="F32" i="40"/>
  <c r="S32" i="40"/>
  <c r="H32" i="40"/>
  <c r="AB32" i="40" s="1"/>
  <c r="J36" i="40"/>
  <c r="W36" i="40" s="1"/>
  <c r="H19" i="37"/>
  <c r="AB19" i="37" s="1"/>
  <c r="J43" i="33"/>
  <c r="AC43" i="33" s="1"/>
  <c r="S28" i="31"/>
  <c r="S27" i="31"/>
  <c r="S26" i="31"/>
  <c r="U14" i="40"/>
  <c r="W23" i="35"/>
  <c r="U26" i="37"/>
  <c r="AA13" i="33"/>
  <c r="AC31" i="33"/>
  <c r="AC45"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G4" i="4"/>
  <c r="I4" i="4"/>
  <c r="A2" i="9"/>
  <c r="F61" i="43"/>
  <c r="H64" i="43" s="1"/>
  <c r="AZ497" i="3"/>
  <c r="AZ514" i="3"/>
  <c r="AZ522" i="3"/>
  <c r="AZ530" i="3"/>
  <c r="G546" i="3"/>
  <c r="G524" i="3"/>
  <c r="G303" i="3"/>
  <c r="BL304" i="3"/>
  <c r="G305" i="3"/>
  <c r="BL306" i="3"/>
  <c r="AZ306" i="3" s="1"/>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BL370" i="3"/>
  <c r="AZ370" i="3" s="1"/>
  <c r="G371" i="3"/>
  <c r="BA373" i="3"/>
  <c r="BL374" i="3"/>
  <c r="G375" i="3"/>
  <c r="BA377" i="3"/>
  <c r="AZ377" i="3"/>
  <c r="AZ229" i="3"/>
  <c r="AZ233" i="3"/>
  <c r="AZ249" i="3"/>
  <c r="BA379" i="3"/>
  <c r="AZ379" i="3" s="1"/>
  <c r="BL380" i="3"/>
  <c r="G381" i="3"/>
  <c r="BA383" i="3"/>
  <c r="AZ383" i="3" s="1"/>
  <c r="BL384" i="3"/>
  <c r="G385" i="3"/>
  <c r="BA387" i="3"/>
  <c r="AZ387" i="3" s="1"/>
  <c r="BL388" i="3"/>
  <c r="G389" i="3"/>
  <c r="BA391" i="3"/>
  <c r="BL392" i="3"/>
  <c r="G393" i="3"/>
  <c r="AZ275" i="3"/>
  <c r="BO5" i="3"/>
  <c r="BM5" i="3"/>
  <c r="F29" i="6" s="1"/>
  <c r="BJ5" i="3"/>
  <c r="BH5" i="3"/>
  <c r="BF5" i="3"/>
  <c r="BD5" i="3"/>
  <c r="AZ325" i="3"/>
  <c r="AZ506" i="3"/>
  <c r="AZ496" i="3"/>
  <c r="G548" i="3"/>
  <c r="G538" i="3"/>
  <c r="G520" i="3"/>
  <c r="G502" i="3"/>
  <c r="BS5" i="3"/>
  <c r="BP5" i="3"/>
  <c r="BN5" i="3"/>
  <c r="G29" i="6" s="1"/>
  <c r="BK5" i="3"/>
  <c r="BI5" i="3"/>
  <c r="BG5" i="3"/>
  <c r="BE5" i="3"/>
  <c r="BC5" i="3"/>
  <c r="G17" i="3"/>
  <c r="BA17" i="3"/>
  <c r="BT5" i="3"/>
  <c r="AZ356" i="3"/>
  <c r="BA15" i="3"/>
  <c r="BB5" i="3"/>
  <c r="BR5" i="3"/>
  <c r="AZ499" i="3"/>
  <c r="G509" i="3"/>
  <c r="BL493" i="3"/>
  <c r="U36" i="40"/>
  <c r="F83" i="43"/>
  <c r="H85" i="43" s="1"/>
  <c r="F50" i="43"/>
  <c r="H54" i="43" s="1"/>
  <c r="F72" i="43"/>
  <c r="H75" i="43" s="1"/>
  <c r="U17" i="39"/>
  <c r="S14" i="35"/>
  <c r="U43" i="21"/>
  <c r="U35" i="21"/>
  <c r="AC35" i="21"/>
  <c r="G8" i="1"/>
  <c r="G10" i="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H27" i="40"/>
  <c r="AB27" i="40" s="1"/>
  <c r="J27" i="40"/>
  <c r="AC27" i="40"/>
  <c r="F27" i="40"/>
  <c r="AA27" i="40" s="1"/>
  <c r="J30" i="40"/>
  <c r="AC30" i="40"/>
  <c r="F30" i="40"/>
  <c r="AA30" i="40" s="1"/>
  <c r="AC21" i="40"/>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AC38" i="39"/>
  <c r="F39" i="39"/>
  <c r="S39" i="39" s="1"/>
  <c r="J39" i="39"/>
  <c r="AC39" i="39" s="1"/>
  <c r="E96" i="39"/>
  <c r="F96" i="39" s="1"/>
  <c r="G96" i="39" s="1"/>
  <c r="AZ386" i="3"/>
  <c r="C40" i="11"/>
  <c r="AZ227" i="3"/>
  <c r="AZ235" i="3"/>
  <c r="AZ251" i="3"/>
  <c r="AZ69"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BL14" i="3"/>
  <c r="AC13" i="34"/>
  <c r="AA47" i="34"/>
  <c r="W28" i="37"/>
  <c r="S19" i="39"/>
  <c r="F12" i="33"/>
  <c r="H12" i="39"/>
  <c r="U12" i="39" s="1"/>
  <c r="F39" i="40"/>
  <c r="BA14" i="3"/>
  <c r="AZ367" i="3"/>
  <c r="AZ189"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W14" i="36"/>
  <c r="AB14" i="36"/>
  <c r="U22" i="36"/>
  <c r="S16" i="36"/>
  <c r="AA25" i="36"/>
  <c r="S24" i="36"/>
  <c r="U24" i="36"/>
  <c r="U23" i="36"/>
  <c r="AB20" i="36"/>
  <c r="U16" i="36"/>
  <c r="S14" i="36"/>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S27" i="33"/>
  <c r="AA29" i="33"/>
  <c r="AB29" i="33"/>
  <c r="W38" i="33"/>
  <c r="H41" i="33"/>
  <c r="F121" i="33"/>
  <c r="G121" i="33" s="1"/>
  <c r="H121" i="33" s="1"/>
  <c r="I121" i="33" s="1"/>
  <c r="J121" i="33" s="1"/>
  <c r="K121" i="33" s="1"/>
  <c r="L121" i="33" s="1"/>
  <c r="M121" i="33" s="1"/>
  <c r="G111" i="33"/>
  <c r="J36" i="33" s="1"/>
  <c r="W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AB27" i="33" s="1"/>
  <c r="F87" i="33"/>
  <c r="H25" i="33"/>
  <c r="F25" i="33"/>
  <c r="J23" i="33"/>
  <c r="AC23" i="33" s="1"/>
  <c r="F85" i="33"/>
  <c r="H23" i="33"/>
  <c r="AB23" i="33" s="1"/>
  <c r="F81" i="33"/>
  <c r="F19" i="33"/>
  <c r="S19" i="33" s="1"/>
  <c r="F79" i="33"/>
  <c r="G79" i="33" s="1"/>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37" i="33"/>
  <c r="W9"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G91" i="33"/>
  <c r="H91" i="33" s="1"/>
  <c r="I91" i="33" s="1"/>
  <c r="J91" i="33" s="1"/>
  <c r="K91" i="33" s="1"/>
  <c r="L91" i="33" s="1"/>
  <c r="M91" i="33" s="1"/>
  <c r="J27" i="33"/>
  <c r="AC27" i="33" s="1"/>
  <c r="U25" i="33"/>
  <c r="AB25" i="33"/>
  <c r="S25" i="33"/>
  <c r="AA25" i="33"/>
  <c r="G87" i="33"/>
  <c r="H87" i="33" s="1"/>
  <c r="I87" i="33" s="1"/>
  <c r="J87" i="33" s="1"/>
  <c r="K87" i="33" s="1"/>
  <c r="L87" i="33" s="1"/>
  <c r="M87" i="33" s="1"/>
  <c r="J25" i="33"/>
  <c r="F23" i="33"/>
  <c r="G85" i="33"/>
  <c r="H19" i="33"/>
  <c r="AB19" i="33" s="1"/>
  <c r="G81" i="33"/>
  <c r="H17" i="33"/>
  <c r="U17" i="33" s="1"/>
  <c r="S37" i="21"/>
  <c r="AA23" i="21"/>
  <c r="AB15" i="21"/>
  <c r="J23" i="21"/>
  <c r="F85" i="21"/>
  <c r="G85" i="21" s="1"/>
  <c r="H23" i="21"/>
  <c r="U23" i="21" s="1"/>
  <c r="D6" i="52"/>
  <c r="AP7" i="1"/>
  <c r="AB45" i="21"/>
  <c r="U9" i="21"/>
  <c r="AA32" i="21"/>
  <c r="S32" i="21"/>
  <c r="AB32" i="21"/>
  <c r="U32" i="21"/>
  <c r="A18" i="62"/>
  <c r="B64" i="72" s="1"/>
  <c r="U32" i="39"/>
  <c r="AC32" i="39"/>
  <c r="W32" i="39"/>
  <c r="J63" i="37"/>
  <c r="K63" i="37" s="1"/>
  <c r="L63" i="37" s="1"/>
  <c r="M63" i="37" s="1"/>
  <c r="J11" i="37"/>
  <c r="AC11" i="37" s="1"/>
  <c r="J11" i="34"/>
  <c r="W11" i="34" s="1"/>
  <c r="W25" i="33"/>
  <c r="AC25" i="33"/>
  <c r="AC23" i="21"/>
  <c r="W23" i="21"/>
  <c r="H109" i="9"/>
  <c r="M49" i="9" s="1"/>
  <c r="H112" i="9"/>
  <c r="D21" i="53"/>
  <c r="B39" i="72" s="1"/>
  <c r="H111" i="9"/>
  <c r="D126" i="9" s="1"/>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6" i="15"/>
  <c r="E2" i="68"/>
  <c r="E2" i="69"/>
  <c r="M8" i="67"/>
  <c r="F38" i="15"/>
  <c r="F26" i="15"/>
  <c r="AO13" i="1"/>
  <c r="C20" i="9"/>
  <c r="D34" i="9"/>
  <c r="B9" i="76"/>
  <c r="E11" i="76"/>
  <c r="E13" i="76"/>
  <c r="F4" i="73"/>
  <c r="F9" i="15"/>
  <c r="M23" i="15"/>
  <c r="F42" i="67"/>
  <c r="B13" i="76"/>
  <c r="M28" i="67"/>
  <c r="F16" i="67"/>
  <c r="F9" i="67"/>
  <c r="F43" i="15"/>
  <c r="F7" i="15"/>
  <c r="B8" i="76"/>
  <c r="M22" i="67"/>
  <c r="F3" i="73"/>
  <c r="D35" i="9"/>
  <c r="M26" i="15"/>
  <c r="F37" i="15"/>
  <c r="C19" i="9"/>
  <c r="B12" i="76"/>
  <c r="F16" i="15"/>
  <c r="F8" i="15"/>
  <c r="M22" i="15"/>
  <c r="F8" i="67"/>
  <c r="F26" i="67"/>
  <c r="F6" i="73"/>
  <c r="L47" i="15"/>
  <c r="M26" i="67"/>
  <c r="F43" i="67"/>
  <c r="F6" i="67"/>
  <c r="L48" i="67"/>
  <c r="F42" i="15"/>
  <c r="E12" i="76"/>
  <c r="F38" i="67"/>
  <c r="E7" i="76"/>
  <c r="E9" i="76"/>
  <c r="M9" i="15"/>
  <c r="M23" i="67"/>
  <c r="L48" i="15"/>
  <c r="F37" i="67"/>
  <c r="M8" i="15"/>
  <c r="F20" i="31"/>
  <c r="L47" i="67"/>
  <c r="M29" i="15"/>
  <c r="E8" i="76"/>
  <c r="D19" i="9"/>
  <c r="B11" i="76"/>
  <c r="F36" i="15"/>
  <c r="F40" i="67"/>
  <c r="J15" i="67"/>
  <c r="F40" i="15"/>
  <c r="B7" i="76"/>
  <c r="M6" i="15"/>
  <c r="D20" i="9"/>
  <c r="F6" i="15"/>
  <c r="E10" i="76"/>
  <c r="M24" i="67"/>
  <c r="M24" i="15"/>
  <c r="C76" i="67"/>
  <c r="F36" i="67"/>
  <c r="J15" i="15"/>
  <c r="F13" i="15"/>
  <c r="F7" i="73"/>
  <c r="F5" i="73"/>
  <c r="B10" i="76"/>
  <c r="M28" i="15"/>
  <c r="M6" i="67"/>
  <c r="F13" i="67"/>
  <c r="M9" i="67"/>
  <c r="M29" i="67"/>
  <c r="F7" i="67"/>
  <c r="J15" i="33" l="1"/>
  <c r="W15" i="33" s="1"/>
  <c r="F15" i="33"/>
  <c r="AA15" i="33" s="1"/>
  <c r="H15" i="33"/>
  <c r="AB15" i="33" s="1"/>
  <c r="J17" i="33"/>
  <c r="W17" i="33" s="1"/>
  <c r="W8" i="33"/>
  <c r="S28" i="33"/>
  <c r="F123" i="33"/>
  <c r="G123" i="33" s="1"/>
  <c r="H123" i="33" s="1"/>
  <c r="I123" i="33" s="1"/>
  <c r="J123" i="33" s="1"/>
  <c r="K123" i="33" s="1"/>
  <c r="L123" i="33" s="1"/>
  <c r="M123" i="33" s="1"/>
  <c r="F42" i="33"/>
  <c r="AA42" i="33" s="1"/>
  <c r="J42" i="33"/>
  <c r="AC42" i="33" s="1"/>
  <c r="H42" i="33"/>
  <c r="AB42" i="33" s="1"/>
  <c r="S42" i="33"/>
  <c r="U27" i="33"/>
  <c r="F36" i="33"/>
  <c r="AA36" i="33" s="1"/>
  <c r="AB36" i="33"/>
  <c r="U23" i="33"/>
  <c r="U19" i="33"/>
  <c r="AA19" i="33"/>
  <c r="W19" i="33"/>
  <c r="U15" i="33"/>
  <c r="U32" i="33"/>
  <c r="AA32" i="33"/>
  <c r="W32" i="33"/>
  <c r="AC28" i="33"/>
  <c r="AB28" i="33"/>
  <c r="S33" i="33"/>
  <c r="W33" i="33"/>
  <c r="U33" i="33"/>
  <c r="S11" i="33"/>
  <c r="AC11" i="33"/>
  <c r="U11" i="33"/>
  <c r="J1" i="73"/>
  <c r="AB23" i="21"/>
  <c r="W27" i="33"/>
  <c r="W23" i="37"/>
  <c r="W9" i="21"/>
  <c r="S13" i="21"/>
  <c r="AA20" i="35"/>
  <c r="S20" i="35"/>
  <c r="AZ391" i="3"/>
  <c r="AZ362" i="3"/>
  <c r="AZ311" i="3"/>
  <c r="S22" i="36"/>
  <c r="AA22" i="36"/>
  <c r="W44" i="33"/>
  <c r="AC44" i="33"/>
  <c r="W28" i="21"/>
  <c r="AC28" i="21"/>
  <c r="S26" i="33"/>
  <c r="AA26" i="33"/>
  <c r="AB12" i="39"/>
  <c r="S35" i="33"/>
  <c r="AA35" i="33"/>
  <c r="S27" i="40"/>
  <c r="U27" i="40"/>
  <c r="AZ336" i="3"/>
  <c r="S11" i="39"/>
  <c r="AA11" i="39"/>
  <c r="AZ587" i="3"/>
  <c r="AC47" i="34"/>
  <c r="W47" i="34"/>
  <c r="AZ390" i="3"/>
  <c r="AZ351" i="3"/>
  <c r="AC5" i="3"/>
  <c r="S25" i="35"/>
  <c r="AA25" i="35"/>
  <c r="AA17" i="33"/>
  <c r="AZ14" i="3"/>
  <c r="W39" i="34"/>
  <c r="AC39" i="34"/>
  <c r="S34" i="33"/>
  <c r="AA34" i="33"/>
  <c r="AZ493" i="3"/>
  <c r="AZ529" i="3"/>
  <c r="AZ537" i="3"/>
  <c r="AZ565" i="3"/>
  <c r="W31" i="34"/>
  <c r="AC31" i="34"/>
  <c r="AZ334" i="3"/>
  <c r="AZ347" i="3"/>
  <c r="AZ324" i="3"/>
  <c r="W44" i="21"/>
  <c r="AZ523" i="3"/>
  <c r="AZ547" i="3"/>
  <c r="AZ571" i="3"/>
  <c r="AZ579" i="3"/>
  <c r="AZ516" i="3"/>
  <c r="AC11" i="35"/>
  <c r="F30" i="21"/>
  <c r="H14" i="21"/>
  <c r="S38" i="33"/>
  <c r="W11" i="40"/>
  <c r="F31" i="39"/>
  <c r="S38" i="39"/>
  <c r="AB39" i="40"/>
  <c r="H39" i="37"/>
  <c r="U35" i="33"/>
  <c r="H36" i="39"/>
  <c r="BL585" i="3"/>
  <c r="AZ585" i="3" s="1"/>
  <c r="B75" i="43"/>
  <c r="H9" i="33"/>
  <c r="F44" i="39"/>
  <c r="G551" i="3"/>
  <c r="BL550" i="3"/>
  <c r="G542" i="3"/>
  <c r="AZ513" i="3"/>
  <c r="AZ575" i="3"/>
  <c r="AZ528" i="3"/>
  <c r="AZ574" i="3"/>
  <c r="AZ502" i="3"/>
  <c r="U9" i="40"/>
  <c r="BL587" i="3"/>
  <c r="BL586" i="3"/>
  <c r="AZ586" i="3" s="1"/>
  <c r="H9" i="34"/>
  <c r="AZ451" i="3"/>
  <c r="AZ384" i="3"/>
  <c r="AZ357" i="3"/>
  <c r="AZ322" i="3"/>
  <c r="AZ313" i="3"/>
  <c r="AZ394" i="3"/>
  <c r="S14" i="40"/>
  <c r="AA25" i="21"/>
  <c r="AZ519" i="3"/>
  <c r="AZ531" i="3"/>
  <c r="AZ573" i="3"/>
  <c r="AZ583" i="3"/>
  <c r="AZ568" i="3"/>
  <c r="AZ576" i="3"/>
  <c r="AA14" i="34"/>
  <c r="G587" i="3"/>
  <c r="J9" i="34"/>
  <c r="J12" i="34"/>
  <c r="H12" i="34"/>
  <c r="H25" i="37"/>
  <c r="F25" i="37"/>
  <c r="AZ480"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A457" i="3"/>
  <c r="AZ457" i="3" s="1"/>
  <c r="G460" i="3"/>
  <c r="BL460" i="3"/>
  <c r="BL461" i="3"/>
  <c r="AZ461" i="3" s="1"/>
  <c r="BA464" i="3"/>
  <c r="AZ464" i="3" s="1"/>
  <c r="BA470" i="3"/>
  <c r="BA471" i="3"/>
  <c r="BL476" i="3"/>
  <c r="AZ476" i="3" s="1"/>
  <c r="BL477" i="3"/>
  <c r="BL478" i="3"/>
  <c r="G479" i="3"/>
  <c r="G480" i="3"/>
  <c r="BL480" i="3"/>
  <c r="G482" i="3"/>
  <c r="BA483" i="3"/>
  <c r="BL483" i="3"/>
  <c r="AZ483" i="3" s="1"/>
  <c r="BL488" i="3"/>
  <c r="G574"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BL441" i="3"/>
  <c r="BL442" i="3"/>
  <c r="BL444" i="3"/>
  <c r="AZ444" i="3" s="1"/>
  <c r="BL448" i="3"/>
  <c r="AZ448" i="3" s="1"/>
  <c r="BA454" i="3"/>
  <c r="AZ454" i="3" s="1"/>
  <c r="BL456" i="3"/>
  <c r="AZ460" i="3"/>
  <c r="BL465" i="3"/>
  <c r="BL473" i="3"/>
  <c r="AZ473" i="3" s="1"/>
  <c r="BL474" i="3"/>
  <c r="BA482" i="3"/>
  <c r="BA484" i="3"/>
  <c r="AZ484" i="3" s="1"/>
  <c r="BL487" i="3"/>
  <c r="AZ487" i="3" s="1"/>
  <c r="BL490" i="3"/>
  <c r="BL308" i="3"/>
  <c r="AZ308" i="3" s="1"/>
  <c r="BL317" i="3"/>
  <c r="BA349" i="3"/>
  <c r="AZ349" i="3" s="1"/>
  <c r="J12" i="35"/>
  <c r="BA551" i="3"/>
  <c r="AZ551" i="3" s="1"/>
  <c r="BA550" i="3"/>
  <c r="AZ550" i="3" s="1"/>
  <c r="BL548" i="3"/>
  <c r="AZ548" i="3" s="1"/>
  <c r="BL16" i="3"/>
  <c r="AZ16" i="3" s="1"/>
  <c r="BA401" i="3"/>
  <c r="AZ401" i="3" s="1"/>
  <c r="BA403" i="3"/>
  <c r="AZ403" i="3" s="1"/>
  <c r="BA404" i="3"/>
  <c r="AZ404" i="3" s="1"/>
  <c r="BA405" i="3"/>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A458" i="3"/>
  <c r="AZ458" i="3" s="1"/>
  <c r="BA459" i="3"/>
  <c r="AZ459" i="3" s="1"/>
  <c r="G463" i="3"/>
  <c r="BL463" i="3"/>
  <c r="G465" i="3"/>
  <c r="BL466" i="3"/>
  <c r="G468" i="3"/>
  <c r="G469" i="3"/>
  <c r="BL470" i="3"/>
  <c r="G485" i="3"/>
  <c r="G486" i="3"/>
  <c r="BA392" i="3"/>
  <c r="AZ392" i="3" s="1"/>
  <c r="AZ462" i="3"/>
  <c r="AZ466"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L280" i="3"/>
  <c r="G282" i="3"/>
  <c r="BA284" i="3"/>
  <c r="BL298" i="3"/>
  <c r="BL299" i="3"/>
  <c r="G300" i="3"/>
  <c r="BA302" i="3"/>
  <c r="G115" i="3"/>
  <c r="BA117" i="3"/>
  <c r="BA130" i="3"/>
  <c r="AZ130" i="3" s="1"/>
  <c r="BL130" i="3"/>
  <c r="BA43" i="3"/>
  <c r="G78" i="3"/>
  <c r="G458" i="3"/>
  <c r="BL459" i="3"/>
  <c r="G461" i="3"/>
  <c r="G462" i="3"/>
  <c r="BA465" i="3"/>
  <c r="AZ465" i="3" s="1"/>
  <c r="BA467" i="3"/>
  <c r="BA468" i="3"/>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1" i="3"/>
  <c r="BA286" i="3"/>
  <c r="AZ286" i="3" s="1"/>
  <c r="BL287" i="3"/>
  <c r="BL290" i="3"/>
  <c r="BL291" i="3"/>
  <c r="AZ291" i="3" s="1"/>
  <c r="BL293" i="3"/>
  <c r="BL294" i="3"/>
  <c r="BA297" i="3"/>
  <c r="AZ297" i="3" s="1"/>
  <c r="BL297" i="3"/>
  <c r="BA132" i="3"/>
  <c r="AZ132"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G284" i="3"/>
  <c r="BL285" i="3"/>
  <c r="BA296" i="3"/>
  <c r="G302" i="3"/>
  <c r="BL113" i="3"/>
  <c r="BL115" i="3"/>
  <c r="AZ115" i="3" s="1"/>
  <c r="BA118" i="3"/>
  <c r="BL118" i="3"/>
  <c r="BA122" i="3"/>
  <c r="AZ122" i="3" s="1"/>
  <c r="BL125" i="3"/>
  <c r="AZ125" i="3" s="1"/>
  <c r="BL126" i="3"/>
  <c r="AZ126" i="3" s="1"/>
  <c r="G130" i="3"/>
  <c r="BL133" i="3"/>
  <c r="AZ133" i="3" s="1"/>
  <c r="G135" i="3"/>
  <c r="AZ64" i="3"/>
  <c r="BL74" i="3"/>
  <c r="AZ74" i="3" s="1"/>
  <c r="AC29" i="39"/>
  <c r="W29" i="39"/>
  <c r="D38" i="71"/>
  <c r="C39" i="71"/>
  <c r="B27" i="71"/>
  <c r="B26" i="71" s="1"/>
  <c r="S28" i="71"/>
  <c r="Y30" i="71"/>
  <c r="Z30" i="71" s="1"/>
  <c r="Y29" i="71"/>
  <c r="Z29" i="71" s="1"/>
  <c r="D50" i="71"/>
  <c r="C51" i="71"/>
  <c r="C64" i="71"/>
  <c r="D63" i="71"/>
  <c r="D67" i="71"/>
  <c r="C66" i="71"/>
  <c r="O67" i="71"/>
  <c r="T72" i="71"/>
  <c r="C71" i="71"/>
  <c r="D84" i="71"/>
  <c r="C83" i="71"/>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G55" i="3"/>
  <c r="BL56" i="3"/>
  <c r="BA58" i="3"/>
  <c r="AZ58" i="3" s="1"/>
  <c r="BL59" i="3"/>
  <c r="AZ59" i="3" s="1"/>
  <c r="BL60" i="3"/>
  <c r="BA61" i="3"/>
  <c r="AZ61" i="3" s="1"/>
  <c r="BA68" i="3"/>
  <c r="BA73" i="3"/>
  <c r="BA84" i="3"/>
  <c r="AZ84" i="3" s="1"/>
  <c r="G101" i="3"/>
  <c r="BA101" i="3"/>
  <c r="AZ101" i="3" s="1"/>
  <c r="G109" i="3"/>
  <c r="P27" i="6"/>
  <c r="C28" i="71"/>
  <c r="Y28" i="71"/>
  <c r="Z28" i="71" s="1"/>
  <c r="Y25" i="71"/>
  <c r="Z25" i="71" s="1"/>
  <c r="D34" i="71"/>
  <c r="C35" i="71"/>
  <c r="C44" i="71"/>
  <c r="D43" i="71"/>
  <c r="U76" i="71"/>
  <c r="E75" i="71"/>
  <c r="E74" i="71" s="1"/>
  <c r="Y26" i="71"/>
  <c r="Z26" i="71"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8" i="3"/>
  <c r="AZ88" i="3" s="1"/>
  <c r="BA91" i="3"/>
  <c r="AZ91" i="3" s="1"/>
  <c r="BL96" i="3"/>
  <c r="G98" i="3"/>
  <c r="G99" i="3"/>
  <c r="BA104" i="3"/>
  <c r="B13" i="1"/>
  <c r="E13" i="1" s="1"/>
  <c r="K13" i="1"/>
  <c r="M13" i="1" s="1"/>
  <c r="O13" i="1" s="1"/>
  <c r="P13" i="1" s="1"/>
  <c r="E28" i="71"/>
  <c r="AA27" i="71"/>
  <c r="AA28" i="71"/>
  <c r="Y27" i="71"/>
  <c r="Z27" i="71" s="1"/>
  <c r="AA34" i="71"/>
  <c r="Y35" i="71"/>
  <c r="Z35" i="71" s="1"/>
  <c r="D56" i="71"/>
  <c r="T56" i="71"/>
  <c r="T80" i="71"/>
  <c r="C79" i="71"/>
  <c r="BA280" i="3"/>
  <c r="AZ280" i="3" s="1"/>
  <c r="G283" i="3"/>
  <c r="BL283" i="3"/>
  <c r="AZ283" i="3" s="1"/>
  <c r="BL284" i="3"/>
  <c r="G285" i="3"/>
  <c r="G288" i="3"/>
  <c r="BL292" i="3"/>
  <c r="BA294" i="3"/>
  <c r="AZ294" i="3" s="1"/>
  <c r="BL295" i="3"/>
  <c r="BA298" i="3"/>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0" i="3"/>
  <c r="G85" i="3"/>
  <c r="BL85" i="3"/>
  <c r="BA86" i="3"/>
  <c r="AZ86" i="3" s="1"/>
  <c r="BA87" i="3"/>
  <c r="BA89" i="3"/>
  <c r="BL92" i="3"/>
  <c r="G95" i="3"/>
  <c r="G102" i="3"/>
  <c r="BA103" i="3"/>
  <c r="AZ103" i="3" s="1"/>
  <c r="G106" i="3"/>
  <c r="BL110" i="3"/>
  <c r="BL111" i="3"/>
  <c r="F40" i="68"/>
  <c r="C21" i="68"/>
  <c r="AA18" i="36"/>
  <c r="S18" i="36"/>
  <c r="AA3" i="71"/>
  <c r="D72" i="71"/>
  <c r="C31" i="71"/>
  <c r="F34" i="71"/>
  <c r="F35" i="71" s="1"/>
  <c r="F36" i="71" s="1"/>
  <c r="V36" i="71" s="1"/>
  <c r="AB33" i="71"/>
  <c r="AB32" i="71"/>
  <c r="AB27" i="71"/>
  <c r="X38" i="71"/>
  <c r="X26" i="71"/>
  <c r="G96" i="3"/>
  <c r="BL97" i="3"/>
  <c r="AZ97" i="3" s="1"/>
  <c r="BL101" i="3"/>
  <c r="BL102" i="3"/>
  <c r="G104" i="3"/>
  <c r="BL106" i="3"/>
  <c r="BA108" i="3"/>
  <c r="AZ108" i="3" s="1"/>
  <c r="BA110" i="3"/>
  <c r="AZ110" i="3" s="1"/>
  <c r="F3" i="35"/>
  <c r="S21" i="33"/>
  <c r="S21" i="37"/>
  <c r="AB25" i="71"/>
  <c r="X33" i="71"/>
  <c r="C5" i="68"/>
  <c r="P66" i="71"/>
  <c r="AB26" i="71"/>
  <c r="C75" i="71"/>
  <c r="O68" i="71"/>
  <c r="D46" i="71"/>
  <c r="X35" i="71"/>
  <c r="AA37" i="71"/>
  <c r="X28" i="71"/>
  <c r="X32" i="71"/>
  <c r="F38" i="71"/>
  <c r="F39" i="71" s="1"/>
  <c r="F40" i="71" s="1"/>
  <c r="V40" i="71" s="1"/>
  <c r="B79" i="71"/>
  <c r="B78" i="71" s="1"/>
  <c r="E23" i="71"/>
  <c r="E22" i="71" s="1"/>
  <c r="E21" i="71" s="1"/>
  <c r="E20" i="71" s="1"/>
  <c r="G79" i="3"/>
  <c r="BL81" i="3"/>
  <c r="BA82" i="3"/>
  <c r="AZ82" i="3" s="1"/>
  <c r="BL83" i="3"/>
  <c r="G86" i="3"/>
  <c r="G87" i="3"/>
  <c r="G88" i="3"/>
  <c r="BA90" i="3"/>
  <c r="BL94" i="3"/>
  <c r="AZ94" i="3" s="1"/>
  <c r="BA100" i="3"/>
  <c r="AZ100" i="3" s="1"/>
  <c r="BA102" i="3"/>
  <c r="BL105" i="3"/>
  <c r="AZ105" i="3" s="1"/>
  <c r="G107" i="3"/>
  <c r="BL107" i="3"/>
  <c r="BA111" i="3"/>
  <c r="AZ111" i="3" s="1"/>
  <c r="D87" i="71"/>
  <c r="AB28"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7" i="73"/>
  <c r="D4" i="73"/>
  <c r="D6" i="73"/>
  <c r="D5" i="73"/>
  <c r="D3" i="73"/>
  <c r="C16" i="67"/>
  <c r="C16" i="15"/>
  <c r="AC15" i="33" l="1"/>
  <c r="S15" i="33"/>
  <c r="AC17" i="33"/>
  <c r="U42" i="33"/>
  <c r="W42" i="33"/>
  <c r="S36" i="33"/>
  <c r="D44" i="71"/>
  <c r="T44" i="71"/>
  <c r="O65" i="71"/>
  <c r="D66" i="71"/>
  <c r="O66" i="71"/>
  <c r="C52" i="71"/>
  <c r="D51" i="71"/>
  <c r="AB12" i="34"/>
  <c r="U12" i="34"/>
  <c r="AB9" i="33"/>
  <c r="U9" i="33"/>
  <c r="AA31" i="39"/>
  <c r="S31" i="39"/>
  <c r="S30" i="21"/>
  <c r="AA30" i="21"/>
  <c r="C78" i="71"/>
  <c r="D78" i="71" s="1"/>
  <c r="D79" i="71"/>
  <c r="C36" i="71"/>
  <c r="D35" i="71"/>
  <c r="T28" i="71"/>
  <c r="D28" i="71"/>
  <c r="U28" i="71" s="1"/>
  <c r="C27" i="71"/>
  <c r="C70" i="71"/>
  <c r="D70" i="71" s="1"/>
  <c r="D71" i="71"/>
  <c r="AZ118" i="3"/>
  <c r="AZ271" i="3"/>
  <c r="AZ302" i="3"/>
  <c r="AZ284" i="3"/>
  <c r="AZ273" i="3"/>
  <c r="AZ422" i="3"/>
  <c r="AZ421" i="3"/>
  <c r="AZ414" i="3"/>
  <c r="AZ471" i="3"/>
  <c r="W12" i="34"/>
  <c r="AC12" i="34"/>
  <c r="AB39" i="37"/>
  <c r="U39" i="37"/>
  <c r="J7" i="36"/>
  <c r="AZ81" i="3"/>
  <c r="AZ114" i="3"/>
  <c r="AZ5" i="3" s="1"/>
  <c r="D31" i="71"/>
  <c r="C32" i="71"/>
  <c r="AZ71" i="3"/>
  <c r="AZ182" i="3"/>
  <c r="AZ137" i="3"/>
  <c r="C40" i="71"/>
  <c r="D39" i="71"/>
  <c r="AA25" i="37"/>
  <c r="S25" i="37"/>
  <c r="AC9" i="34"/>
  <c r="W9" i="34"/>
  <c r="J7" i="37"/>
  <c r="AC7" i="37" s="1"/>
  <c r="G5" i="3"/>
  <c r="B3" i="3" s="1"/>
  <c r="E536" i="3" s="1"/>
  <c r="AZ102" i="3"/>
  <c r="D75" i="71"/>
  <c r="C74" i="71"/>
  <c r="D74" i="71" s="1"/>
  <c r="AZ298" i="3"/>
  <c r="AZ66" i="3"/>
  <c r="AZ51" i="3"/>
  <c r="C82" i="71"/>
  <c r="D82" i="71" s="1"/>
  <c r="D83" i="71"/>
  <c r="AZ274" i="3"/>
  <c r="AZ277" i="3"/>
  <c r="AZ256" i="3"/>
  <c r="AZ405" i="3"/>
  <c r="W12" i="35"/>
  <c r="AC12" i="35"/>
  <c r="AZ425" i="3"/>
  <c r="U25" i="37"/>
  <c r="AB25" i="37"/>
  <c r="AB9" i="34"/>
  <c r="U9" i="34"/>
  <c r="AA44" i="39"/>
  <c r="S44" i="39"/>
  <c r="AB36" i="39"/>
  <c r="U36" i="39"/>
  <c r="U14" i="21"/>
  <c r="AB14" i="21"/>
  <c r="K1" i="73"/>
  <c r="E510" i="3"/>
  <c r="E539" i="3"/>
  <c r="E199" i="3"/>
  <c r="E286" i="3"/>
  <c r="R6" i="3"/>
  <c r="E502" i="3"/>
  <c r="E541" i="3"/>
  <c r="E430" i="3"/>
  <c r="I3" i="6"/>
  <c r="AP6" i="3"/>
  <c r="E435" i="3"/>
  <c r="E491" i="3"/>
  <c r="E56" i="3"/>
  <c r="E37" i="3"/>
  <c r="E192" i="3"/>
  <c r="E258" i="3"/>
  <c r="E363" i="3"/>
  <c r="E349" i="3"/>
  <c r="E76" i="3"/>
  <c r="E59" i="3"/>
  <c r="E425" i="3"/>
  <c r="E467" i="3"/>
  <c r="E103" i="3"/>
  <c r="E160" i="3"/>
  <c r="E300" i="3"/>
  <c r="E371" i="3"/>
  <c r="E23" i="3"/>
  <c r="E84" i="3"/>
  <c r="E144" i="3"/>
  <c r="E184" i="3"/>
  <c r="E381" i="3"/>
  <c r="E68" i="3"/>
  <c r="E264" i="3"/>
  <c r="E283" i="3"/>
  <c r="E21" i="3"/>
  <c r="E494" i="3"/>
  <c r="E332" i="3"/>
  <c r="E391"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AY6" i="3" l="1"/>
  <c r="E3" i="6"/>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AA7" i="36"/>
  <c r="R36" i="36" s="1"/>
  <c r="E36" i="36" s="1"/>
  <c r="AL6" i="3"/>
  <c r="E198" i="3"/>
  <c r="E309" i="3"/>
  <c r="E63" i="3"/>
  <c r="E233" i="3"/>
  <c r="E67" i="3"/>
  <c r="E310" i="3"/>
  <c r="E267" i="3"/>
  <c r="E64" i="3"/>
  <c r="E409" i="3"/>
  <c r="E389" i="3"/>
  <c r="E241" i="3"/>
  <c r="E95" i="3"/>
  <c r="E417" i="3"/>
  <c r="E554" i="3"/>
  <c r="E449" i="3"/>
  <c r="E442" i="3"/>
  <c r="E575" i="3"/>
  <c r="T40" i="71"/>
  <c r="D40" i="71"/>
  <c r="T32" i="71"/>
  <c r="D32" i="71"/>
  <c r="C26" i="71"/>
  <c r="D26" i="71" s="1"/>
  <c r="D27" i="71"/>
  <c r="D36" i="71"/>
  <c r="T36" i="71"/>
  <c r="T52" i="71"/>
  <c r="D52" i="71"/>
  <c r="T49" i="34"/>
  <c r="G49" i="34"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B10"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F22" i="11" l="1"/>
  <c r="C23" i="11" s="1"/>
  <c r="F24" i="67"/>
  <c r="C24" i="67" s="1"/>
  <c r="F22" i="69"/>
  <c r="F41" i="69" s="1"/>
  <c r="F24" i="15"/>
  <c r="C24" i="15" s="1"/>
  <c r="F22" i="68"/>
  <c r="C26" i="68" s="1"/>
  <c r="D22" i="68" s="1"/>
  <c r="F25" i="12"/>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3" i="68"/>
  <c r="C26" i="12"/>
  <c r="D25" i="12" s="1"/>
  <c r="C34" i="9"/>
  <c r="C66" i="67"/>
  <c r="C60" i="67"/>
  <c r="D10" i="69"/>
  <c r="C34" i="69"/>
  <c r="D10" i="68"/>
  <c r="C17" i="67"/>
  <c r="C17" i="15"/>
  <c r="C14" i="67"/>
  <c r="C25" i="11" l="1"/>
  <c r="C24" i="11"/>
  <c r="C44" i="11"/>
  <c r="D41" i="11" s="1"/>
  <c r="C26" i="11"/>
  <c r="D22" i="11" s="1"/>
  <c r="C44" i="69"/>
  <c r="D41" i="69" s="1"/>
  <c r="C26" i="69"/>
  <c r="D22" i="69" s="1"/>
  <c r="C44" i="68"/>
  <c r="D41" i="68" s="1"/>
  <c r="F41" i="68"/>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M34" i="80" s="1"/>
  <c r="C49" i="33"/>
  <c r="H58" i="21"/>
  <c r="E47" i="37"/>
  <c r="F47" i="37" s="1"/>
  <c r="E46" i="37"/>
  <c r="F46" i="37" s="1"/>
  <c r="I47" i="37"/>
  <c r="J47" i="37" s="1"/>
  <c r="E53" i="33"/>
  <c r="F53" i="33" s="1"/>
  <c r="E52" i="33"/>
  <c r="F52" i="33" s="1"/>
  <c r="C33" i="15"/>
  <c r="C22" i="11"/>
  <c r="C33" i="67"/>
  <c r="J19" i="67"/>
  <c r="C34" i="68"/>
  <c r="E6" i="76"/>
  <c r="B6" i="76"/>
  <c r="C14" i="15"/>
  <c r="P33" i="80" l="1"/>
  <c r="P48" i="80"/>
  <c r="P44" i="80"/>
  <c r="P40" i="80"/>
  <c r="P38" i="80"/>
  <c r="P51" i="80"/>
  <c r="P47" i="80"/>
  <c r="P43" i="80"/>
  <c r="P35" i="80"/>
  <c r="P39" i="80"/>
  <c r="P50" i="80"/>
  <c r="P46" i="80"/>
  <c r="P42" i="80"/>
  <c r="P36" i="80"/>
  <c r="P34" i="80"/>
  <c r="P49" i="80"/>
  <c r="P45" i="80"/>
  <c r="P41" i="80"/>
  <c r="P37" i="80"/>
  <c r="C31" i="1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8" i="1"/>
  <c r="AO7" i="1"/>
  <c r="AO9" i="1"/>
  <c r="AO10"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3" i="72"/>
  <c r="F5" i="52"/>
  <c r="F119" i="9"/>
  <c r="B22" i="72"/>
  <c r="D6" i="53"/>
  <c r="B48" i="72"/>
  <c r="E4" i="52"/>
  <c r="B30" i="72"/>
  <c r="B47" i="72"/>
  <c r="D4" i="52"/>
  <c r="B31" i="72"/>
  <c r="D15" i="53"/>
  <c r="D5" i="53"/>
  <c r="B20" i="72"/>
  <c r="E81" i="9"/>
  <c r="E80" i="9"/>
  <c r="C80" i="9"/>
  <c r="B52" i="72"/>
  <c r="G4" i="52"/>
  <c r="H108" i="9"/>
  <c r="C6" i="74"/>
  <c r="C5" i="74"/>
  <c r="D13" i="53"/>
  <c r="D14" i="53"/>
  <c r="B32" i="72"/>
  <c r="B49" i="72"/>
  <c r="E118" i="9"/>
  <c r="D118" i="9"/>
  <c r="D119" i="9"/>
  <c r="D5" i="52"/>
  <c r="C72" i="9"/>
  <c r="C79" i="9"/>
  <c r="C81" i="9"/>
  <c r="D8" i="52"/>
  <c r="H5" i="52"/>
  <c r="H119" i="9"/>
  <c r="H102" i="9"/>
  <c r="D7" i="53"/>
  <c r="B21" i="72"/>
  <c r="D59" i="9"/>
  <c r="M55" i="9"/>
  <c r="C96" i="9"/>
  <c r="E96" i="9"/>
  <c r="E97" i="9"/>
  <c r="C86" i="9"/>
  <c r="C93" i="9"/>
  <c r="C85" i="9"/>
  <c r="C95" i="9"/>
  <c r="C97" i="9"/>
  <c r="D58" i="9"/>
  <c r="D56" i="9"/>
  <c r="M54" i="9"/>
  <c r="M48" i="9"/>
  <c r="H107" i="9"/>
  <c r="D122" i="9"/>
  <c r="D123" i="9"/>
  <c r="D9" i="52"/>
  <c r="P57" i="9"/>
  <c r="N58" i="9"/>
  <c r="I4" i="52"/>
  <c r="C105" i="9"/>
  <c r="H4" i="52"/>
  <c r="C104" i="9"/>
  <c r="C73" i="9"/>
  <c r="C78" i="9"/>
  <c r="C64" i="9"/>
  <c r="C63" i="9"/>
  <c r="C67" i="9"/>
  <c r="C68" i="9"/>
  <c r="D54" i="9"/>
  <c r="D53" i="9"/>
  <c r="D52" i="9"/>
  <c r="N61" i="9"/>
  <c r="I118" i="9"/>
  <c r="H118" i="9"/>
  <c r="H101" i="9"/>
  <c r="D45" i="9"/>
  <c r="D55" i="9"/>
  <c r="M53" i="9"/>
  <c r="N57" i="9"/>
  <c r="N59" i="9"/>
  <c r="N60" i="9"/>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<sst xmlns="http://schemas.openxmlformats.org/spreadsheetml/2006/main" count="8048" uniqueCount="3532">
  <si>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</si>
  <si>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</si>
  <si>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</si>
  <si>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</si>
  <si>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</si>
  <si>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</si>
  <si>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</si>
  <si>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</si>
  <si>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</si>
  <si>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</si>
  <si>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</si>
  <si>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</si>
  <si>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</si>
  <si>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</si>
  <si>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</si>
  <si>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</si>
  <si>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</si>
  <si>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</si>
  <si>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</si>
  <si>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</si>
  <si>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</si>
  <si>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</si>
  <si>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</si>
  <si>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</si>
  <si>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</si>
  <si>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</si>
  <si>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</si>
  <si>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</si>
  <si>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</si>
  <si>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</si>
  <si>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</si>
  <si>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</si>
  <si>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</si>
  <si>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</si>
  <si>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</si>
  <si>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</si>
  <si>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</si>
  <si>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</si>
  <si>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</si>
  <si>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</si>
  <si>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</si>
  <si>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</si>
  <si>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</si>
  <si>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</si>
  <si>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</si>
  <si>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</si>
  <si>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</si>
  <si>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</si>
  <si>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</si>
  <si>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</si>
  <si>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</si>
  <si>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</si>
  <si>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</si>
  <si>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</si>
  <si>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</si>
  <si>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</si>
  <si>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</si>
  <si>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</si>
  <si>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</si>
  <si>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</si>
  <si>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</si>
  <si>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</si>
  <si>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</si>
  <si>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</si>
  <si>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</si>
  <si>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</si>
  <si>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</si>
  <si>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</si>
  <si>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</si>
  <si>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</si>
  <si>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</si>
  <si>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</si>
  <si>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</si>
  <si>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</si>
  <si>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</si>
  <si>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</si>
  <si>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</si>
  <si>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</si>
  <si>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</si>
  <si>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</si>
  <si>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</si>
  <si>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</si>
  <si>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</si>
  <si>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</si>
  <si>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</si>
  <si>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</si>
  <si>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</si>
  <si>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</si>
  <si>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</si>
  <si>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</si>
  <si>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</si>
  <si>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</si>
  <si>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</si>
  <si>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</si>
  <si>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</si>
  <si>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</si>
  <si>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</si>
  <si>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</si>
  <si>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</si>
  <si>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</si>
  <si>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</si>
  <si>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</si>
  <si>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</si>
  <si>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</si>
  <si>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</si>
  <si>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</si>
  <si>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</si>
  <si>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</si>
  <si>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</si>
  <si>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</si>
  <si>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</si>
  <si>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</si>
  <si>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</si>
  <si>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</si>
  <si>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</si>
  <si>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</si>
  <si>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</si>
  <si>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</si>
  <si>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</si>
  <si>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</si>
  <si>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</si>
  <si>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</si>
  <si>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</si>
  <si>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</si>
  <si>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</si>
  <si>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</si>
  <si>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</si>
  <si>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</si>
  <si>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</si>
  <si>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</si>
  <si>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</si>
  <si>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</si>
  <si>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</si>
  <si>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</si>
  <si>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</si>
  <si>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</si>
  <si>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</si>
  <si>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</si>
  <si>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</si>
  <si>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</si>
  <si>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</si>
  <si>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</si>
  <si>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</si>
  <si>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</si>
  <si>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</si>
  <si>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</si>
  <si>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</si>
  <si>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</si>
  <si>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</si>
  <si>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</si>
  <si>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</si>
  <si>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</si>
  <si>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</si>
  <si>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</si>
  <si>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</si>
  <si>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</si>
  <si>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</si>
  <si>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</si>
  <si>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</si>
  <si>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</si>
  <si>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</si>
  <si>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</si>
  <si>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</si>
  <si>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</si>
  <si>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</si>
  <si>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</si>
  <si>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</si>
  <si>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</si>
  <si>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</si>
  <si>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</si>
  <si>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</si>
  <si>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</si>
  <si>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</si>
  <si>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</si>
  <si>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</si>
  <si>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</si>
  <si>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</si>
  <si>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</si>
  <si>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</si>
  <si>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</si>
  <si>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</si>
  <si>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</si>
  <si>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</si>
  <si>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</si>
  <si>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</si>
  <si>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</si>
  <si>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</si>
  <si>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</si>
  <si>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</si>
  <si>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</si>
  <si>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</si>
  <si>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</si>
  <si>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</si>
  <si>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</si>
  <si>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</si>
  <si>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</si>
  <si>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</si>
  <si>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</si>
  <si>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</si>
  <si>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</si>
  <si>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</si>
  <si>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</si>
  <si>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</si>
  <si>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</si>
  <si>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</si>
  <si>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</si>
  <si>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</si>
  <si>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</si>
  <si>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</si>
  <si>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</si>
  <si>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</si>
  <si>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</si>
  <si>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</si>
  <si>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</si>
  <si>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</si>
  <si>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</si>
  <si>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</si>
  <si>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</si>
  <si>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</si>
  <si>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</si>
  <si>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</si>
  <si>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</si>
  <si>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</si>
  <si>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</si>
  <si>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</si>
  <si>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</si>
  <si>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</si>
  <si>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</si>
  <si>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</si>
  <si>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</si>
  <si>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</si>
  <si>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</si>
  <si>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</si>
  <si>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</si>
  <si>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</si>
  <si>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</si>
  <si>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</si>
  <si>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</si>
  <si>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</si>
  <si>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</si>
  <si>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</si>
  <si>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</si>
  <si>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</si>
  <si>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</si>
  <si>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</si>
  <si>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</si>
  <si>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</si>
  <si>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</si>
  <si>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</si>
  <si>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</si>
  <si>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</si>
  <si>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</si>
  <si>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</si>
  <si>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</si>
  <si>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</si>
  <si>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</si>
  <si>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</si>
  <si>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</si>
  <si>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</si>
  <si>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</si>
  <si>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</si>
  <si>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</si>
  <si>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</si>
  <si>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</si>
  <si>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</si>
  <si>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</si>
  <si>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</si>
  <si>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</si>
  <si>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</si>
  <si>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</si>
  <si>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</si>
  <si>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</si>
  <si>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</si>
  <si>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</si>
  <si>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</si>
  <si>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</si>
  <si>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</si>
  <si>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</si>
  <si>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</si>
  <si>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</si>
  <si>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</si>
  <si>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</si>
  <si>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</si>
  <si>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</si>
  <si>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</si>
  <si>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</si>
  <si>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</si>
  <si>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</si>
  <si>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</si>
  <si>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</si>
  <si>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</si>
  <si>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</si>
  <si>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</si>
  <si>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</si>
  <si>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</si>
  <si>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</si>
  <si>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</si>
  <si>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</si>
  <si>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</si>
  <si>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</si>
  <si>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</si>
  <si>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</si>
  <si>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</si>
  <si>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</si>
  <si>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</si>
  <si>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</si>
  <si>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</si>
  <si>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</si>
  <si>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</si>
  <si>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</si>
  <si>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</si>
  <si>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</si>
  <si>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</si>
  <si>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</si>
  <si>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</si>
  <si>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</si>
  <si>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</si>
  <si>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</si>
  <si>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</si>
  <si>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</si>
  <si>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</si>
  <si>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</si>
  <si>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</si>
  <si>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</si>
  <si>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</si>
  <si>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</si>
  <si>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</si>
  <si>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</si>
  <si>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</si>
  <si>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</si>
  <si>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</si>
  <si>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</si>
  <si>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</si>
  <si>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</si>
  <si>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</si>
  <si>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</si>
  <si>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</si>
  <si>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</si>
  <si>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</si>
  <si>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</si>
  <si>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</si>
  <si>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</si>
  <si>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</si>
  <si>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</si>
  <si>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</si>
  <si>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</si>
  <si>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</si>
  <si>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</si>
  <si>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</si>
  <si>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</si>
  <si>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</si>
  <si>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</si>
  <si>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</si>
  <si>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</si>
  <si>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</si>
  <si>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</si>
  <si>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</si>
  <si>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</si>
  <si>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</si>
  <si>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</si>
  <si>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</si>
  <si>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</si>
  <si>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</si>
  <si>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</si>
  <si>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</si>
  <si>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</si>
  <si>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</si>
  <si>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</si>
  <si>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</si>
  <si>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</si>
  <si>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</si>
  <si>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</si>
  <si>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</si>
  <si>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</si>
  <si>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</si>
  <si>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</si>
  <si>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</si>
  <si>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</si>
  <si>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</si>
  <si>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</si>
  <si>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</si>
  <si>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</si>
  <si>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</si>
  <si>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</si>
  <si>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</si>
  <si>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</si>
  <si>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</si>
  <si>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</si>
  <si>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</si>
  <si>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</si>
  <si>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</si>
  <si>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</si>
  <si>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</si>
  <si>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</si>
  <si>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</si>
  <si>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</si>
  <si>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</si>
  <si>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</si>
  <si>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</si>
  <si>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</si>
  <si>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</si>
  <si>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</si>
  <si>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</si>
  <si>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</si>
  <si>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</si>
  <si>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</si>
  <si>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</si>
  <si>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</si>
  <si>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</si>
  <si>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</si>
  <si>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</si>
  <si>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</si>
  <si>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</si>
  <si>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</si>
  <si>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</si>
  <si>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</si>
  <si>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</si>
  <si>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</si>
  <si>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</si>
  <si>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</si>
  <si>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</si>
  <si>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</si>
  <si>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</si>
  <si>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</si>
  <si>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</si>
  <si>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</si>
  <si>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</si>
  <si>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</si>
  <si>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</si>
  <si>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</si>
  <si>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</si>
  <si>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</si>
  <si>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</si>
  <si>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</si>
  <si>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</si>
  <si>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</si>
  <si>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</si>
  <si>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</si>
  <si>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</si>
  <si>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</si>
  <si>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</si>
  <si>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</si>
  <si>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</si>
  <si>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</si>
  <si>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</si>
  <si>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</si>
  <si>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</si>
  <si>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</si>
  <si>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</si>
  <si>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</si>
  <si>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</si>
  <si>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</si>
  <si>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</si>
  <si>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</si>
  <si>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</si>
  <si>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</si>
  <si>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</si>
  <si>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</si>
  <si>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</si>
  <si>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</si>
  <si>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</si>
  <si>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</si>
  <si>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</si>
  <si>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</si>
  <si>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</si>
  <si>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</si>
  <si>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</si>
  <si>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</si>
  <si>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</si>
  <si>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</si>
  <si>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</si>
  <si>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</si>
  <si>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</si>
  <si>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</si>
  <si>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</si>
  <si>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</si>
  <si>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</si>
  <si>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</si>
  <si>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</si>
  <si>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</si>
  <si>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</si>
  <si>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</si>
  <si>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</si>
  <si>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</si>
  <si>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</si>
  <si>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</si>
  <si>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</si>
  <si>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</si>
  <si>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</si>
  <si>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</si>
  <si>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</si>
  <si>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</si>
  <si>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</si>
  <si>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</si>
  <si>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</si>
  <si>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</si>
  <si>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</si>
  <si>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</si>
  <si>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</si>
  <si>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</si>
  <si>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</si>
  <si>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</si>
  <si>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</si>
  <si>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</si>
  <si>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</si>
  <si>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</si>
  <si>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</si>
  <si>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</si>
  <si>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</si>
  <si>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</si>
  <si>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</si>
  <si>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</si>
  <si>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</si>
  <si>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</si>
  <si>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</si>
  <si>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</si>
  <si>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</si>
  <si>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</si>
  <si>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</si>
  <si>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</si>
  <si>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</si>
  <si>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</si>
  <si>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</si>
  <si>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</si>
  <si>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</si>
  <si>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</si>
  <si>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</si>
  <si>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</si>
  <si>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</si>
  <si>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</si>
  <si>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</si>
  <si>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</si>
  <si>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</si>
  <si>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</si>
  <si>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</si>
  <si>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</si>
  <si>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</si>
  <si>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</si>
  <si>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</si>
  <si>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</si>
  <si>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</si>
  <si>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</si>
  <si>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</si>
  <si>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</si>
  <si>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</si>
  <si>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</si>
  <si>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</si>
  <si>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</si>
  <si>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</si>
  <si>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</si>
  <si>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</si>
  <si>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</si>
  <si>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</si>
  <si>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</si>
  <si>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</si>
  <si>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</si>
  <si>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</si>
  <si>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</si>
  <si>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</si>
  <si>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</si>
  <si>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</si>
  <si>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</si>
  <si>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</si>
  <si>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</si>
  <si>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</si>
  <si>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</si>
  <si>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</si>
  <si>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</si>
  <si>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</si>
  <si>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</si>
  <si>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</si>
  <si>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</si>
  <si>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</si>
  <si>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</si>
  <si>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</si>
  <si>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</si>
  <si>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</si>
  <si>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</si>
  <si>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</si>
  <si>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</si>
  <si>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</si>
  <si>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</si>
  <si>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</si>
  <si>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</si>
  <si>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</si>
  <si>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</si>
  <si>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</si>
  <si>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</si>
  <si>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</si>
  <si>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</si>
  <si>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</si>
  <si>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</si>
  <si>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</si>
  <si>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</si>
  <si>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</si>
  <si>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</si>
  <si>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</si>
  <si>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</si>
  <si>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</si>
  <si>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</si>
  <si>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</si>
  <si>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</si>
  <si>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</si>
  <si>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</si>
  <si>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</si>
  <si>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</si>
  <si>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</si>
  <si>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</si>
  <si>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</si>
  <si>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</si>
  <si>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</si>
  <si>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</si>
  <si>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</si>
  <si>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</si>
  <si>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</si>
  <si>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</si>
  <si>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</si>
  <si>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</si>
  <si>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</si>
  <si>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</si>
  <si>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</si>
  <si>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</si>
  <si>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</si>
  <si>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</si>
  <si>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</si>
  <si>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</si>
  <si>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</si>
  <si>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</si>
  <si>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</si>
  <si>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</si>
  <si>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</si>
  <si>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</si>
  <si>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</si>
  <si>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</si>
  <si>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</si>
  <si>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</si>
  <si>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</si>
  <si>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</si>
  <si>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</si>
  <si>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</si>
  <si>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</si>
  <si>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</si>
  <si>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</si>
  <si>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</si>
  <si>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</si>
  <si>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</si>
  <si>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</si>
  <si>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</si>
  <si>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</si>
  <si>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</si>
  <si>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</si>
  <si>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</si>
  <si>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</si>
  <si>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</si>
  <si>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</si>
  <si>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</si>
  <si>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</si>
  <si>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</si>
  <si>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</si>
  <si>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</si>
  <si>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</si>
  <si>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</si>
  <si>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</si>
  <si>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</si>
  <si>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</si>
  <si>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</si>
  <si>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</si>
  <si>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</si>
  <si>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</si>
  <si>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</si>
  <si>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</si>
  <si>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</si>
  <si>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</si>
  <si>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</si>
  <si>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</si>
  <si>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</si>
  <si>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</si>
  <si>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</si>
  <si>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</si>
  <si>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</si>
  <si>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</si>
  <si>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</si>
  <si>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</si>
  <si>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</si>
  <si>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</si>
  <si>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</si>
  <si>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</si>
  <si>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</si>
  <si>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</si>
  <si>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</si>
  <si>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</si>
  <si>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</si>
  <si>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</si>
  <si>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</si>
  <si>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</si>
  <si>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</si>
  <si>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</si>
  <si>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</si>
  <si>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</si>
  <si>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</si>
  <si>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</si>
  <si>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</si>
  <si>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</si>
  <si>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</si>
  <si>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</si>
  <si>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</si>
  <si>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</si>
  <si>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</si>
  <si>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</si>
  <si>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</si>
  <si>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</si>
  <si>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</si>
  <si>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</si>
  <si>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</si>
  <si>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</si>
  <si>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</si>
  <si>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</si>
  <si>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</si>
  <si>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</si>
  <si>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</si>
  <si>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</si>
  <si>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</si>
  <si>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</si>
  <si>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</si>
  <si>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</si>
  <si>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</si>
  <si>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</si>
  <si>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</si>
  <si>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</si>
  <si>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</si>
  <si>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</si>
  <si>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</si>
  <si>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</si>
  <si>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</si>
  <si>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</si>
  <si>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</si>
  <si>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</si>
  <si>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</si>
  <si>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</si>
  <si>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</si>
  <si>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</si>
  <si>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</si>
  <si>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</si>
  <si>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</si>
  <si>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</si>
  <si>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</si>
  <si>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</si>
  <si>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</si>
  <si>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</si>
  <si>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</si>
  <si>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</si>
  <si>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</si>
  <si>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</si>
  <si>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</si>
  <si>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</si>
  <si>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</si>
  <si>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</si>
  <si>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</si>
  <si>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</si>
  <si>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</si>
  <si>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</si>
  <si>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</si>
  <si>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</si>
  <si>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</si>
  <si>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</si>
  <si>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</si>
  <si>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</si>
  <si>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</si>
  <si>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</si>
  <si>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</si>
  <si>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</si>
  <si>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</si>
  <si>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</si>
  <si>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</si>
  <si>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</si>
  <si>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</si>
  <si>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</si>
  <si>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</si>
  <si>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</si>
  <si>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</si>
  <si>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</si>
  <si>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</si>
  <si>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</si>
  <si>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</si>
  <si>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</si>
  <si>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</si>
  <si>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</si>
  <si>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</si>
  <si>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</si>
  <si>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</si>
  <si>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</si>
  <si>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</si>
  <si>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</si>
  <si>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</si>
  <si>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</si>
  <si>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</si>
  <si>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</si>
  <si>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</si>
  <si>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</si>
  <si>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</si>
  <si>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</si>
  <si>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</si>
  <si>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</si>
  <si>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</si>
  <si>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</si>
  <si>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</si>
  <si>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</si>
  <si>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</si>
  <si>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</si>
  <si>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</si>
  <si>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</si>
  <si>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</si>
  <si>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</si>
  <si>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</si>
  <si>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</si>
  <si>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</si>
  <si>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</si>
  <si>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</si>
  <si>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</si>
  <si>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</si>
  <si>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</si>
  <si>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</si>
  <si>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</si>
  <si>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</si>
  <si>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</si>
  <si>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</si>
  <si>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</si>
  <si>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</si>
  <si>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</si>
  <si>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</si>
  <si>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</si>
  <si>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</si>
  <si>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</si>
  <si>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</si>
  <si>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</si>
  <si>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</si>
  <si>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</si>
  <si>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</si>
  <si>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</si>
  <si>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</si>
  <si>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</si>
  <si>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</si>
  <si>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</si>
  <si>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</si>
  <si>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</si>
  <si>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</si>
  <si>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</si>
  <si>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</si>
  <si>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</si>
  <si>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</si>
  <si>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</si>
  <si>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</si>
  <si>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</si>
  <si>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</si>
  <si>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</si>
  <si>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</si>
  <si>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</si>
  <si>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</si>
  <si>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</si>
  <si>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</si>
  <si>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</si>
  <si>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</si>
  <si>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</si>
  <si>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</si>
  <si>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</si>
  <si>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</si>
  <si>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</si>
  <si>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</si>
  <si>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</si>
  <si>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</si>
  <si>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</si>
  <si>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</si>
  <si>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</si>
  <si>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</si>
  <si>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</si>
  <si>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</si>
  <si>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</si>
  <si>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</si>
  <si>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</si>
  <si>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</si>
  <si>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</si>
  <si>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</si>
  <si>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</si>
  <si>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</si>
  <si>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</si>
  <si>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</si>
  <si>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</si>
  <si>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</si>
  <si>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</si>
  <si>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</si>
  <si>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</si>
  <si>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</si>
  <si>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</si>
  <si>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</si>
  <si>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</si>
  <si>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</si>
  <si>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</si>
  <si>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</si>
  <si>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</si>
  <si>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</si>
  <si>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</si>
  <si>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</si>
  <si>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</si>
  <si>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</si>
  <si>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</si>
  <si>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</si>
  <si>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</si>
  <si>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</si>
  <si>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</si>
  <si>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</si>
  <si>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</si>
  <si>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</si>
  <si>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</si>
  <si>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</si>
  <si>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</si>
  <si>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</si>
  <si>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</si>
  <si>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</si>
  <si>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</si>
  <si>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</si>
  <si>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</si>
  <si>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</si>
  <si>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</si>
  <si>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</si>
  <si>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</si>
  <si>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</si>
  <si>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</si>
  <si>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</si>
  <si>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</si>
  <si>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</si>
  <si>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</si>
  <si>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</si>
  <si>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</si>
  <si>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</si>
  <si>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</si>
  <si>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</si>
  <si>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</si>
  <si>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</si>
  <si>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</si>
  <si>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</si>
  <si>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</si>
  <si>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</si>
  <si>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</si>
  <si>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</si>
  <si>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</si>
  <si>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</si>
  <si>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</si>
  <si>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</si>
  <si>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</si>
  <si>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</si>
  <si>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</si>
  <si>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</si>
  <si>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</si>
  <si>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</si>
  <si>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</si>
  <si>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</si>
  <si>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</si>
  <si>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</si>
  <si>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</si>
  <si>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</si>
  <si>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</si>
  <si>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</si>
  <si>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</si>
  <si>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</si>
  <si>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</si>
  <si>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</si>
  <si>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</si>
  <si>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</si>
  <si>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</si>
  <si>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</si>
  <si>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</si>
  <si>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</si>
  <si>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</si>
  <si>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</si>
  <si>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</si>
  <si>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</si>
  <si>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</si>
  <si>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</si>
  <si>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</si>
  <si>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</si>
  <si>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</si>
  <si>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</si>
  <si>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</si>
  <si>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</si>
  <si>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</si>
  <si>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</si>
  <si>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</si>
  <si>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</si>
  <si>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</si>
  <si>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</si>
  <si>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</si>
  <si>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</si>
  <si>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</si>
  <si>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</si>
  <si>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</si>
  <si>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</si>
  <si>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</si>
  <si>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</si>
  <si>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</si>
  <si>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</si>
  <si>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</si>
  <si>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</si>
  <si>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</si>
  <si>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</si>
  <si>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</si>
  <si>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</si>
  <si>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</si>
  <si>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</si>
  <si>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</si>
  <si>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</si>
  <si>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</si>
  <si>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</si>
  <si>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</si>
  <si>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</si>
  <si>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</si>
  <si>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</si>
  <si>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</si>
  <si>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</si>
  <si>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</si>
  <si>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</si>
  <si>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</si>
  <si>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</si>
  <si>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</si>
  <si>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</si>
  <si>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</si>
  <si>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</si>
  <si>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</si>
  <si>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</si>
  <si>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</si>
  <si>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</si>
  <si>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</si>
  <si>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</si>
  <si>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</si>
  <si>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</si>
  <si>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</si>
  <si>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</si>
  <si>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</si>
  <si>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</si>
  <si>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</si>
  <si>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</si>
  <si>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</si>
  <si>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</si>
  <si>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</si>
  <si>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</si>
  <si>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</si>
  <si>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</si>
  <si>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</si>
  <si>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</si>
  <si>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</si>
  <si>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</si>
  <si>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</si>
  <si>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</si>
  <si>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</si>
  <si>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</si>
  <si>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</si>
  <si>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</si>
  <si>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</si>
  <si>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</si>
  <si>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</si>
  <si>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</si>
  <si>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</si>
  <si>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</si>
  <si>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</si>
  <si>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</si>
  <si>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</si>
  <si>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</si>
  <si>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</si>
  <si>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</si>
  <si>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</si>
  <si>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</si>
  <si>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</si>
  <si>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</si>
  <si>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</si>
  <si>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</si>
  <si>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</si>
  <si>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</si>
  <si>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</si>
  <si>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</si>
  <si>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</si>
  <si>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</si>
  <si>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</si>
  <si>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</si>
  <si>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</si>
  <si>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</si>
  <si>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</si>
  <si>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</si>
  <si>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</si>
  <si>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</si>
  <si>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</si>
  <si>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</si>
  <si>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</si>
  <si>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</si>
  <si>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</si>
  <si>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</si>
  <si>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</si>
  <si>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</si>
  <si>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</si>
  <si>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</si>
  <si>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</si>
  <si>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</si>
  <si>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</si>
  <si>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</si>
  <si>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</si>
  <si>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</si>
  <si>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</si>
  <si>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</si>
  <si>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</si>
  <si>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</si>
  <si>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</si>
  <si>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</si>
  <si>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</si>
  <si>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</si>
  <si>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</si>
  <si>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</si>
  <si>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</si>
  <si>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</si>
  <si>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</si>
  <si>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</si>
  <si>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</si>
  <si>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</si>
  <si>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</si>
  <si>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</si>
  <si>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</si>
  <si>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</si>
  <si>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</si>
  <si>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</si>
  <si>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</si>
  <si>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</si>
  <si>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</si>
  <si>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</si>
  <si>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</si>
  <si>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</si>
  <si>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</si>
  <si>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</si>
  <si>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</si>
  <si>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</si>
  <si>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</si>
  <si>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</si>
  <si>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</si>
  <si>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</si>
  <si>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</si>
  <si>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</si>
  <si>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</si>
  <si>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</si>
  <si>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</si>
  <si>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</si>
  <si>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</si>
  <si>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</si>
  <si>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</si>
  <si>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</si>
  <si>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</si>
  <si>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</si>
  <si>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</si>
  <si>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</si>
  <si>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</si>
  <si>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</si>
  <si>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</si>
  <si>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</si>
  <si>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</si>
  <si>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</si>
  <si>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</si>
  <si>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</si>
  <si>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</si>
  <si>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</si>
  <si>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</si>
  <si>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</si>
  <si>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</si>
  <si>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</si>
  <si>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</si>
  <si>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</si>
  <si>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</si>
  <si>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</si>
  <si>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</si>
  <si>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</si>
  <si>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</si>
  <si>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</si>
  <si>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</si>
  <si>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</si>
  <si>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</si>
  <si>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</si>
  <si>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</si>
  <si>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</si>
  <si>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</si>
  <si>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</si>
  <si>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</si>
  <si>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</si>
  <si>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</si>
  <si>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</si>
  <si>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</si>
  <si>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</si>
  <si>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</si>
  <si>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</si>
  <si>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</si>
  <si>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</si>
  <si>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</si>
  <si>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</si>
  <si>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</si>
  <si>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</si>
  <si>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</si>
  <si>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</si>
  <si>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</si>
  <si>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</si>
  <si>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</si>
  <si>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</si>
  <si>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</si>
  <si>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</si>
  <si>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</si>
  <si>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</si>
  <si>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</si>
  <si>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</si>
  <si>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</si>
  <si>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</si>
  <si>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</si>
  <si>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</si>
  <si>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</si>
  <si>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</si>
  <si>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</si>
  <si>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</si>
  <si>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</si>
  <si>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</si>
  <si>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</si>
  <si>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</si>
  <si>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</si>
  <si>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</si>
  <si>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</si>
  <si>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</si>
  <si>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</si>
  <si>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</si>
  <si>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</si>
  <si>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</si>
  <si>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</si>
  <si>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</si>
  <si>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</si>
  <si>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</si>
  <si>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</si>
  <si>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</si>
  <si>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</si>
  <si>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</si>
  <si>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</si>
  <si>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</si>
  <si>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</si>
  <si>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</si>
  <si>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</si>
  <si>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</si>
  <si>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</si>
  <si>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</si>
  <si>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</si>
  <si>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</si>
  <si>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</si>
  <si>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</si>
  <si>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</si>
  <si>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</si>
  <si>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</si>
  <si>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</si>
  <si>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</si>
  <si>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</si>
  <si>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</si>
  <si>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</si>
  <si>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</si>
  <si>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</si>
  <si>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</si>
  <si>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</si>
  <si>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</si>
  <si>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</si>
  <si>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</si>
  <si>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</si>
  <si>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</si>
  <si>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</si>
  <si>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</si>
  <si>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</si>
  <si>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</si>
  <si>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</si>
  <si>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</si>
  <si>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</si>
  <si>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</si>
  <si>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</si>
  <si>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</si>
  <si>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</si>
  <si>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</si>
  <si>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</si>
  <si>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</si>
  <si>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</si>
  <si>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</si>
  <si>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</si>
  <si>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</si>
  <si>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</si>
  <si>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</si>
  <si>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</si>
  <si>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</si>
  <si>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</si>
  <si>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</si>
  <si>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</si>
  <si>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</si>
  <si>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</si>
  <si>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</si>
  <si>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</si>
  <si>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</si>
  <si>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</si>
  <si>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</si>
  <si>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</si>
  <si>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</si>
  <si>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</si>
  <si>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</si>
  <si>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</si>
  <si>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</si>
  <si>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</si>
  <si>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</si>
  <si>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</si>
  <si>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</si>
  <si>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</si>
  <si>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</si>
  <si>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</si>
  <si>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</si>
  <si>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</si>
  <si>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</si>
  <si>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</si>
  <si>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</si>
  <si>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</si>
  <si>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</si>
  <si>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</si>
  <si>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</si>
  <si>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</si>
  <si>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</si>
  <si>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</si>
  <si>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</si>
  <si>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</si>
  <si>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</si>
  <si>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</si>
  <si>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</si>
  <si>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</si>
  <si>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</si>
  <si>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</si>
  <si>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</si>
  <si>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</si>
  <si>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</si>
  <si>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</si>
  <si>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</si>
  <si>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</si>
  <si>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</si>
  <si>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</si>
  <si>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</si>
  <si>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</si>
  <si>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</si>
  <si>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</si>
  <si>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</si>
  <si>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</si>
  <si>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</si>
  <si>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</si>
  <si>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</si>
  <si>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</si>
  <si>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</si>
  <si>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</si>
  <si>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</si>
  <si>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</si>
  <si>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</si>
  <si>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</si>
  <si>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</si>
  <si>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</si>
  <si>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</si>
  <si>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</si>
  <si>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</si>
  <si>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</si>
  <si>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</si>
  <si>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</si>
  <si>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</si>
  <si>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</si>
  <si>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</si>
  <si>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</si>
  <si>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</si>
  <si>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</si>
  <si>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</si>
  <si>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</si>
  <si>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</si>
  <si>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</si>
  <si>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</si>
  <si>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</si>
  <si>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</si>
  <si>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</si>
  <si>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</si>
  <si>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</si>
  <si>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</si>
  <si>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</si>
  <si>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</si>
  <si>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</si>
  <si>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</si>
  <si>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</si>
  <si>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</si>
  <si>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</si>
  <si>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</si>
  <si>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</si>
  <si>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</si>
  <si>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</si>
  <si>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</si>
  <si>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</si>
  <si>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</si>
  <si>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</si>
  <si>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</si>
  <si>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</si>
  <si>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</si>
  <si>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</si>
  <si>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</si>
  <si>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</si>
  <si>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</si>
  <si>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</si>
  <si>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</si>
  <si>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</si>
  <si>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</si>
  <si>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</si>
  <si>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</si>
  <si>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</si>
  <si>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</si>
  <si>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</si>
  <si>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</si>
  <si>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</si>
  <si>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</si>
  <si>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</si>
  <si>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</si>
  <si>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</si>
  <si>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</si>
  <si>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</si>
  <si>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</si>
  <si>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</si>
  <si>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</si>
  <si>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</si>
  <si>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</si>
  <si>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</si>
  <si>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</si>
  <si>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</si>
  <si>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</si>
  <si>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</si>
  <si>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</si>
  <si>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</si>
  <si>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</si>
  <si>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</si>
  <si>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</si>
  <si>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</si>
  <si>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</si>
  <si>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</si>
  <si>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</si>
  <si>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</si>
  <si>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</si>
  <si>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</si>
  <si>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</si>
  <si>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</si>
  <si>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</si>
  <si>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</si>
  <si>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</si>
  <si>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</si>
  <si>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</si>
  <si>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</si>
  <si>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</si>
  <si>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</si>
  <si>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</si>
  <si>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</si>
  <si>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</si>
  <si>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</si>
  <si>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</si>
  <si>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</si>
  <si>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</si>
  <si>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</si>
  <si>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</si>
  <si>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</si>
  <si>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</si>
  <si>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</si>
  <si>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</si>
  <si>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</si>
  <si>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</si>
  <si>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</si>
  <si>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</si>
  <si>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</si>
  <si>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</si>
  <si>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</si>
  <si>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</si>
  <si>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</si>
  <si>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</si>
  <si>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</si>
  <si>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</si>
  <si>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</si>
  <si>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</si>
  <si>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</si>
  <si>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</si>
  <si>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</si>
  <si>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</si>
  <si>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</si>
  <si>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</si>
  <si>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</si>
  <si>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</si>
  <si>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</si>
  <si>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</si>
  <si>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</si>
  <si>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</si>
  <si>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</si>
  <si>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</si>
  <si>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</si>
  <si>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</si>
  <si>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</si>
  <si>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</si>
  <si>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</si>
  <si>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</si>
  <si>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</si>
  <si>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</si>
  <si>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</si>
  <si>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</si>
  <si>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</si>
  <si>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</si>
  <si>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</si>
  <si>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</si>
  <si>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</si>
  <si>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</si>
  <si>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</si>
  <si>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</si>
  <si>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</si>
  <si>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</si>
  <si>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</si>
  <si>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</si>
  <si>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</si>
  <si>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</si>
  <si>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</si>
  <si>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</si>
  <si>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</si>
  <si>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</si>
  <si>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</si>
  <si>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</si>
  <si>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</si>
  <si>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</si>
  <si>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</si>
  <si>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</si>
  <si>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</si>
  <si>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</si>
  <si>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</si>
  <si>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</si>
  <si>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</si>
  <si>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</si>
  <si>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</si>
  <si>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</si>
  <si>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</si>
  <si>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</si>
  <si>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</si>
  <si>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</si>
  <si>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</si>
  <si>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</si>
  <si>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</si>
  <si>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</si>
  <si>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</si>
  <si>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</si>
  <si>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</si>
  <si>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</si>
  <si>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</si>
  <si>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</si>
  <si>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</si>
  <si>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</si>
  <si>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</si>
  <si>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</si>
  <si>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</si>
  <si>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</si>
  <si>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</si>
  <si>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</si>
  <si>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</si>
  <si>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</si>
  <si>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</si>
  <si>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</si>
  <si>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</si>
  <si>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</si>
  <si>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</si>
  <si>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</si>
  <si>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</si>
  <si>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</si>
  <si>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</si>
  <si>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</si>
  <si>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</si>
  <si>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</si>
  <si>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</si>
  <si>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</si>
  <si>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</si>
  <si>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</si>
  <si>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</si>
  <si>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</si>
  <si>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</si>
  <si>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</si>
  <si>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</si>
  <si>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</si>
  <si>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</si>
  <si>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</si>
  <si>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</si>
  <si>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</si>
  <si>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</si>
  <si>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</si>
  <si>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</si>
  <si>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</si>
  <si>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</si>
  <si>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</si>
  <si>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</si>
  <si>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</si>
  <si>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</si>
  <si>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</si>
  <si>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</si>
  <si>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</si>
  <si>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</si>
  <si>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</si>
  <si>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</si>
  <si>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</si>
  <si>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</si>
  <si>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</si>
  <si>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</si>
  <si>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</si>
  <si>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</si>
  <si>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</si>
  <si>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</si>
  <si>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</si>
  <si>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</si>
  <si>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</si>
  <si>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</si>
  <si>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</si>
  <si>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</si>
  <si>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</si>
  <si>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</si>
  <si>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</si>
  <si>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</si>
  <si>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</si>
  <si>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</si>
  <si>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</si>
  <si>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</si>
  <si>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</si>
  <si>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</si>
  <si>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</si>
  <si>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</si>
  <si>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</si>
  <si>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</si>
  <si>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</si>
  <si>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</si>
  <si>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</si>
  <si>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</si>
  <si>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</si>
  <si>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</si>
  <si>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</si>
  <si>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</si>
  <si>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</si>
  <si>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</si>
  <si>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</si>
  <si>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</si>
  <si>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</si>
  <si>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</si>
  <si>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</si>
  <si>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</si>
  <si>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</si>
  <si>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</si>
  <si>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</si>
  <si>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</si>
  <si>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</si>
  <si>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</si>
  <si>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</si>
  <si>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</si>
  <si>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</si>
  <si>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</si>
  <si>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</si>
  <si>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</si>
  <si>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</si>
  <si>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</si>
  <si>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</si>
  <si>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</si>
  <si>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</si>
  <si>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</si>
  <si>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</si>
  <si>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</si>
  <si>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</si>
  <si>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</si>
  <si>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</si>
  <si>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</si>
  <si>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</si>
  <si>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</si>
  <si>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</si>
  <si>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</si>
  <si>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</si>
  <si>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</si>
  <si>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</si>
  <si>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</si>
  <si>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</si>
  <si>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</si>
  <si>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</si>
  <si>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</si>
  <si>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</si>
  <si>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</si>
  <si>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</si>
  <si>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</si>
  <si>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</si>
  <si>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</si>
  <si>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</si>
  <si>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</si>
  <si>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</si>
  <si>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</si>
  <si>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</si>
  <si>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</si>
  <si>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</si>
  <si>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</si>
  <si>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</si>
  <si>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</si>
  <si>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</si>
  <si>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</si>
  <si>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</si>
  <si>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</si>
  <si>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</si>
  <si>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</si>
  <si>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</si>
  <si>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</si>
  <si>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</si>
  <si>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</si>
  <si>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</si>
  <si>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</si>
  <si>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</si>
  <si>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</si>
  <si>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</si>
  <si>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</si>
  <si>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</si>
  <si>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</si>
  <si>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</si>
  <si>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</si>
  <si>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</si>
  <si>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</si>
  <si>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</si>
  <si>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</si>
  <si>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</si>
  <si>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</si>
  <si>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</si>
  <si>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</si>
  <si>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</si>
  <si>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</si>
  <si>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</si>
  <si>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</si>
  <si>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</si>
  <si>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</si>
  <si>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</si>
  <si>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</si>
  <si>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</si>
  <si>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</si>
  <si>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</si>
  <si>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</si>
  <si>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</si>
  <si>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</si>
  <si>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</si>
  <si>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</si>
  <si>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</si>
  <si>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</si>
  <si>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</si>
  <si>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</si>
  <si>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</si>
  <si>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</si>
  <si>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</si>
  <si>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</si>
  <si>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</si>
  <si>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</si>
  <si>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</si>
  <si>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</si>
  <si>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</si>
  <si>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</si>
  <si>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</si>
  <si>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</si>
  <si>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</si>
  <si>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</si>
  <si>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</si>
  <si>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</si>
  <si>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</si>
  <si>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</si>
  <si>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</si>
  <si>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</si>
  <si>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</si>
  <si>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</si>
  <si>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</si>
  <si>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</si>
  <si>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</si>
  <si>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</si>
  <si>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</si>
  <si>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</si>
  <si>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</si>
  <si>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</si>
  <si>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</si>
  <si>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</si>
  <si>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</si>
  <si>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</si>
  <si>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</si>
  <si>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</si>
  <si>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</si>
  <si>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</si>
  <si>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</si>
  <si>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</si>
  <si>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</si>
  <si>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</si>
  <si>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</si>
  <si>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</si>
  <si>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</si>
  <si>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</si>
  <si>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</si>
  <si>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</si>
  <si>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</si>
  <si>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</si>
  <si>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</si>
  <si>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</si>
  <si>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</si>
  <si>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</si>
  <si>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</si>
  <si>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</si>
  <si>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</si>
  <si>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</si>
  <si>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</si>
  <si>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</si>
  <si>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</si>
  <si>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</si>
  <si>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</si>
  <si>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</si>
  <si>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</si>
  <si>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</si>
  <si>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</si>
  <si>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</si>
  <si>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</si>
  <si>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</si>
  <si>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</si>
  <si>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</si>
  <si>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</si>
  <si>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</si>
  <si>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</si>
  <si>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</si>
  <si>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</si>
  <si>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</si>
  <si>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</si>
  <si>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</si>
  <si>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</si>
  <si>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</si>
  <si>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</si>
  <si>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</si>
  <si>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</si>
  <si>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</si>
  <si>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</si>
  <si>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</si>
  <si>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</si>
  <si>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</si>
  <si>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</si>
  <si>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</si>
  <si>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</si>
  <si>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</si>
  <si>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</si>
  <si>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</si>
  <si>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</si>
  <si>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</si>
  <si>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</si>
  <si>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</si>
  <si>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</si>
  <si>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</si>
  <si>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</si>
  <si>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</si>
  <si>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</si>
  <si>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</si>
  <si>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</si>
  <si>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</si>
  <si>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</si>
  <si>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</si>
  <si>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</si>
  <si>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</si>
  <si>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</si>
  <si>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</si>
  <si>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</si>
  <si>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</si>
  <si>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</si>
  <si>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</si>
  <si>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</si>
  <si>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</si>
  <si>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</si>
  <si>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</si>
  <si>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</si>
  <si>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</si>
  <si>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</si>
  <si>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</si>
  <si>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</si>
  <si>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</si>
  <si>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</si>
  <si>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</si>
  <si>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</si>
  <si>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</si>
  <si>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</si>
  <si>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</si>
  <si>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</si>
  <si>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</si>
  <si>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</si>
  <si>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</si>
  <si>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</si>
  <si>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</si>
  <si>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</si>
  <si>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</si>
  <si>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</si>
  <si>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</si>
  <si>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</si>
  <si>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</si>
  <si>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</si>
  <si>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</si>
  <si>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</si>
  <si>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</si>
  <si>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</si>
  <si>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</si>
  <si>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</si>
  <si>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</si>
  <si>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</si>
  <si>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</si>
  <si>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</si>
  <si>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</si>
  <si>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</si>
  <si>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</si>
  <si>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</si>
  <si>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</si>
  <si>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</si>
  <si>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</si>
  <si>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</si>
  <si>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</si>
  <si>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</si>
  <si>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</si>
  <si>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</si>
  <si>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</si>
  <si>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</si>
  <si>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</si>
  <si>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</si>
  <si>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</si>
  <si>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</si>
  <si>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</si>
  <si>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</si>
  <si>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</si>
  <si>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</si>
  <si>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</si>
  <si>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</si>
  <si>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</si>
  <si>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</si>
  <si>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</si>
  <si>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</si>
  <si>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</si>
  <si>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</si>
  <si>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</si>
  <si>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</si>
  <si>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</si>
  <si>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</si>
  <si>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</si>
  <si>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</si>
  <si>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</si>
  <si>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</si>
  <si>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</si>
  <si>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</si>
  <si>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</si>
  <si>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</si>
  <si>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</si>
  <si>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</si>
  <si>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</si>
  <si>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</si>
  <si>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</si>
  <si>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</si>
  <si>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</si>
  <si>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</si>
  <si>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</si>
  <si>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</si>
  <si>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</si>
  <si>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</si>
  <si>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</si>
  <si>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</si>
  <si>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</si>
  <si>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</si>
  <si>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</si>
  <si>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</si>
  <si>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</si>
  <si>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</si>
  <si>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</si>
  <si>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</si>
  <si>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</si>
  <si>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</si>
  <si>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</si>
  <si>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</si>
  <si>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</si>
  <si>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</si>
  <si>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</si>
  <si>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</si>
  <si>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</si>
  <si>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</si>
  <si>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</si>
  <si>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</si>
  <si>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</si>
  <si>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</si>
  <si>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</si>
  <si>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</si>
  <si>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</si>
  <si>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</si>
  <si>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</si>
  <si>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</si>
  <si>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</si>
  <si>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</si>
  <si>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</si>
  <si>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</si>
  <si>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</si>
  <si>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</si>
  <si>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</si>
  <si>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</si>
  <si>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</si>
  <si>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</si>
  <si>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</si>
  <si>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</si>
  <si>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</si>
  <si>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</si>
  <si>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</si>
  <si>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</si>
  <si>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</si>
  <si>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</si>
  <si>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</si>
  <si>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</si>
  <si>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</si>
  <si>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</si>
  <si>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</si>
  <si>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</si>
  <si>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</si>
  <si>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</si>
  <si>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</si>
  <si>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</si>
  <si>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</si>
  <si>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</si>
  <si>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</si>
  <si>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</si>
  <si>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</si>
  <si>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</si>
  <si>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</si>
  <si>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</si>
  <si>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</si>
  <si>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</si>
  <si>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</si>
  <si>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</si>
  <si>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</si>
  <si>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</si>
  <si>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</si>
  <si>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</si>
  <si>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</si>
  <si>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</si>
  <si>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</si>
  <si>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</si>
  <si>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</si>
  <si>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</si>
  <si>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</si>
  <si>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</si>
  <si>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</si>
  <si>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</si>
  <si>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</si>
  <si>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</si>
  <si>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</si>
  <si>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</si>
  <si>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</si>
  <si>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</si>
  <si>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</si>
  <si>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</si>
  <si>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</si>
  <si>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</si>
  <si>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</si>
  <si>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</si>
  <si>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</si>
  <si>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</si>
  <si>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</si>
  <si>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</si>
  <si>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</si>
  <si>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</si>
  <si>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</si>
  <si>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</si>
  <si>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</si>
  <si>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</si>
  <si>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</si>
  <si>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</si>
  <si>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</si>
  <si>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</si>
  <si>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</si>
  <si>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</si>
  <si>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</si>
  <si>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</si>
  <si>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</si>
  <si>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</si>
  <si>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</si>
  <si>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</si>
  <si>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</si>
  <si>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</si>
  <si>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</si>
  <si>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</si>
  <si>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</si>
  <si>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</si>
  <si>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</si>
  <si>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</si>
  <si>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</si>
  <si>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</si>
  <si>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</si>
  <si>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</si>
  <si>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</si>
  <si>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</si>
  <si>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</si>
  <si>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</si>
  <si>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</si>
  <si>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</si>
  <si>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</si>
  <si>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</si>
  <si>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</si>
  <si>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</si>
  <si>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</si>
  <si>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</si>
  <si>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</si>
  <si>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</si>
  <si>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</si>
  <si>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</si>
  <si>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</si>
  <si>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</si>
  <si>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</si>
  <si>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</si>
  <si>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</si>
  <si>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</si>
  <si>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</si>
  <si>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</si>
  <si>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</si>
  <si>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</si>
  <si>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</si>
  <si>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</si>
  <si>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</si>
  <si>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</si>
  <si>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</si>
  <si>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</si>
  <si>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</si>
  <si>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</si>
  <si>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</si>
  <si>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</si>
  <si>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</si>
  <si>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</si>
  <si>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</si>
  <si>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</si>
  <si>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</si>
  <si>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</si>
  <si>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</si>
  <si>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</si>
  <si>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</si>
  <si>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</si>
  <si>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</si>
  <si>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</si>
  <si>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</si>
  <si>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</si>
  <si>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</si>
  <si>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</si>
  <si>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</si>
  <si>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</si>
  <si>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</si>
  <si>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</si>
  <si>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</si>
  <si>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</si>
  <si>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</si>
  <si>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</si>
  <si>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</si>
  <si>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</si>
  <si>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</si>
  <si>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</si>
  <si>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</si>
  <si>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</si>
  <si>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</si>
  <si>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</si>
  <si>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</si>
  <si>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</si>
  <si>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</si>
  <si>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</si>
  <si>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</si>
  <si>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</si>
  <si>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</si>
  <si>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</si>
  <si>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</si>
  <si>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</si>
  <si>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</si>
  <si>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</si>
  <si>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</si>
  <si>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</si>
  <si>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</si>
  <si>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</si>
  <si>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</si>
  <si>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</si>
  <si>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</si>
  <si>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</si>
  <si>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</si>
  <si>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</si>
  <si>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</si>
  <si>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</si>
  <si>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</si>
  <si>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</si>
  <si>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</si>
  <si>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</si>
  <si>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</si>
  <si>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</si>
  <si>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</si>
  <si>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</si>
  <si>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</si>
  <si>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</si>
  <si>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</si>
  <si>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</si>
  <si>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</si>
  <si>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</si>
  <si>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</si>
  <si>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</si>
  <si>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</si>
  <si>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</si>
  <si>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</si>
  <si>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</si>
  <si>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</si>
  <si>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</si>
  <si>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</si>
  <si>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</si>
  <si>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</si>
  <si>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</si>
  <si>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</si>
  <si>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</si>
  <si>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</si>
  <si>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</si>
  <si>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</si>
  <si>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</si>
  <si>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</si>
  <si>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</si>
  <si>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</si>
  <si>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</si>
  <si>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</si>
  <si>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</si>
  <si>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</si>
  <si>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</si>
  <si>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</si>
  <si>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</si>
  <si>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</si>
  <si>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</si>
  <si>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</si>
  <si>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</si>
  <si>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</si>
  <si>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</si>
  <si>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</si>
  <si>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</si>
  <si>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</si>
  <si>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</si>
  <si>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</si>
  <si>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</si>
  <si>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</si>
  <si>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</si>
  <si>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</si>
  <si>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</si>
  <si>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</si>
  <si>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</si>
  <si>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</si>
  <si>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</si>
  <si>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</si>
  <si>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</si>
  <si>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</si>
  <si>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</si>
  <si>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</si>
  <si>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</si>
  <si>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</si>
  <si>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</si>
  <si>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</si>
  <si>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</si>
  <si>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</si>
  <si>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</si>
  <si>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</si>
  <si>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</si>
  <si>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</si>
  <si>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</si>
  <si>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</si>
  <si>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</si>
  <si>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</si>
  <si>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</si>
  <si>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</si>
  <si>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</si>
  <si>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</si>
  <si>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</si>
  <si>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</si>
  <si>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</si>
  <si>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</si>
  <si>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</si>
  <si>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</si>
  <si>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</si>
  <si>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</si>
  <si>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</si>
  <si>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</si>
  <si>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</si>
  <si>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</si>
  <si>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</si>
  <si>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</si>
  <si>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</si>
  <si>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</si>
  <si>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</si>
  <si>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</si>
  <si>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</si>
  <si>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</si>
  <si>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</si>
  <si>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</si>
  <si>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</si>
  <si>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</si>
  <si>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</si>
  <si>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</si>
  <si>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</si>
  <si>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</si>
  <si>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</si>
  <si>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</si>
  <si>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</si>
  <si>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</si>
  <si>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</si>
  <si>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</si>
  <si>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</si>
  <si>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</si>
  <si>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</si>
  <si>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</si>
  <si>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</si>
  <si>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</si>
  <si>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</si>
  <si>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</si>
  <si>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</si>
  <si>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</si>
  <si>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</si>
  <si>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</si>
  <si>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</si>
  <si>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</si>
  <si>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</si>
  <si>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</si>
  <si>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</si>
  <si>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</si>
  <si>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</si>
  <si>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</si>
  <si>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</si>
  <si>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</si>
  <si>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</si>
  <si>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</si>
  <si>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</si>
  <si>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</si>
  <si>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</si>
  <si>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</si>
  <si>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</si>
  <si>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</si>
  <si>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</si>
  <si>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</si>
  <si>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</si>
  <si>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</si>
  <si>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</si>
  <si>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</si>
  <si>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</si>
  <si>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</si>
  <si>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</si>
  <si>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</si>
  <si>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</si>
  <si>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</si>
  <si>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</si>
  <si>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</si>
  <si>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</si>
  <si>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</si>
  <si>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</si>
  <si>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</si>
  <si>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</si>
  <si>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</si>
  <si>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</si>
  <si>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</si>
  <si>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</si>
  <si>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</si>
  <si>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</si>
  <si>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</si>
  <si>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</si>
  <si>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</si>
  <si>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</si>
  <si>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</si>
  <si>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</si>
  <si>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</si>
  <si>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</si>
  <si>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</si>
  <si>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</si>
  <si>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</si>
  <si>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</si>
  <si>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</si>
  <si>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</si>
  <si>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</si>
  <si>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</si>
  <si>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</si>
  <si>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</si>
  <si>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</si>
  <si>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</si>
  <si>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</si>
  <si>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</si>
  <si>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</si>
  <si>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</si>
  <si>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</si>
  <si>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</si>
  <si>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</si>
  <si>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</si>
  <si>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</si>
  <si>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</si>
  <si>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</si>
  <si>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</si>
  <si>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</si>
  <si>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</si>
  <si>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</si>
  <si>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</si>
  <si>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</si>
  <si>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</si>
  <si>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</si>
  <si>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</si>
  <si>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</si>
  <si>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</si>
  <si>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</si>
  <si>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</si>
  <si>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</si>
  <si>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</si>
  <si>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</si>
  <si>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</si>
  <si>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</si>
  <si>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</si>
  <si>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</si>
  <si>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</si>
  <si>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</si>
  <si>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</si>
  <si>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</si>
  <si>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</si>
  <si>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</si>
  <si>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</si>
  <si>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</si>
  <si>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</si>
  <si>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</si>
  <si>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</si>
  <si>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</si>
  <si>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</si>
  <si>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</si>
  <si>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</si>
  <si>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</si>
  <si>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</si>
  <si>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</si>
  <si>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</si>
  <si>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</si>
  <si>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</si>
  <si>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</si>
  <si>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</si>
  <si>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</si>
  <si>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</si>
  <si>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</si>
  <si>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</si>
  <si>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</si>
  <si>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</si>
  <si>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</si>
  <si>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</si>
  <si>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</si>
  <si>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</si>
  <si>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</si>
  <si>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</si>
  <si>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</si>
  <si>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</si>
  <si>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</si>
  <si>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</si>
  <si>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</si>
  <si>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</si>
  <si>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</si>
  <si>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</si>
  <si>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</si>
  <si>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</si>
  <si>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</si>
  <si>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</si>
  <si>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</si>
  <si>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</si>
  <si>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</si>
  <si>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</si>
  <si>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</si>
  <si>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</si>
  <si>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</si>
  <si>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</si>
  <si>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</si>
  <si>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</si>
  <si>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</si>
  <si>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</si>
  <si>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</si>
  <si>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</si>
  <si>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</si>
  <si>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</si>
  <si>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</si>
  <si>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</si>
  <si>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</si>
  <si>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</si>
  <si>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</si>
  <si>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</si>
  <si>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</si>
  <si>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</si>
  <si>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</si>
  <si>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</si>
  <si>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</si>
  <si>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</si>
  <si>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</si>
  <si>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</si>
  <si>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</si>
  <si>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</si>
  <si>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</si>
  <si>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</si>
  <si>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</si>
  <si>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</si>
  <si>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</si>
  <si>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</si>
  <si>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</si>
  <si>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</si>
  <si>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</si>
  <si>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</si>
  <si>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</si>
  <si>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</si>
  <si>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</si>
  <si>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</si>
  <si>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</si>
  <si>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</si>
  <si>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</si>
  <si>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</si>
  <si>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</si>
  <si>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</si>
  <si>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</si>
  <si>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</si>
  <si>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</si>
  <si>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</si>
  <si>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</si>
  <si>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</si>
  <si>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</si>
  <si>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</si>
  <si>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</si>
  <si>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</si>
  <si>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</si>
  <si>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</si>
  <si>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</si>
  <si>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</si>
  <si>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</si>
  <si>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</si>
  <si>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</si>
  <si>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</si>
  <si>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</si>
  <si>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</si>
  <si>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</si>
  <si>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</si>
  <si>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</si>
  <si>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</si>
  <si>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</si>
  <si>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</si>
  <si>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</si>
  <si>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</si>
  <si>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</si>
  <si>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</si>
  <si>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</si>
  <si>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</si>
  <si>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</si>
  <si>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</si>
  <si>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</si>
  <si>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</si>
  <si>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</si>
  <si>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</si>
  <si>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</si>
  <si>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</si>
  <si>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</si>
  <si>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</si>
  <si>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</si>
  <si>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</si>
  <si>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</si>
  <si>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</si>
  <si>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</si>
  <si>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</si>
  <si>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</si>
  <si>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</si>
  <si>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</si>
  <si>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</si>
  <si>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</si>
  <si>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</si>
  <si>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</si>
  <si>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</si>
  <si>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</si>
  <si>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</si>
  <si>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</si>
  <si>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</si>
  <si>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</si>
  <si>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</si>
  <si>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</si>
  <si>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</si>
  <si>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</si>
  <si>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</si>
  <si>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</si>
  <si>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</si>
  <si>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</si>
  <si>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</si>
  <si>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</si>
  <si>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</si>
  <si>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</si>
  <si>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</si>
  <si>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</si>
  <si>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</si>
  <si>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</si>
  <si>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</si>
  <si>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</si>
  <si>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</si>
  <si>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</si>
  <si>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</si>
  <si>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</si>
  <si>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</si>
  <si>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</si>
  <si>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</si>
  <si>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</si>
  <si>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</si>
  <si>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</si>
  <si>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</si>
  <si>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</si>
  <si>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</si>
  <si>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</si>
  <si>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</si>
  <si>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</si>
  <si>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</si>
  <si>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</si>
  <si>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</si>
  <si>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</si>
  <si>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</si>
  <si>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</si>
  <si>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</si>
  <si>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</si>
  <si>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</si>
  <si>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</si>
  <si>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</si>
  <si>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</si>
  <si>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</si>
  <si>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</si>
  <si>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</si>
  <si>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</si>
  <si>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</si>
  <si>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</si>
  <si>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</si>
  <si>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</si>
  <si>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</si>
  <si>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</si>
  <si>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</si>
  <si>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</si>
  <si>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</si>
  <si>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</si>
  <si>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</si>
  <si>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</si>
  <si>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</si>
  <si>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</si>
  <si>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</si>
  <si>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</si>
  <si>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</si>
  <si>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</si>
  <si>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</si>
  <si>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</si>
  <si>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</si>
  <si>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</si>
  <si>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</si>
  <si>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</si>
  <si>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</si>
  <si>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</si>
  <si>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</si>
  <si>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</si>
  <si>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</si>
  <si>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</si>
  <si>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</si>
  <si>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</si>
  <si>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</si>
  <si>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</si>
  <si>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</si>
  <si>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</si>
  <si>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</si>
  <si>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</si>
  <si>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</si>
  <si>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</si>
  <si>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</si>
  <si>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</si>
  <si>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</si>
  <si>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</si>
  <si>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</si>
  <si>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</si>
  <si>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</si>
  <si>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</si>
  <si>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</si>
  <si>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</si>
  <si>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</si>
  <si>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</si>
  <si>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</si>
  <si>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</si>
  <si>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</si>
  <si>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</si>
  <si>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</si>
  <si>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</si>
  <si>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</si>
  <si>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</si>
  <si>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</si>
  <si>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</si>
  <si>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</si>
  <si>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</si>
  <si>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</si>
  <si>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</si>
  <si>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</si>
  <si>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</si>
  <si>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</si>
  <si>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</si>
  <si>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</si>
  <si>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</si>
  <si>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</si>
  <si>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</si>
  <si>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</si>
  <si>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</si>
  <si>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</si>
  <si>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</si>
  <si>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</si>
  <si>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</si>
  <si>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</si>
  <si>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</si>
  <si>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</si>
  <si>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</si>
  <si>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</si>
  <si>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</si>
  <si>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</si>
  <si>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</si>
  <si>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</si>
  <si>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</si>
  <si>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</si>
  <si>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</si>
  <si>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</si>
  <si>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</si>
  <si>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</si>
  <si>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</si>
  <si>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</si>
  <si>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</si>
  <si>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</si>
  <si>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</si>
  <si>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</si>
  <si>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</si>
  <si>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</si>
  <si>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</si>
  <si>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</si>
  <si>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</si>
  <si>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</si>
  <si>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</si>
  <si>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</si>
  <si>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</si>
  <si>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</si>
  <si>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</si>
  <si>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</si>
  <si>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</si>
  <si>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</si>
  <si>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</si>
  <si>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</si>
  <si>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</si>
  <si>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</si>
  <si>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</si>
  <si>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</si>
  <si>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</si>
  <si>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</si>
  <si>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</si>
  <si>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</si>
  <si>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</si>
  <si>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</si>
  <si>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</si>
  <si>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</si>
  <si>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</si>
  <si>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</si>
  <si>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</si>
  <si>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</si>
  <si>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</si>
  <si>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</si>
  <si>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</si>
  <si>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</si>
  <si>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</si>
  <si>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</si>
  <si>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</si>
  <si>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</si>
  <si>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</si>
  <si>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</si>
  <si>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</si>
  <si>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</si>
  <si>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</si>
  <si>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</si>
  <si>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</si>
  <si>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</si>
  <si>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</si>
  <si>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</si>
  <si>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</si>
  <si>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</si>
  <si>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</si>
  <si>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</si>
  <si>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</si>
  <si>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</si>
  <si>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</si>
  <si>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</si>
  <si>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</si>
  <si>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</si>
  <si>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</si>
  <si>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</si>
  <si>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</si>
  <si>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</si>
  <si>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</si>
  <si>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</si>
  <si>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</si>
  <si>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</si>
  <si>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</si>
  <si>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</si>
  <si>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</si>
  <si>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</si>
  <si>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</si>
  <si>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</si>
  <si>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</si>
  <si>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</si>
  <si>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</si>
  <si>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</si>
  <si>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</si>
  <si>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</si>
  <si>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</si>
  <si>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</si>
  <si>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</si>
  <si>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</si>
  <si>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</si>
  <si>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</si>
  <si>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</si>
  <si>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</si>
  <si>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</si>
  <si>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</si>
  <si>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</si>
  <si>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</si>
  <si>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</si>
  <si>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</si>
  <si>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</si>
  <si>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</si>
  <si>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</si>
  <si>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</si>
  <si>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</si>
  <si>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</si>
  <si>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</si>
  <si>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</si>
  <si>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</si>
  <si>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</si>
  <si>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</si>
  <si>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</si>
  <si>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</si>
  <si>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</si>
  <si>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</si>
  <si>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</si>
  <si>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</si>
  <si>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</si>
  <si>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</si>
  <si>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</si>
  <si>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</si>
  <si>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</si>
  <si>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</si>
  <si>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</si>
  <si>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</si>
  <si>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</si>
  <si>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</si>
  <si>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</si>
  <si>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</si>
  <si>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</si>
  <si>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</si>
  <si>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</si>
  <si>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</si>
  <si>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</si>
  <si>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</si>
  <si>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</si>
  <si>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</si>
  <si>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</si>
  <si>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</si>
  <si>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</si>
  <si>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</si>
  <si>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</si>
  <si>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</si>
  <si>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</si>
  <si>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</si>
  <si>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</si>
  <si>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</si>
  <si>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</si>
  <si>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</si>
  <si>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</si>
  <si>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</si>
  <si>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</si>
  <si>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</si>
  <si>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</si>
  <si>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</si>
  <si>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</si>
  <si>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</si>
  <si>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</si>
  <si>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</si>
  <si>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</si>
  <si>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</si>
  <si>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</si>
  <si>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</si>
  <si>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</si>
  <si>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</si>
  <si>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</si>
  <si>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</si>
  <si>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</si>
  <si>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</si>
  <si>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</si>
  <si>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</si>
  <si>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</si>
  <si>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</si>
  <si>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</si>
  <si>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</si>
  <si>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</si>
  <si>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</si>
  <si>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</si>
  <si>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</si>
  <si>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</si>
  <si>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</si>
  <si>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</si>
  <si>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</si>
  <si>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</si>
  <si>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</si>
  <si>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</si>
  <si>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</si>
  <si>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</si>
  <si>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</si>
  <si>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</si>
  <si>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</si>
  <si>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</si>
  <si>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</si>
  <si>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</si>
  <si>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</si>
  <si>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</si>
  <si>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</si>
  <si>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</si>
  <si>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</si>
  <si>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</si>
  <si>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</si>
  <si>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</si>
  <si>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</si>
  <si>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</si>
  <si>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</si>
  <si>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</si>
  <si>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</si>
  <si>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</si>
  <si>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</si>
  <si>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</si>
  <si>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</si>
  <si>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</si>
  <si>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</si>
  <si>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</si>
  <si>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</si>
  <si>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</si>
  <si>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</si>
  <si>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</si>
  <si>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</si>
  <si>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</si>
  <si>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</si>
  <si>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</si>
  <si>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</si>
  <si>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</si>
  <si>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</si>
  <si>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</si>
  <si>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</si>
  <si>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</si>
  <si>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</si>
  <si>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</si>
  <si>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</si>
  <si>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</si>
  <si>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</si>
  <si>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</si>
  <si>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</si>
  <si>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</si>
  <si>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</si>
  <si>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</si>
  <si>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</si>
  <si>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</si>
  <si>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</si>
  <si>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</si>
  <si>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</si>
  <si>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</si>
  <si>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</si>
  <si>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</si>
  <si>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</si>
  <si>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</si>
  <si>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</si>
  <si>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</si>
  <si>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</si>
  <si>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</si>
  <si>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</si>
  <si>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</si>
  <si>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</si>
  <si>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</si>
  <si>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</si>
  <si>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</si>
  <si>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</si>
  <si>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</si>
  <si>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</si>
  <si>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</si>
  <si>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</si>
  <si>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</si>
  <si>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</si>
  <si>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</si>
  <si>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</si>
  <si>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</si>
  <si>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</si>
  <si>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</si>
  <si>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</si>
  <si>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</si>
  <si>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</si>
  <si>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</si>
  <si>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</si>
  <si>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</si>
  <si>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</si>
  <si>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</si>
  <si>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</si>
  <si>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</si>
  <si>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</si>
  <si>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</si>
  <si>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</si>
  <si>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</si>
  <si>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</si>
  <si>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</si>
  <si>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</si>
  <si>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</si>
  <si>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</si>
  <si>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</si>
  <si>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</si>
  <si>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</si>
  <si>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</si>
  <si>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</si>
  <si>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</si>
  <si>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</si>
  <si>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</si>
  <si>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</si>
  <si>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</si>
  <si>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</si>
  <si>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</si>
  <si>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</si>
  <si>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</si>
  <si>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</si>
  <si>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</si>
  <si>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</si>
  <si>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</si>
  <si>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</si>
  <si>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</si>
  <si>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</si>
  <si>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</si>
  <si>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</si>
  <si>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</si>
  <si>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</si>
  <si>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</si>
  <si>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</si>
  <si>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</si>
  <si>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</si>
  <si>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</si>
  <si>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</si>
  <si>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</si>
  <si>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</si>
  <si>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</si>
  <si>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</si>
  <si>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</si>
  <si>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</si>
  <si>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</si>
  <si>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</si>
  <si>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</si>
  <si>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</si>
  <si>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</si>
  <si>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</si>
  <si>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</si>
  <si>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</si>
  <si>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</si>
  <si>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</si>
  <si>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</si>
  <si>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</si>
  <si>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</si>
  <si>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</si>
  <si>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</si>
  <si>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</si>
  <si>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</si>
  <si>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</si>
  <si>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</si>
  <si>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</si>
  <si>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</si>
  <si>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</si>
  <si>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</si>
  <si>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</si>
  <si>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</si>
  <si>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</si>
  <si>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</si>
  <si>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</si>
  <si>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</si>
  <si>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</si>
  <si>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</si>
  <si>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</si>
  <si>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</si>
  <si>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</si>
  <si>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</si>
  <si>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</si>
  <si>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</si>
  <si>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</si>
  <si>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</si>
  <si>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</si>
  <si>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</si>
  <si>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</si>
  <si>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</si>
  <si>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</si>
  <si>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</si>
  <si>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</si>
  <si>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</si>
  <si>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</si>
  <si>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</si>
  <si>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</si>
  <si>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</si>
  <si>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</si>
  <si>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</si>
  <si>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</si>
  <si>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</si>
  <si>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</si>
  <si>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</si>
  <si>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</si>
  <si>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</si>
  <si>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</si>
  <si>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</si>
  <si>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</si>
  <si>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</si>
  <si>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</si>
  <si>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</si>
  <si>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</si>
  <si>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</si>
  <si>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</si>
  <si>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</si>
  <si>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</si>
  <si>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</si>
  <si>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</si>
  <si>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</si>
  <si>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</si>
  <si>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</si>
  <si>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</si>
  <si>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</si>
  <si>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</si>
  <si>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</si>
  <si>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</si>
  <si>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</si>
  <si>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</si>
  <si>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</si>
  <si>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</si>
  <si>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</si>
  <si>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</si>
  <si>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</si>
  <si>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</si>
  <si>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</si>
  <si>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</si>
  <si>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</si>
  <si>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</si>
  <si>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</si>
  <si>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</si>
  <si>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</si>
  <si>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</si>
  <si>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</si>
  <si>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</si>
  <si>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</si>
  <si>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</si>
  <si>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</si>
  <si>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</si>
  <si>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</si>
  <si>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</si>
  <si>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</si>
  <si>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</si>
  <si>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</si>
  <si>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</si>
  <si>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</si>
  <si>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</si>
  <si>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</si>
  <si>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</si>
  <si>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</si>
  <si>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</si>
  <si>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</si>
  <si>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</si>
  <si>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</si>
  <si>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</si>
  <si>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</si>
  <si>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</si>
  <si>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</si>
  <si>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</si>
  <si>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</si>
  <si>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</si>
  <si>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</si>
  <si>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</si>
  <si>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</si>
  <si>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</si>
  <si>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</si>
  <si>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</si>
  <si>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</si>
  <si>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</si>
  <si>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</si>
  <si>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</si>
  <si>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</si>
  <si>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</si>
  <si>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</si>
  <si>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</si>
  <si>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</si>
  <si>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</si>
  <si>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</si>
  <si>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</si>
  <si>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</si>
  <si>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</si>
  <si>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</si>
  <si>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</si>
  <si>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</si>
  <si>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</si>
  <si>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</si>
  <si>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</si>
  <si>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</si>
  <si>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</si>
  <si>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</si>
  <si>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</si>
  <si>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</si>
  <si>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</si>
  <si>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</si>
  <si>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</si>
  <si>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</si>
  <si>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</si>
  <si>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</si>
  <si>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</si>
  <si>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</si>
  <si>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</si>
  <si>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</si>
  <si>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</si>
  <si>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</si>
  <si>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</si>
  <si>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</si>
  <si>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</si>
  <si>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</si>
  <si>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</si>
  <si>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</si>
  <si>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</si>
  <si>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</si>
  <si>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</si>
  <si>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</si>
  <si>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</si>
  <si>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</si>
  <si>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</si>
  <si>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</si>
  <si>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</si>
  <si>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</si>
  <si>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</si>
  <si>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</si>
  <si>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</si>
  <si>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</si>
  <si>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</si>
  <si>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</si>
  <si>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</si>
  <si>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</si>
  <si>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</si>
  <si>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</si>
  <si>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</si>
  <si>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</si>
  <si>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</si>
  <si>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</si>
  <si>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</si>
  <si>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</si>
  <si>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</si>
  <si>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</si>
  <si>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</si>
  <si>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</si>
  <si>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</si>
  <si>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</si>
  <si>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</si>
  <si>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</si>
  <si>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</si>
  <si>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</si>
  <si>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</si>
  <si>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</si>
  <si>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</si>
  <si>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</si>
  <si>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</si>
  <si>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</si>
  <si>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</si>
  <si>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</si>
  <si>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</si>
  <si>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</si>
  <si>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</si>
  <si>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</si>
  <si>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</si>
  <si>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</si>
  <si>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</si>
  <si>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</si>
  <si>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</si>
  <si>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</si>
  <si>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</si>
  <si>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</si>
  <si>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</si>
  <si>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</si>
  <si>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</si>
  <si>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</si>
  <si>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</si>
  <si>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</si>
  <si>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</si>
  <si>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</si>
  <si>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</si>
  <si>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</si>
  <si>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</si>
  <si>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</si>
  <si>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</si>
  <si>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</si>
  <si>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</si>
  <si>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</si>
  <si>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</si>
  <si>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</si>
  <si>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</si>
  <si>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</si>
  <si>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</si>
  <si>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</si>
  <si>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</si>
  <si>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</si>
  <si>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</si>
  <si>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</si>
  <si>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</si>
  <si>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</si>
  <si>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</si>
  <si>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</si>
  <si>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</si>
  <si>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</si>
  <si>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</si>
  <si>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</si>
  <si>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</si>
  <si>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</si>
  <si>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</si>
  <si>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</si>
  <si>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</si>
  <si>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</si>
  <si>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</si>
  <si>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</si>
  <si>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</si>
  <si>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</si>
  <si>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</si>
  <si>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</si>
  <si>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</si>
  <si>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</si>
  <si>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</si>
  <si>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</si>
  <si>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</si>
  <si>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</si>
  <si>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</si>
  <si>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</si>
  <si>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</si>
  <si>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</si>
  <si>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</si>
  <si>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</si>
  <si>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</si>
  <si>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</si>
  <si>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</si>
  <si>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</si>
  <si>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</si>
  <si>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</si>
  <si>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</si>
  <si>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</si>
  <si>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</si>
  <si>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</si>
  <si>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</si>
  <si>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</si>
  <si>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</si>
  <si>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</si>
  <si>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</si>
  <si>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</si>
  <si>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</si>
  <si>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</si>
  <si>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</si>
  <si>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</si>
  <si>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</si>
  <si>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</si>
  <si>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</si>
  <si>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</si>
  <si>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</si>
  <si>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</si>
  <si>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</si>
  <si>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</si>
  <si>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</si>
  <si>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</si>
  <si>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</si>
  <si>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</si>
  <si>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</si>
  <si>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</si>
  <si>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</si>
  <si>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</si>
  <si>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</si>
  <si>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</si>
  <si>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</si>
  <si>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</si>
  <si>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</si>
  <si>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</si>
  <si>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</si>
  <si>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</si>
  <si>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</si>
  <si>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</si>
  <si>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</si>
  <si>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</si>
  <si>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</si>
  <si>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</si>
  <si>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</si>
  <si>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</si>
  <si>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</si>
  <si>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</si>
  <si>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</si>
  <si>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</si>
  <si>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</si>
  <si>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</si>
  <si>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</si>
  <si>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</si>
  <si>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</si>
  <si>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</si>
  <si>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</si>
  <si>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</si>
  <si>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</si>
  <si>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</si>
  <si>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</si>
  <si>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</si>
  <si>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</si>
  <si>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划拨</t>
  </si>
  <si>
    <t>小区配套服务用房名称</t>
  </si>
  <si>
    <t>（含商业配套用房）</t>
  </si>
  <si>
    <t>房间编号</t>
  </si>
  <si>
    <t>地块</t>
  </si>
  <si>
    <t>位置</t>
  </si>
  <si>
    <t>建筑面积</t>
  </si>
  <si>
    <t>（㎡）</t>
  </si>
  <si>
    <t>备注</t>
  </si>
  <si>
    <t>管理用房</t>
  </si>
  <si>
    <t>2-101</t>
  </si>
  <si>
    <t>一</t>
  </si>
  <si>
    <t>2#楼首层</t>
  </si>
  <si>
    <t>具有独立卫生间</t>
  </si>
  <si>
    <t>配套商业</t>
  </si>
  <si>
    <t>4-101</t>
  </si>
  <si>
    <t>二</t>
  </si>
  <si>
    <t>4#楼首层</t>
  </si>
  <si>
    <t>具有独立卫生间，预留燃气条件，需要用户报装</t>
  </si>
  <si>
    <t>4-102</t>
  </si>
  <si>
    <t>4-103</t>
  </si>
  <si>
    <t>4-104</t>
  </si>
  <si>
    <t>4-105</t>
  </si>
  <si>
    <t>4-106</t>
  </si>
  <si>
    <t>4-107</t>
  </si>
  <si>
    <t>便利店</t>
  </si>
  <si>
    <t>5-101</t>
  </si>
  <si>
    <t>5#楼首层</t>
  </si>
  <si>
    <t>无卫生间，不具备通燃气条件</t>
  </si>
  <si>
    <t>5-102</t>
  </si>
  <si>
    <t>6-101</t>
  </si>
  <si>
    <t>6#楼首层</t>
  </si>
  <si>
    <t>社区卫生服务站</t>
  </si>
  <si>
    <t>6-102</t>
  </si>
  <si>
    <t>西药房</t>
  </si>
  <si>
    <t>6-103</t>
  </si>
  <si>
    <t>具有独立卫生间，不具备通燃气条件</t>
  </si>
  <si>
    <t>6-104</t>
  </si>
  <si>
    <t>6-105</t>
  </si>
  <si>
    <t>中药房</t>
  </si>
  <si>
    <t>6-106</t>
  </si>
  <si>
    <t>6-107</t>
  </si>
  <si>
    <t>6-108</t>
  </si>
  <si>
    <t>社区助残中心康复健身室</t>
  </si>
  <si>
    <t>26-101</t>
  </si>
  <si>
    <t>五</t>
  </si>
  <si>
    <t>26#楼首层</t>
  </si>
  <si>
    <t>社区助残中心+活动室</t>
  </si>
  <si>
    <t>26-102</t>
  </si>
  <si>
    <t>26-103</t>
  </si>
  <si>
    <t>老年活动站+活动室</t>
  </si>
  <si>
    <t>26-104</t>
  </si>
  <si>
    <t>老年活动站</t>
  </si>
  <si>
    <t>26-105</t>
  </si>
  <si>
    <t>26-106</t>
  </si>
  <si>
    <t>商业（兼社区服务用房）</t>
  </si>
  <si>
    <t>32-101</t>
  </si>
  <si>
    <t>32#楼首层</t>
  </si>
  <si>
    <t>警卫室</t>
  </si>
  <si>
    <t>32-102</t>
  </si>
  <si>
    <t>物业</t>
  </si>
  <si>
    <t>34-101</t>
  </si>
  <si>
    <t>34#楼首层</t>
  </si>
  <si>
    <t>超市</t>
  </si>
  <si>
    <t>S5-B1-101</t>
  </si>
  <si>
    <t>三</t>
  </si>
  <si>
    <t>S5#楼地下一层</t>
  </si>
  <si>
    <t>S5-101</t>
  </si>
  <si>
    <t>S5#楼首层</t>
  </si>
  <si>
    <t>无独立卫生间，具备通燃气条件</t>
  </si>
  <si>
    <t>S5-102</t>
  </si>
  <si>
    <t>餐厅+厨房</t>
  </si>
  <si>
    <t>S5-103</t>
  </si>
  <si>
    <t>具备通燃气条件</t>
  </si>
  <si>
    <t>S5-201</t>
  </si>
  <si>
    <t>S5#楼二层</t>
  </si>
  <si>
    <t>S5-202</t>
  </si>
  <si>
    <t>社区服务用房</t>
  </si>
  <si>
    <t>S4-101</t>
  </si>
  <si>
    <t>四</t>
  </si>
  <si>
    <t>S4#楼首层</t>
  </si>
  <si>
    <t>无独立卫生间，不具备通燃气条件</t>
  </si>
  <si>
    <t>菜市场</t>
  </si>
  <si>
    <t>S4-102</t>
  </si>
  <si>
    <t>S4-103</t>
  </si>
  <si>
    <t>无独立卫生间，预留燃气条件，需要用户报装</t>
  </si>
  <si>
    <t>S4-104</t>
  </si>
  <si>
    <t>S4-105</t>
  </si>
  <si>
    <t>S4-106</t>
  </si>
  <si>
    <t>S4-107</t>
  </si>
  <si>
    <t>S4-108</t>
  </si>
  <si>
    <t>商业（共享空间）</t>
  </si>
  <si>
    <t>S4-109</t>
  </si>
  <si>
    <t>S4-201</t>
  </si>
  <si>
    <t>S4#楼二层</t>
  </si>
  <si>
    <t>S4-202</t>
  </si>
  <si>
    <t>未成年人活动中心</t>
  </si>
  <si>
    <t>S4-203</t>
  </si>
  <si>
    <t>文化活动设施用房</t>
  </si>
  <si>
    <t>S4-204</t>
  </si>
  <si>
    <t>托老所</t>
  </si>
  <si>
    <t>S7</t>
  </si>
  <si>
    <t>有独立卫生间</t>
  </si>
  <si>
    <t>【13图】亦庄开发区整租4884独栋商业酒店公寓全业态,北京通州张家湾商铺租售/生意转让出租-北京58同城</t>
  </si>
  <si>
    <t>【4图】小区门口，可以分租，每层600平米,北京通州张家湾商铺租售/生意转让出租-北京58同城</t>
  </si>
  <si>
    <t>【6图】房主直租。距环球影城4公里。,北京通州张家湾商铺租售/生意转让出租-北京58同城</t>
  </si>
  <si>
    <t>【6图】1820平米纯商业，有餐饮，洗浴，歌舞娱乐照。,北京通州张家湾商铺租售/生意转让转让-北京58同城</t>
  </si>
  <si>
    <t>【1图】因家里老人生病没时间经营旺铺急转 给设备钱就转,北京通州张家湾商铺租售/生意转让转让-北京58同城</t>
  </si>
  <si>
    <t>【3图】转让，因孩子回家上学，不得不放弃经营,北京通州张家湾商铺租售/生意转让出租-北京58同城</t>
  </si>
  <si>
    <t>【20图】张家湾设计小镇小型综合体(商铺),北京通州张家湾商铺租售/生意转让出租-北京58同城</t>
  </si>
  <si>
    <t>珠江四季悦城</t>
    <phoneticPr fontId="134" type="noConversion"/>
  </si>
  <si>
    <t>1层</t>
  </si>
  <si>
    <t>1层</t>
    <phoneticPr fontId="134" type="noConversion"/>
  </si>
  <si>
    <t>环湖小镇</t>
    <phoneticPr fontId="134" type="noConversion"/>
  </si>
  <si>
    <t>2层</t>
    <phoneticPr fontId="134" type="noConversion"/>
  </si>
  <si>
    <t>祥和乐园</t>
    <phoneticPr fontId="134" type="noConversion"/>
  </si>
  <si>
    <r>
      <t>1</t>
    </r>
    <r>
      <rPr>
        <sz val="11"/>
        <color theme="1"/>
        <rFont val="宋体"/>
        <family val="3"/>
        <charset val="134"/>
        <scheme val="minor"/>
      </rPr>
      <t>-2层</t>
    </r>
    <phoneticPr fontId="134" type="noConversion"/>
  </si>
  <si>
    <t>太阳城KTV</t>
    <phoneticPr fontId="134" type="noConversion"/>
  </si>
  <si>
    <t>南火垡村</t>
    <phoneticPr fontId="134" type="noConversion"/>
  </si>
  <si>
    <t>可餐饮</t>
    <phoneticPr fontId="134" type="noConversion"/>
  </si>
  <si>
    <t>张家湾设计小镇</t>
    <phoneticPr fontId="134" type="noConversion"/>
  </si>
  <si>
    <t>【5图】附近几个小区，小区门口店,北京通州张家湾商铺租售/生意转让转让-北京58同城</t>
  </si>
  <si>
    <t>张家湾后南关村</t>
    <phoneticPr fontId="134" type="noConversion"/>
  </si>
  <si>
    <r>
      <t>1</t>
    </r>
    <r>
      <rPr>
        <sz val="11"/>
        <color indexed="8"/>
        <rFont val="宋体"/>
        <family val="3"/>
        <charset val="134"/>
      </rPr>
      <t>层</t>
    </r>
    <phoneticPr fontId="30" type="noConversion"/>
  </si>
  <si>
    <t>临街底商</t>
  </si>
  <si>
    <t>临街底商</t>
    <phoneticPr fontId="30" type="noConversion"/>
  </si>
  <si>
    <t>一般</t>
  </si>
  <si>
    <t>较好</t>
  </si>
  <si>
    <t>较大</t>
  </si>
  <si>
    <t>较大</t>
    <phoneticPr fontId="30" type="noConversion"/>
  </si>
  <si>
    <t>一般</t>
    <phoneticPr fontId="30" type="noConversion"/>
  </si>
  <si>
    <t>普通装修</t>
  </si>
  <si>
    <t>普通装修</t>
    <phoneticPr fontId="30" type="noConversion"/>
  </si>
  <si>
    <t>简单装修</t>
  </si>
  <si>
    <t>简单装修</t>
    <phoneticPr fontId="30" type="noConversion"/>
  </si>
  <si>
    <t>毛坯</t>
  </si>
  <si>
    <t>毛坯</t>
    <phoneticPr fontId="30" type="noConversion"/>
  </si>
  <si>
    <t>正常</t>
  </si>
  <si>
    <t>挂牌</t>
  </si>
  <si>
    <t>挂牌</t>
    <phoneticPr fontId="30" type="noConversion"/>
  </si>
  <si>
    <t>楼层修正</t>
    <phoneticPr fontId="134" type="noConversion"/>
  </si>
  <si>
    <t>面积修正</t>
    <phoneticPr fontId="134" type="noConversion"/>
  </si>
  <si>
    <t>租金水平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</si>
</sst>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8"/>
      <name val="Arial"/>
      <family val="2"/>
    </font>
    <font>
      <sz val="14"/>
      <color rgb="FF000000"/>
      <name val="微软雅黑"/>
      <family val="2"/>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D100A"/>
        <bgColor indexed="64"/>
      </patternFill>
    </fill>
    <fill>
      <patternFill patternType="solid">
        <fgColor rgb="FFEDCCCC"/>
        <bgColor indexed="64"/>
      </patternFill>
    </fill>
    <fill>
      <patternFill patternType="solid">
        <fgColor rgb="FFF6E7E7"/>
        <bgColor indexed="64"/>
      </patternFill>
    </fill>
    <fill>
      <patternFill patternType="solid">
        <fgColor theme="9" tint="0.79998168889431442"/>
        <bgColor indexed="64"/>
      </patternFill>
    </fill>
    <fill>
      <patternFill patternType="solid">
        <fgColor theme="6" tint="0.79998168889431442"/>
        <bgColor indexed="64"/>
      </patternFill>
    </fill>
  </fills>
  <borders count="1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FFFFFF"/>
      </left>
      <right style="thick">
        <color rgb="FFFFFFFF"/>
      </right>
      <top style="thick">
        <color rgb="FFFFFFFF"/>
      </top>
      <bottom style="medium">
        <color rgb="FFFFFFFF"/>
      </bottom>
      <diagonal/>
    </border>
    <border>
      <left style="thick">
        <color rgb="FFFFFFFF"/>
      </left>
      <right style="medium">
        <color rgb="FFFFFFFF"/>
      </right>
      <top style="thick">
        <color rgb="FFFFFFFF"/>
      </top>
      <bottom style="medium">
        <color rgb="FFFFFFFF"/>
      </bottom>
      <diagonal/>
    </border>
    <border>
      <left style="medium">
        <color rgb="FFFFFFFF"/>
      </left>
      <right style="thick">
        <color rgb="FFFFFFFF"/>
      </right>
      <top style="medium">
        <color rgb="FFFFFFFF"/>
      </top>
      <bottom style="medium">
        <color rgb="FFFFFFFF"/>
      </bottom>
      <diagonal/>
    </border>
    <border>
      <left style="thick">
        <color rgb="FFFFFFFF"/>
      </left>
      <right style="medium">
        <color rgb="FFFFFFFF"/>
      </right>
      <top style="medium">
        <color rgb="FFFFFFFF"/>
      </top>
      <bottom style="medium">
        <color rgb="FFFFFFFF"/>
      </bottom>
      <diagonal/>
    </border>
    <border>
      <left style="medium">
        <color rgb="FFFFFFFF"/>
      </left>
      <right style="medium">
        <color rgb="FFFFFFFF"/>
      </right>
      <top style="thick">
        <color rgb="FFFFFFFF"/>
      </top>
      <bottom/>
      <diagonal/>
    </border>
    <border>
      <left/>
      <right/>
      <top style="medium">
        <color rgb="FFFFFFFF"/>
      </top>
      <bottom/>
      <diagonal/>
    </border>
    <border>
      <left/>
      <right/>
      <top/>
      <bottom style="thick">
        <color rgb="FFFFFFFF"/>
      </bottom>
      <diagonal/>
    </border>
    <border>
      <left/>
      <right/>
      <top style="thick">
        <color rgb="FFFFFFFF"/>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2" fillId="22" borderId="177" xfId="0" applyFont="1" applyFill="1" applyBorder="1" applyAlignment="1">
      <alignment horizontal="center" vertical="center" wrapText="1" readingOrder="1"/>
    </xf>
    <xf numFmtId="0" fontId="272" fillId="22" borderId="178" xfId="0" applyFont="1" applyFill="1" applyBorder="1" applyAlignment="1">
      <alignment horizontal="center" vertical="center" wrapText="1" readingOrder="1"/>
    </xf>
    <xf numFmtId="0" fontId="272" fillId="23" borderId="179" xfId="0" applyFont="1" applyFill="1" applyBorder="1" applyAlignment="1">
      <alignment horizontal="center" vertical="center" wrapText="1" readingOrder="1"/>
    </xf>
    <xf numFmtId="0" fontId="272" fillId="24" borderId="180" xfId="0" applyFont="1" applyFill="1" applyBorder="1" applyAlignment="1">
      <alignment horizontal="center" vertical="center" wrapText="1" readingOrder="1"/>
    </xf>
    <xf numFmtId="0" fontId="272" fillId="23" borderId="180" xfId="0" applyFont="1" applyFill="1" applyBorder="1" applyAlignment="1">
      <alignment horizontal="center" vertical="center" wrapText="1" readingOrder="1"/>
    </xf>
    <xf numFmtId="0" fontId="272" fillId="22" borderId="176" xfId="0" applyFont="1" applyFill="1" applyBorder="1" applyAlignment="1">
      <alignment horizontal="center" vertical="center" wrapText="1" readingOrder="1"/>
    </xf>
    <xf numFmtId="0" fontId="272" fillId="23" borderId="183" xfId="0" applyFont="1" applyFill="1" applyBorder="1" applyAlignment="1">
      <alignment horizontal="center" vertical="center" wrapText="1" readingOrder="1"/>
    </xf>
    <xf numFmtId="0" fontId="272" fillId="23" borderId="184" xfId="0" applyFont="1" applyFill="1" applyBorder="1" applyAlignment="1">
      <alignment horizontal="center" vertical="center" wrapText="1" readingOrder="1"/>
    </xf>
    <xf numFmtId="0" fontId="272" fillId="24" borderId="185" xfId="0" applyFont="1" applyFill="1" applyBorder="1" applyAlignment="1">
      <alignment horizontal="center" vertical="center" wrapText="1" readingOrder="1"/>
    </xf>
    <xf numFmtId="0" fontId="272" fillId="24" borderId="186" xfId="0" applyFont="1" applyFill="1" applyBorder="1" applyAlignment="1">
      <alignment horizontal="center" vertical="center" wrapText="1" readingOrder="1"/>
    </xf>
    <xf numFmtId="0" fontId="272" fillId="23" borderId="185" xfId="0" applyFont="1" applyFill="1" applyBorder="1" applyAlignment="1">
      <alignment horizontal="center" vertical="center" wrapText="1" readingOrder="1"/>
    </xf>
    <xf numFmtId="0" fontId="272" fillId="23" borderId="186" xfId="0" applyFont="1" applyFill="1" applyBorder="1" applyAlignment="1">
      <alignment horizontal="center" vertical="center" wrapText="1" readingOrder="1"/>
    </xf>
    <xf numFmtId="0" fontId="271" fillId="23" borderId="180" xfId="0" applyFont="1" applyFill="1" applyBorder="1" applyAlignment="1">
      <alignment horizontal="center" vertical="center" wrapText="1"/>
    </xf>
    <xf numFmtId="0" fontId="272" fillId="25" borderId="176" xfId="0" applyFont="1" applyFill="1" applyBorder="1" applyAlignment="1">
      <alignment horizontal="center" vertical="center" wrapText="1" readingOrder="1"/>
    </xf>
    <xf numFmtId="0" fontId="271" fillId="25" borderId="176" xfId="0" applyFont="1" applyFill="1" applyBorder="1" applyAlignment="1">
      <alignment horizontal="center" vertical="center" wrapText="1"/>
    </xf>
    <xf numFmtId="0" fontId="272" fillId="25" borderId="179" xfId="0" applyFont="1" applyFill="1" applyBorder="1" applyAlignment="1">
      <alignment horizontal="center" vertical="center" wrapText="1" readingOrder="1"/>
    </xf>
    <xf numFmtId="0" fontId="272" fillId="25" borderId="183" xfId="0" applyFont="1" applyFill="1" applyBorder="1" applyAlignment="1">
      <alignment horizontal="center" vertical="center" wrapText="1" readingOrder="1"/>
    </xf>
    <xf numFmtId="0" fontId="272" fillId="25" borderId="184" xfId="0" applyFont="1" applyFill="1" applyBorder="1" applyAlignment="1">
      <alignment horizontal="center" vertical="center" wrapText="1" readingOrder="1"/>
    </xf>
    <xf numFmtId="0" fontId="272" fillId="25" borderId="180" xfId="0" applyFont="1" applyFill="1" applyBorder="1" applyAlignment="1">
      <alignment horizontal="center" vertical="center" wrapText="1" readingOrder="1"/>
    </xf>
    <xf numFmtId="0" fontId="272" fillId="25" borderId="185" xfId="0" applyFont="1" applyFill="1" applyBorder="1" applyAlignment="1">
      <alignment horizontal="center" vertical="center" wrapText="1" readingOrder="1"/>
    </xf>
    <xf numFmtId="0" fontId="272" fillId="25" borderId="186" xfId="0" applyFont="1" applyFill="1" applyBorder="1" applyAlignment="1">
      <alignment horizontal="center" vertical="center" wrapText="1" readingOrder="1"/>
    </xf>
    <xf numFmtId="0" fontId="272" fillId="26" borderId="180" xfId="0" applyFont="1" applyFill="1" applyBorder="1" applyAlignment="1">
      <alignment horizontal="center" vertical="center" wrapText="1" readingOrder="1"/>
    </xf>
    <xf numFmtId="0" fontId="272" fillId="26" borderId="176" xfId="0" applyFont="1" applyFill="1" applyBorder="1" applyAlignment="1">
      <alignment horizontal="center" vertical="center" wrapText="1" readingOrder="1"/>
    </xf>
    <xf numFmtId="0" fontId="272" fillId="26" borderId="179" xfId="0" applyFont="1" applyFill="1" applyBorder="1" applyAlignment="1">
      <alignment horizontal="center" vertical="center" wrapText="1" readingOrder="1"/>
    </xf>
    <xf numFmtId="0" fontId="272" fillId="26" borderId="183" xfId="0" applyFont="1" applyFill="1" applyBorder="1" applyAlignment="1">
      <alignment horizontal="center" vertical="center" wrapText="1" readingOrder="1"/>
    </xf>
    <xf numFmtId="0" fontId="272" fillId="26" borderId="184" xfId="0" applyFont="1" applyFill="1" applyBorder="1" applyAlignment="1">
      <alignment horizontal="center" vertical="center" wrapText="1" readingOrder="1"/>
    </xf>
    <xf numFmtId="0" fontId="272" fillId="26" borderId="185" xfId="0" applyFont="1" applyFill="1" applyBorder="1" applyAlignment="1">
      <alignment horizontal="center" vertical="center" wrapText="1" readingOrder="1"/>
    </xf>
    <xf numFmtId="0" fontId="272" fillId="26" borderId="186" xfId="0" applyFont="1" applyFill="1" applyBorder="1" applyAlignment="1">
      <alignment horizontal="center" vertical="center" wrapText="1" readingOrder="1"/>
    </xf>
    <xf numFmtId="0" fontId="273" fillId="0" borderId="0" xfId="19">
      <alignment vertical="center"/>
    </xf>
    <xf numFmtId="0" fontId="270" fillId="0" borderId="0" xfId="0" applyFont="1">
      <alignmen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0" fillId="0" borderId="0" xfId="0"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72" fillId="22" borderId="177" xfId="0" applyFont="1" applyFill="1" applyBorder="1" applyAlignment="1">
      <alignment horizontal="center" vertical="center" wrapText="1" readingOrder="1"/>
    </xf>
    <xf numFmtId="0" fontId="272" fillId="22" borderId="178" xfId="0" applyFont="1" applyFill="1" applyBorder="1" applyAlignment="1">
      <alignment horizontal="center" vertical="center" wrapText="1" readingOrder="1"/>
    </xf>
    <xf numFmtId="0" fontId="272" fillId="24" borderId="187" xfId="0" applyFont="1" applyFill="1" applyBorder="1" applyAlignment="1">
      <alignment horizontal="center" vertical="center" wrapText="1" readingOrder="1"/>
    </xf>
    <xf numFmtId="0" fontId="272" fillId="24" borderId="181" xfId="0" applyFont="1" applyFill="1" applyBorder="1" applyAlignment="1">
      <alignment horizontal="center" vertical="center" wrapText="1" readingOrder="1"/>
    </xf>
    <xf numFmtId="0" fontId="272" fillId="24" borderId="182" xfId="0" applyFont="1" applyFill="1" applyBorder="1" applyAlignment="1">
      <alignment horizontal="center" vertical="center" wrapText="1" readingOrder="1"/>
    </xf>
    <xf numFmtId="0" fontId="272" fillId="24" borderId="188" xfId="0" applyFont="1" applyFill="1" applyBorder="1" applyAlignment="1">
      <alignment horizontal="center" vertical="center" wrapText="1" readingOrder="1"/>
    </xf>
    <xf numFmtId="0" fontId="272" fillId="24" borderId="0" xfId="0" applyFont="1" applyFill="1" applyAlignment="1">
      <alignment horizontal="center" vertical="center" wrapText="1" readingOrder="1"/>
    </xf>
    <xf numFmtId="0" fontId="272" fillId="24" borderId="189" xfId="0" applyFont="1" applyFill="1" applyBorder="1" applyAlignment="1">
      <alignment horizontal="center" vertical="center" wrapText="1" readingOrder="1"/>
    </xf>
    <xf numFmtId="0" fontId="272" fillId="25" borderId="188" xfId="0" applyFont="1" applyFill="1" applyBorder="1" applyAlignment="1">
      <alignment horizontal="center" vertical="center" wrapText="1" readingOrder="1"/>
    </xf>
    <xf numFmtId="0" fontId="272" fillId="25" borderId="0" xfId="0" applyFont="1" applyFill="1" applyAlignment="1">
      <alignment horizontal="center" vertical="center" wrapText="1" readingOrder="1"/>
    </xf>
    <xf numFmtId="0" fontId="272" fillId="25" borderId="189" xfId="0" applyFont="1" applyFill="1" applyBorder="1" applyAlignment="1">
      <alignment horizontal="center" vertical="center" wrapText="1" readingOrder="1"/>
    </xf>
    <xf numFmtId="0" fontId="272" fillId="26" borderId="190" xfId="0" applyFont="1" applyFill="1" applyBorder="1" applyAlignment="1">
      <alignment horizontal="center" vertical="center" wrapText="1" readingOrder="1"/>
    </xf>
    <xf numFmtId="0" fontId="272" fillId="26" borderId="0" xfId="0" applyFont="1" applyFill="1" applyAlignment="1">
      <alignment horizontal="center" vertical="center" wrapText="1" readingOrder="1"/>
    </xf>
    <xf numFmtId="0" fontId="272" fillId="26" borderId="189" xfId="0" applyFont="1" applyFill="1" applyBorder="1" applyAlignment="1">
      <alignment horizontal="center" vertical="center" wrapText="1" readingOrder="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75619</xdr:rowOff>
    </xdr:from>
    <xdr:to>
      <xdr:col>11</xdr:col>
      <xdr:colOff>503361</xdr:colOff>
      <xdr:row>39</xdr:row>
      <xdr:rowOff>17875</xdr:rowOff>
    </xdr:to>
    <xdr:pic>
      <xdr:nvPicPr>
        <xdr:cNvPr id="2" name="图片 1">
          <a:extLst>
            <a:ext uri="{FF2B5EF4-FFF2-40B4-BE49-F238E27FC236}">
              <a16:creationId xmlns:a16="http://schemas.microsoft.com/office/drawing/2014/main" id="{184A2A62-2A9D-F1B3-9B71-1CB63AC97320}"/>
            </a:ext>
          </a:extLst>
        </xdr:cNvPr>
        <xdr:cNvPicPr>
          <a:picLocks noChangeAspect="1"/>
        </xdr:cNvPicPr>
      </xdr:nvPicPr>
      <xdr:blipFill>
        <a:blip xmlns:r="http://schemas.openxmlformats.org/officeDocument/2006/relationships" r:embed="rId1"/>
        <a:stretch>
          <a:fillRect/>
        </a:stretch>
      </xdr:blipFill>
      <xdr:spPr>
        <a:xfrm>
          <a:off x="0" y="247069"/>
          <a:ext cx="8047161" cy="6457356"/>
        </a:xfrm>
        <a:prstGeom prst="rect">
          <a:avLst/>
        </a:prstGeom>
      </xdr:spPr>
    </xdr:pic>
    <xdr:clientData/>
  </xdr:twoCellAnchor>
  <xdr:twoCellAnchor editAs="oneCell">
    <xdr:from>
      <xdr:col>16</xdr:col>
      <xdr:colOff>533400</xdr:colOff>
      <xdr:row>1</xdr:row>
      <xdr:rowOff>96146</xdr:rowOff>
    </xdr:from>
    <xdr:to>
      <xdr:col>28</xdr:col>
      <xdr:colOff>265132</xdr:colOff>
      <xdr:row>39</xdr:row>
      <xdr:rowOff>170151</xdr:rowOff>
    </xdr:to>
    <xdr:pic>
      <xdr:nvPicPr>
        <xdr:cNvPr id="3" name="图片 2">
          <a:extLst>
            <a:ext uri="{FF2B5EF4-FFF2-40B4-BE49-F238E27FC236}">
              <a16:creationId xmlns:a16="http://schemas.microsoft.com/office/drawing/2014/main" id="{4D07F75F-B342-0B1F-1D3A-97DED1F5B21E}"/>
            </a:ext>
          </a:extLst>
        </xdr:cNvPr>
        <xdr:cNvPicPr>
          <a:picLocks noChangeAspect="1"/>
        </xdr:cNvPicPr>
      </xdr:nvPicPr>
      <xdr:blipFill>
        <a:blip xmlns:r="http://schemas.openxmlformats.org/officeDocument/2006/relationships" r:embed="rId2"/>
        <a:stretch>
          <a:fillRect/>
        </a:stretch>
      </xdr:blipFill>
      <xdr:spPr>
        <a:xfrm>
          <a:off x="11382375" y="267596"/>
          <a:ext cx="7961332" cy="6589105"/>
        </a:xfrm>
        <a:prstGeom prst="rect">
          <a:avLst/>
        </a:prstGeom>
      </xdr:spPr>
    </xdr:pic>
    <xdr:clientData/>
  </xdr:twoCellAnchor>
  <xdr:twoCellAnchor editAs="oneCell">
    <xdr:from>
      <xdr:col>0</xdr:col>
      <xdr:colOff>0</xdr:colOff>
      <xdr:row>41</xdr:row>
      <xdr:rowOff>133350</xdr:rowOff>
    </xdr:from>
    <xdr:to>
      <xdr:col>12</xdr:col>
      <xdr:colOff>435585</xdr:colOff>
      <xdr:row>82</xdr:row>
      <xdr:rowOff>65493</xdr:rowOff>
    </xdr:to>
    <xdr:pic>
      <xdr:nvPicPr>
        <xdr:cNvPr id="4" name="图片 3">
          <a:extLst>
            <a:ext uri="{FF2B5EF4-FFF2-40B4-BE49-F238E27FC236}">
              <a16:creationId xmlns:a16="http://schemas.microsoft.com/office/drawing/2014/main" id="{1ACF99DD-4AB1-2827-946E-635E4B5B0674}"/>
            </a:ext>
          </a:extLst>
        </xdr:cNvPr>
        <xdr:cNvPicPr>
          <a:picLocks noChangeAspect="1"/>
        </xdr:cNvPicPr>
      </xdr:nvPicPr>
      <xdr:blipFill>
        <a:blip xmlns:r="http://schemas.openxmlformats.org/officeDocument/2006/relationships" r:embed="rId3"/>
        <a:stretch>
          <a:fillRect/>
        </a:stretch>
      </xdr:blipFill>
      <xdr:spPr>
        <a:xfrm>
          <a:off x="0" y="7162800"/>
          <a:ext cx="8665185" cy="6961593"/>
        </a:xfrm>
        <a:prstGeom prst="rect">
          <a:avLst/>
        </a:prstGeom>
      </xdr:spPr>
    </xdr:pic>
    <xdr:clientData/>
  </xdr:twoCellAnchor>
  <xdr:twoCellAnchor editAs="oneCell">
    <xdr:from>
      <xdr:col>16</xdr:col>
      <xdr:colOff>522567</xdr:colOff>
      <xdr:row>42</xdr:row>
      <xdr:rowOff>85725</xdr:rowOff>
    </xdr:from>
    <xdr:to>
      <xdr:col>30</xdr:col>
      <xdr:colOff>531752</xdr:colOff>
      <xdr:row>80</xdr:row>
      <xdr:rowOff>151272</xdr:rowOff>
    </xdr:to>
    <xdr:pic>
      <xdr:nvPicPr>
        <xdr:cNvPr id="5" name="图片 4">
          <a:extLst>
            <a:ext uri="{FF2B5EF4-FFF2-40B4-BE49-F238E27FC236}">
              <a16:creationId xmlns:a16="http://schemas.microsoft.com/office/drawing/2014/main" id="{EC19AF87-A3FF-2A82-C060-71790FADD488}"/>
            </a:ext>
          </a:extLst>
        </xdr:cNvPr>
        <xdr:cNvPicPr>
          <a:picLocks noChangeAspect="1"/>
        </xdr:cNvPicPr>
      </xdr:nvPicPr>
      <xdr:blipFill>
        <a:blip xmlns:r="http://schemas.openxmlformats.org/officeDocument/2006/relationships" r:embed="rId4"/>
        <a:stretch>
          <a:fillRect/>
        </a:stretch>
      </xdr:blipFill>
      <xdr:spPr>
        <a:xfrm>
          <a:off x="11371542" y="7286625"/>
          <a:ext cx="9610385" cy="6580647"/>
        </a:xfrm>
        <a:prstGeom prst="rect">
          <a:avLst/>
        </a:prstGeom>
      </xdr:spPr>
    </xdr:pic>
    <xdr:clientData/>
  </xdr:twoCellAnchor>
  <xdr:twoCellAnchor editAs="oneCell">
    <xdr:from>
      <xdr:col>0</xdr:col>
      <xdr:colOff>0</xdr:colOff>
      <xdr:row>85</xdr:row>
      <xdr:rowOff>9525</xdr:rowOff>
    </xdr:from>
    <xdr:to>
      <xdr:col>12</xdr:col>
      <xdr:colOff>780560</xdr:colOff>
      <xdr:row>126</xdr:row>
      <xdr:rowOff>65464</xdr:rowOff>
    </xdr:to>
    <xdr:pic>
      <xdr:nvPicPr>
        <xdr:cNvPr id="6" name="图片 5">
          <a:extLst>
            <a:ext uri="{FF2B5EF4-FFF2-40B4-BE49-F238E27FC236}">
              <a16:creationId xmlns:a16="http://schemas.microsoft.com/office/drawing/2014/main" id="{0248B9AF-E67F-2F6C-46E2-291C626B835C}"/>
            </a:ext>
          </a:extLst>
        </xdr:cNvPr>
        <xdr:cNvPicPr>
          <a:picLocks noChangeAspect="1"/>
        </xdr:cNvPicPr>
      </xdr:nvPicPr>
      <xdr:blipFill>
        <a:blip xmlns:r="http://schemas.openxmlformats.org/officeDocument/2006/relationships" r:embed="rId5"/>
        <a:stretch>
          <a:fillRect/>
        </a:stretch>
      </xdr:blipFill>
      <xdr:spPr>
        <a:xfrm>
          <a:off x="0" y="14582775"/>
          <a:ext cx="9010160" cy="7085389"/>
        </a:xfrm>
        <a:prstGeom prst="rect">
          <a:avLst/>
        </a:prstGeom>
      </xdr:spPr>
    </xdr:pic>
    <xdr:clientData/>
  </xdr:twoCellAnchor>
  <xdr:twoCellAnchor editAs="oneCell">
    <xdr:from>
      <xdr:col>15</xdr:col>
      <xdr:colOff>523378</xdr:colOff>
      <xdr:row>86</xdr:row>
      <xdr:rowOff>28575</xdr:rowOff>
    </xdr:from>
    <xdr:to>
      <xdr:col>29</xdr:col>
      <xdr:colOff>617627</xdr:colOff>
      <xdr:row>129</xdr:row>
      <xdr:rowOff>75037</xdr:rowOff>
    </xdr:to>
    <xdr:pic>
      <xdr:nvPicPr>
        <xdr:cNvPr id="7" name="图片 6">
          <a:extLst>
            <a:ext uri="{FF2B5EF4-FFF2-40B4-BE49-F238E27FC236}">
              <a16:creationId xmlns:a16="http://schemas.microsoft.com/office/drawing/2014/main" id="{B20A599B-1179-ED79-2D4C-90C752DFC233}"/>
            </a:ext>
          </a:extLst>
        </xdr:cNvPr>
        <xdr:cNvPicPr>
          <a:picLocks noChangeAspect="1"/>
        </xdr:cNvPicPr>
      </xdr:nvPicPr>
      <xdr:blipFill>
        <a:blip xmlns:r="http://schemas.openxmlformats.org/officeDocument/2006/relationships" r:embed="rId6"/>
        <a:stretch>
          <a:fillRect/>
        </a:stretch>
      </xdr:blipFill>
      <xdr:spPr>
        <a:xfrm>
          <a:off x="10810378" y="14773275"/>
          <a:ext cx="9552574" cy="7418812"/>
        </a:xfrm>
        <a:prstGeom prst="rect">
          <a:avLst/>
        </a:prstGeom>
      </xdr:spPr>
    </xdr:pic>
    <xdr:clientData/>
  </xdr:twoCellAnchor>
  <xdr:twoCellAnchor editAs="oneCell">
    <xdr:from>
      <xdr:col>0</xdr:col>
      <xdr:colOff>0</xdr:colOff>
      <xdr:row>128</xdr:row>
      <xdr:rowOff>104775</xdr:rowOff>
    </xdr:from>
    <xdr:to>
      <xdr:col>12</xdr:col>
      <xdr:colOff>673034</xdr:colOff>
      <xdr:row>166</xdr:row>
      <xdr:rowOff>122637</xdr:rowOff>
    </xdr:to>
    <xdr:pic>
      <xdr:nvPicPr>
        <xdr:cNvPr id="8" name="图片 7">
          <a:extLst>
            <a:ext uri="{FF2B5EF4-FFF2-40B4-BE49-F238E27FC236}">
              <a16:creationId xmlns:a16="http://schemas.microsoft.com/office/drawing/2014/main" id="{CB40ED2F-1E59-4D08-3D82-7BF21A7302B8}"/>
            </a:ext>
          </a:extLst>
        </xdr:cNvPr>
        <xdr:cNvPicPr>
          <a:picLocks noChangeAspect="1"/>
        </xdr:cNvPicPr>
      </xdr:nvPicPr>
      <xdr:blipFill>
        <a:blip xmlns:r="http://schemas.openxmlformats.org/officeDocument/2006/relationships" r:embed="rId7"/>
        <a:stretch>
          <a:fillRect/>
        </a:stretch>
      </xdr:blipFill>
      <xdr:spPr>
        <a:xfrm>
          <a:off x="0" y="22050375"/>
          <a:ext cx="8902634" cy="6532962"/>
        </a:xfrm>
        <a:prstGeom prst="rect">
          <a:avLst/>
        </a:prstGeom>
      </xdr:spPr>
    </xdr:pic>
    <xdr:clientData/>
  </xdr:twoCellAnchor>
  <xdr:twoCellAnchor editAs="oneCell">
    <xdr:from>
      <xdr:col>16</xdr:col>
      <xdr:colOff>80446</xdr:colOff>
      <xdr:row>130</xdr:row>
      <xdr:rowOff>142875</xdr:rowOff>
    </xdr:from>
    <xdr:to>
      <xdr:col>28</xdr:col>
      <xdr:colOff>465373</xdr:colOff>
      <xdr:row>177</xdr:row>
      <xdr:rowOff>84470</xdr:rowOff>
    </xdr:to>
    <xdr:pic>
      <xdr:nvPicPr>
        <xdr:cNvPr id="9" name="图片 8">
          <a:extLst>
            <a:ext uri="{FF2B5EF4-FFF2-40B4-BE49-F238E27FC236}">
              <a16:creationId xmlns:a16="http://schemas.microsoft.com/office/drawing/2014/main" id="{EE17194E-9DCD-5312-45C2-735C80BE6294}"/>
            </a:ext>
          </a:extLst>
        </xdr:cNvPr>
        <xdr:cNvPicPr>
          <a:picLocks noChangeAspect="1"/>
        </xdr:cNvPicPr>
      </xdr:nvPicPr>
      <xdr:blipFill>
        <a:blip xmlns:r="http://schemas.openxmlformats.org/officeDocument/2006/relationships" r:embed="rId8"/>
        <a:stretch>
          <a:fillRect/>
        </a:stretch>
      </xdr:blipFill>
      <xdr:spPr>
        <a:xfrm>
          <a:off x="10929421" y="22431375"/>
          <a:ext cx="8614527" cy="7999745"/>
        </a:xfrm>
        <a:prstGeom prst="rect">
          <a:avLst/>
        </a:prstGeom>
      </xdr:spPr>
    </xdr:pic>
    <xdr:clientData/>
  </xdr:twoCellAnchor>
  <xdr:twoCellAnchor editAs="oneCell">
    <xdr:from>
      <xdr:col>8</xdr:col>
      <xdr:colOff>590550</xdr:colOff>
      <xdr:row>18</xdr:row>
      <xdr:rowOff>60134</xdr:rowOff>
    </xdr:from>
    <xdr:to>
      <xdr:col>22</xdr:col>
      <xdr:colOff>219075</xdr:colOff>
      <xdr:row>63</xdr:row>
      <xdr:rowOff>94209</xdr:rowOff>
    </xdr:to>
    <xdr:pic>
      <xdr:nvPicPr>
        <xdr:cNvPr id="10" name="图片 9">
          <a:extLst>
            <a:ext uri="{FF2B5EF4-FFF2-40B4-BE49-F238E27FC236}">
              <a16:creationId xmlns:a16="http://schemas.microsoft.com/office/drawing/2014/main" id="{7DB784CC-CC3A-2E9D-F56C-96972827668E}"/>
            </a:ext>
          </a:extLst>
        </xdr:cNvPr>
        <xdr:cNvPicPr>
          <a:picLocks noChangeAspect="1"/>
        </xdr:cNvPicPr>
      </xdr:nvPicPr>
      <xdr:blipFill>
        <a:blip xmlns:r="http://schemas.openxmlformats.org/officeDocument/2006/relationships" r:embed="rId9"/>
        <a:stretch>
          <a:fillRect/>
        </a:stretch>
      </xdr:blipFill>
      <xdr:spPr>
        <a:xfrm>
          <a:off x="6076950" y="3146234"/>
          <a:ext cx="9105900" cy="7749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hyperlink" Target="https://bj.58.com/shangpu/57132091291027x.shtml?utm_source=market&amp;prd=x0NAXiR1wlSETnm4cICGegZpuhq441jhjHPL%2FnFInDc%3D&amp;houseId=3390866001305602&amp;urlParamsMap=26F6D537E2A5AFE4BB7CE73CFCEE96D25CEFD69FD8A7215024B4F607F21C32C3D2C7A6AC339016C981631E65FB112342F12FB0B837C1D3CBB28F4D3C1B259EFD34734F5194EB37A191B8AF727A80F36C4AED0D820437452AF59F5A879A5806D55896761C6E2F6934&amp;gpos=46&amp;positionType=commoninfo&amp;key=%E5%BC%A0%E5%AE%B6%E6%B9%BE&amp;filterJson=eyJLRVlfV09SRCI6W3sia2V5Ijoia2V5IiwibGFiZWwiOiLlvKDlrrbmub4iLCJ2YWwiOiLlvKDlrrbmub4ifV19&amp;jx_abtest=U1BfU0VBUkNIX0VYUF9CVVNJTkVTU19BUkVB&amp;list_type=main&amp;PGTID=0d306b35-0000-1507-cde4-df30b81b5b45&amp;ClickID=7" TargetMode="External"/><Relationship Id="rId3" Type="http://schemas.openxmlformats.org/officeDocument/2006/relationships/hyperlink" Target="https://bj.58.com/shangpu/60030072619422x.shtml?utm_source=market&amp;spm=u-2d2yxv86y3v43nkddh1.BDPCPZ_BT&amp;prd=x0NAXiR1wlSETnm4cICGenYc8BwJRkveQfdX%2Fmcyys8%3D&amp;houseId=3761807611043845&amp;urlParamsMap=26F6D537E2A5AFE4BB7CE73CFCEE96D25CEFD69FD8A7215024B4F607F21C32C3D2C7A6AC339016C981631E65FB112342F12FB0B837C1D3CBB28F4D3C1B259EFD34734F5194EB37A191B8AF727A80F36C4AED0D820437452AD36A81A4E2F4651F17C22B9B287FB358&amp;gpos=17&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7ea-0bbb-3bec4bf3f78c&amp;ClickID=14" TargetMode="External"/><Relationship Id="rId7" Type="http://schemas.openxmlformats.org/officeDocument/2006/relationships/hyperlink" Target="https://bj.58.com/shangpu/58478404198187x.shtml?utm_source=market&amp;spm=u-2d2yxv86y3v43nkddh1.BDPCPZ_BT&amp;prd=x0NAXiR1wlSETnm4cICGepPA7wxm0TU11rajoKJ7G1k%3D&amp;houseId=3563194053272577&amp;urlParamsMap=26F6D537E2A5AFE4BB7CE73CFCEE96D25CEFD69FD8A7215024B4F607F21C32C3D2C7A6AC339016C981631E65FB112342F12FB0B837C1D3CBB28F4D3C1B259EFD34734F5194EB37A191B8AF727A80F36C4AED0D820437452AD36A81A4E2F4651FB7F8C5A3178CDF05&amp;gpos=45&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33" TargetMode="External"/><Relationship Id="rId2" Type="http://schemas.openxmlformats.org/officeDocument/2006/relationships/hyperlink" Target="https://bj.58.com/shangpu/46250567482120x.shtml?utm_source=market&amp;spm=u-2d2yxv86y3v43nkddh1.BDPCPZ_BT&amp;prd=x0NAXiR1wlSETnm4cICGelofwCptkX%2BsDXwXyCHV%2B6g%3D&amp;houseId=1998030953569292&amp;urlParamsMap=26F6D537E2A5AFE4BB7CE73CFCEE96D25CEFD69FD8A7215024B4F607F21C32C3D2C7A6AC339016C981631E65FB112342F12FB0B837C1D3CBB28F4D3C1B259EFD34734F5194EB37A191B8AF727A80F36C4AED0D820437452AE4F52C007715BAA9DC7BB185DE96C32A&amp;gpos=10&amp;positionType=commoninfo&amp;filterJson=eyJTSEFOR1FVQU4iOlt7ImtleSI6IiIsImxhYmVsIjoi5byg5a625rm-IiwidmFsIjoiemhhbmdqaWF3YW4ifV0sIlFVWVUiOlt7ImtleSI6IiIsImxhYmVsIjoi6YCa5beeIiwidmFsIjoidG9uZ3pob3VxdSJ9XX0&amp;jx_abtest=ZWljX3N5ZGNfcGNfcmVjb21tZW5kX3Rlc3QsdXNlcl9waGFzZV9s&amp;list_type=main&amp;PGTID=0d306b35-0000-19ec-5c2f-dcba6720ee80&amp;ClickID=26" TargetMode="External"/><Relationship Id="rId1" Type="http://schemas.openxmlformats.org/officeDocument/2006/relationships/hyperlink" Target="https://bj.58.com/shangpu/60006771197972x.shtml?utm_source=market&amp;spm=u-2d2yxv86y3v43nkddh1.BDPCPZ_BT&amp;prd=x0NAXiR1wlSETnm4cICGenYc8BwJRkveQfdX%2Fmcyys8%3D&amp;houseId=3758825029215235&amp;urlParamsMap=26F6D537E2A5AFE4BB7CE73CFCEE96D25CEFD69FD8A7215024B4F607F21C32C3D2C7A6AC339016C900A8DCC3B3E786D9A21D297583B578CE9DEFEC5EB6BF30B99CCC3226B2F21FDFB434C9A6A9425903653DB51F999284DFE75F3086DC0BCABBE4F52C007715BAA9D3C7F06113E86EB2&amp;gpos=2&amp;positionType=promationinfo&amp;filterJson=eyJTSEFOR1FVQU4iOlt7ImtleSI6IiIsImxhYmVsIjoi5byg5a625rm-IiwidmFsIjoiemhhbmdqaWF3YW4ifV0sIlFVWVUiOlt7ImtleSI6IiIsImxhYmVsIjoi6YCa5beeIiwidmFsIjoidG9uZ3pob3VxdSJ9XX0&amp;jx_abtest=ZWljX3N5ZGNfcGNfcmVjb21tZW5kX3Rlc3QsdXNlcl9waGFzZV9s&amp;list_type=main&amp;PGTID=0d306b35-0000-19ec-5c2f-dcba6720ee80&amp;ClickID=14" TargetMode="External"/><Relationship Id="rId6" Type="http://schemas.openxmlformats.org/officeDocument/2006/relationships/hyperlink" Target="https://bj.58.com/shangpu/59167895196067x.shtml?utm_source=market&amp;spm=u-2d2yxv86y3v43nkddh1.BDPCPZ_BT&amp;prd=x0NAXiR1wlSETnm4cICGelofwCptkX%2BsDXwXyCHV%2B6g%3D&amp;houseId=3651448900935694&amp;urlParamsMap=26F6D537E2A5AFE4BB7CE73CFCEE96D25CEFD69FD8A7215024B4F607F21C32C3D2C7A6AC339016C981631E65FB112342F12FB0B837C1D3CBB28F4D3C1B259EFD34734F5194EB37A191B8AF727A80F36C4AED0D820437452AD36A81A4E2F4651F92E8922FFABE5F9B&amp;gpos=40&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29" TargetMode="External"/><Relationship Id="rId5" Type="http://schemas.openxmlformats.org/officeDocument/2006/relationships/hyperlink" Target="https://bj.58.com/shangpu/59765867573255x.shtml?utm_source=market&amp;spm=u-2d2yxv86y3v43nkddh1.BDPCPZ_BT&amp;prd=x0NAXiR1wlSETnm4cICGemM0XmbyITMWudxFT0qICO4%3D&amp;houseId=3727989365236750&amp;urlParamsMap=26F6D537E2A5AFE4BB7CE73CFCEE96D25CEFD69FD8A7215024B4F607F21C32C3D2C7A6AC339016C981631E65FB112342F12FB0B837C1D3CBB28F4D3C1B259EFD34734F5194EB37A191B8AF727A80F36C4AED0D820437452AD36A81A4E2F4651FA01B2D8361770BCE&amp;gpos=38&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23" TargetMode="External"/><Relationship Id="rId4" Type="http://schemas.openxmlformats.org/officeDocument/2006/relationships/hyperlink" Target="https://bj.58.com/shangpu/60007694855346x.shtml?utm_source=market&amp;spm=u-2d2yxv86y3v43nkddh1.BDPCPZ_BT&amp;prd=x0NAXiR1wlSETnm4cICGevbpkSAa0zBtWgSBinMqnLs%3D&amp;houseId=3758943256585224&amp;urlParamsMap=26F6D537E2A5AFE4BB7CE73CFCEE96D25CEFD69FD8A7215024B4F607F21C32C3D2C7A6AC339016C981631E65FB112342F12FB0B837C1D3CBB28F4D3C1B259EFD34734F5194EB37A191B8AF727A80F36C4AED0D820437452AD36A81A4E2F4651F3481D278206CF1DF&amp;gpos=21&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7ea-0bbb-3bec4bf3f78c&amp;ClickID=22" TargetMode="External"/><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2024年12月2日（评估专业人员实地查勘之日）</v>
      </c>
    </row>
    <row r="13" spans="1:2">
      <c r="A13" s="1119" t="s">
        <v>529</v>
      </c>
      <c r="B13" s="1120" t="str">
        <f>'预评函-1'!A18</f>
        <v>本次估价的“房地产价值”是指在正常市场情况下，在价值时点2024年12月2日，估价对象规划用途为，土地取得方式为划拨，假定未设立法定优先受偿款下的房地产市场价值。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220" t="s">
        <v>2582</v>
      </c>
      <c r="J2" s="3220"/>
      <c r="K2" s="3220"/>
      <c r="L2" s="3220"/>
      <c r="M2" s="3220"/>
      <c r="N2" s="3220"/>
      <c r="O2" s="3220"/>
      <c r="P2" s="3220"/>
      <c r="Q2" s="3220"/>
      <c r="R2" s="3220"/>
    </row>
    <row r="3" spans="1:18">
      <c r="A3" s="2763" t="s">
        <v>2503</v>
      </c>
      <c r="B3" s="2764">
        <f>项目基本情况!D3</f>
        <v>45628</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2.04</v>
      </c>
      <c r="D5" s="2768">
        <f>IF(ISERROR(ROUND(POWER(1+E5,A5-C5)*(POWER(1+E5,C5)-1)/(POWER(1+E5,A5)-1),3)),0,ROUND(POWER(1+E5,A5-C5)*(POWER(1+E5,C5)-1)/(POWER(1+E5,A5)-1),4))</f>
        <v>9.7100000000000006E-2</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12.05</v>
      </c>
      <c r="D6" s="2768">
        <f>IF(ISERROR(ROUND(POWER(1+E6,A6-C6)*(POWER(1+E6,C6)-1)/(POWER(1+E6,A6)-1),3)),0,ROUND(POWER(1+E6,A6-C6)*(POWER(1+E6,C6)-1)/(POWER(1+E6,A6)-1),4))</f>
        <v>0.43830000000000002</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32.06</v>
      </c>
      <c r="D7" s="2768">
        <f>IF(ISERROR(ROUND(POWER(1+E7,A7-C7)*(POWER(1+E7,C7)-1)/(POWER(1+E7,A7)-1),3)),0,ROUND(POWER(1+E7,A7-C7)*(POWER(1+E7,C7)-1)/(POWER(1+E7,A7)-1),4))</f>
        <v>0.76470000000000005</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A13" sqref="A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预评估</v>
      </c>
      <c r="C1" s="3229"/>
      <c r="D1" s="3229"/>
      <c r="E1" s="3229"/>
      <c r="F1" s="3229"/>
      <c r="G1" s="3229"/>
      <c r="H1" s="3229"/>
      <c r="I1" s="323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v>45628</v>
      </c>
      <c r="C3" s="2186" t="s">
        <v>2171</v>
      </c>
      <c r="D3" s="2185">
        <f>B3</f>
        <v>45628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31" t="s">
        <v>2177</v>
      </c>
      <c r="E8" s="2202"/>
      <c r="F8" s="2203"/>
      <c r="G8" s="2442"/>
      <c r="H8" s="2442"/>
      <c r="I8" s="2442"/>
      <c r="J8" s="2245"/>
      <c r="K8" s="2400"/>
      <c r="L8" s="2399"/>
      <c r="M8" s="2399"/>
      <c r="N8" s="2245"/>
      <c r="O8" s="1670"/>
      <c r="P8" s="2245"/>
      <c r="Q8" s="2245"/>
      <c r="R8" s="2245"/>
    </row>
    <row r="9" spans="1:30" ht="13.5" thickBot="1">
      <c r="A9" s="2204" t="s">
        <v>2178</v>
      </c>
      <c r="B9" s="2205"/>
      <c r="C9" s="2206"/>
      <c r="D9" s="3232"/>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3389</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0</v>
      </c>
      <c r="D15" s="2221">
        <f>IF(A13="出让",IF(D13="","",ROUNDDOWN(MIN((D13-$D$3)/365,D14),2)),D14)</f>
        <v>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0</v>
      </c>
      <c r="J15" s="2805"/>
      <c r="K15" s="1670"/>
      <c r="L15" s="1670"/>
      <c r="M15" s="2245"/>
      <c r="N15" s="1670"/>
      <c r="O15" s="2245"/>
      <c r="P15" s="2245"/>
      <c r="Q15" s="2245"/>
      <c r="AD15" s="1618"/>
    </row>
    <row r="16" spans="1:30">
      <c r="A16" s="2211" t="s">
        <v>2193</v>
      </c>
      <c r="B16" s="3238"/>
      <c r="C16" s="3239"/>
      <c r="D16" s="3240"/>
      <c r="E16" s="2222" t="s">
        <v>2194</v>
      </c>
      <c r="F16" s="3241"/>
      <c r="G16" s="3242"/>
      <c r="H16" s="3242"/>
      <c r="I16" s="3243"/>
      <c r="J16" s="2245"/>
      <c r="K16" s="2403"/>
      <c r="L16" s="1670"/>
      <c r="M16" s="1670"/>
      <c r="N16" s="2245"/>
      <c r="O16" s="1670"/>
      <c r="P16" s="2245"/>
      <c r="Q16" s="2245"/>
      <c r="R16" s="2245"/>
    </row>
    <row r="17" spans="1:28">
      <c r="A17" s="305" t="s">
        <v>2195</v>
      </c>
      <c r="B17" s="294" t="s">
        <v>2196</v>
      </c>
      <c r="C17" s="8">
        <f>'数据-汇总表'!E3</f>
        <v>0</v>
      </c>
      <c r="D17" s="1256" t="s">
        <v>2197</v>
      </c>
      <c r="E17" s="3244" t="s">
        <v>2198</v>
      </c>
      <c r="F17" s="3245"/>
      <c r="G17" s="3245"/>
      <c r="H17" s="3245"/>
      <c r="I17" s="3246"/>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47" t="s">
        <v>2202</v>
      </c>
      <c r="F18" s="3248"/>
      <c r="G18" s="3248"/>
      <c r="H18" s="3248"/>
      <c r="I18" s="324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4" t="s">
        <v>2206</v>
      </c>
      <c r="C20" s="3235"/>
      <c r="D20" s="3236" t="s">
        <v>2207</v>
      </c>
      <c r="E20" s="3237"/>
      <c r="F20" s="2430" t="s">
        <v>1056</v>
      </c>
      <c r="G20" s="2442"/>
      <c r="H20" s="2442"/>
      <c r="I20" s="2442"/>
      <c r="J20" s="2245"/>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3"/>
      <c r="B30" s="294" t="s">
        <v>2218</v>
      </c>
      <c r="C30" s="3224"/>
      <c r="D30" s="3225"/>
      <c r="E30" s="2442"/>
      <c r="F30" s="2442"/>
      <c r="G30" s="2442"/>
      <c r="H30" s="2442"/>
      <c r="I30" s="2442"/>
      <c r="J30" s="2245"/>
      <c r="K30" s="2402"/>
      <c r="L30" s="2399"/>
      <c r="M30" s="2399"/>
      <c r="N30" s="2245"/>
      <c r="O30" s="1670"/>
      <c r="P30" s="2245"/>
      <c r="Q30" s="2245"/>
      <c r="R30" s="2245"/>
      <c r="S30" s="2245"/>
      <c r="T30" s="2245"/>
      <c r="U30" s="2245"/>
      <c r="V30" s="2245"/>
    </row>
    <row r="31" spans="1:28">
      <c r="A31" s="322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5"/>
      <c r="V34" s="2245"/>
    </row>
    <row r="35" spans="1:30">
      <c r="A35" s="2236"/>
      <c r="B35" s="3221" t="s">
        <v>2229</v>
      </c>
      <c r="C35" s="3221"/>
      <c r="D35" s="3221"/>
      <c r="E35" s="322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9" t="s">
        <v>1131</v>
      </c>
      <c r="B2" s="3259"/>
      <c r="C2" s="3259"/>
      <c r="D2" s="748" t="s">
        <v>1107</v>
      </c>
      <c r="E2" s="1523" t="s">
        <v>1108</v>
      </c>
      <c r="F2" s="2439"/>
      <c r="G2" s="2432"/>
      <c r="H2" s="2433"/>
      <c r="I2" s="2146" t="s">
        <v>1132</v>
      </c>
      <c r="J2" s="2439"/>
      <c r="K2" s="2439"/>
      <c r="L2" s="2439"/>
      <c r="M2" s="2439"/>
      <c r="N2" s="2440"/>
      <c r="O2" s="2439"/>
      <c r="P2" s="2439"/>
    </row>
    <row r="3" spans="1:16" ht="15.75" thickBot="1">
      <c r="A3" s="3260" t="s">
        <v>1105</v>
      </c>
      <c r="B3" s="3260"/>
      <c r="C3" s="3260"/>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61"/>
      <c r="B4" s="3262"/>
      <c r="C4" s="326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4" t="s">
        <v>1110</v>
      </c>
      <c r="C5" s="3264"/>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4" t="s">
        <v>1111</v>
      </c>
      <c r="C6" s="3264"/>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56"/>
      <c r="B7" s="3257"/>
      <c r="C7" s="325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53" t="s">
        <v>1135</v>
      </c>
      <c r="L16" s="3254"/>
      <c r="M16" s="3254"/>
      <c r="N16" s="3254"/>
      <c r="O16" s="3254"/>
      <c r="P16" s="3255"/>
    </row>
    <row r="17" spans="1:19" ht="15">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3378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5" t="s">
        <v>2286</v>
      </c>
      <c r="B1" s="3266"/>
      <c r="C1" s="3266"/>
      <c r="D1" s="3266"/>
      <c r="E1" s="3266"/>
      <c r="F1" s="3266"/>
      <c r="G1" s="326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5342.739999999998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6630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6630</v>
      </c>
      <c r="C10" s="2300" t="s">
        <v>3357</v>
      </c>
      <c r="D10" s="2300" t="s">
        <v>3358</v>
      </c>
      <c r="E10" s="3137">
        <f>面积及结果!P54</f>
        <v>1.7</v>
      </c>
      <c r="F10" s="3141" t="s">
        <v>3359</v>
      </c>
      <c r="G10" s="3138">
        <v>0.05</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面积及结果!K54</f>
        <v>5342.739999999998</v>
      </c>
      <c r="C14" s="2306"/>
      <c r="D14" s="2306">
        <f>B10</f>
        <v>6630</v>
      </c>
      <c r="E14" s="2306">
        <f>ROUND(D14*10000/B14,0)</f>
        <v>12409</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1" t="str">
        <f>项目基本情况!S2</f>
        <v>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4" t="s">
        <v>1265</v>
      </c>
      <c r="B4" s="1625" t="s">
        <v>1266</v>
      </c>
      <c r="C4" s="1626"/>
      <c r="D4" s="1626"/>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1" t="s">
        <v>1268</v>
      </c>
      <c r="B5" s="3268">
        <v>25</v>
      </c>
      <c r="C5" s="3284"/>
      <c r="D5" s="3304"/>
      <c r="E5" s="123" t="s">
        <v>1269</v>
      </c>
      <c r="F5" s="1627"/>
      <c r="G5" s="1627"/>
      <c r="H5" s="1627"/>
      <c r="I5" s="1281"/>
    </row>
    <row r="6" spans="1:12" ht="12.75">
      <c r="A6" s="3281"/>
      <c r="B6" s="3268"/>
      <c r="C6" s="3285"/>
      <c r="D6" s="3304"/>
      <c r="E6" s="123" t="s">
        <v>1270</v>
      </c>
      <c r="F6" s="1627"/>
      <c r="G6" s="1627"/>
      <c r="H6" s="1627"/>
      <c r="I6" s="1281"/>
    </row>
    <row r="7" spans="1:12" ht="12.75">
      <c r="A7" s="3281"/>
      <c r="B7" s="3268"/>
      <c r="C7" s="3286"/>
      <c r="D7" s="3304"/>
      <c r="E7" s="123" t="s">
        <v>1271</v>
      </c>
      <c r="F7" s="1627"/>
      <c r="G7" s="1627"/>
      <c r="H7" s="1627"/>
      <c r="I7" s="1281"/>
    </row>
    <row r="8" spans="1:12" ht="12.75">
      <c r="A8" s="3281" t="s">
        <v>1272</v>
      </c>
      <c r="B8" s="3268">
        <v>15</v>
      </c>
      <c r="C8" s="3284"/>
      <c r="D8" s="3304"/>
      <c r="E8" s="123" t="s">
        <v>1273</v>
      </c>
      <c r="F8" s="1627"/>
      <c r="G8" s="1627"/>
      <c r="H8" s="1627"/>
      <c r="I8" s="1281"/>
    </row>
    <row r="9" spans="1:12" ht="12.75">
      <c r="A9" s="3281"/>
      <c r="B9" s="3268"/>
      <c r="C9" s="3286"/>
      <c r="D9" s="3304"/>
      <c r="E9" s="123" t="s">
        <v>1274</v>
      </c>
      <c r="F9" s="1627"/>
      <c r="G9" s="1627"/>
      <c r="H9" s="1627"/>
      <c r="I9" s="1281"/>
    </row>
    <row r="10" spans="1:12" ht="12.75">
      <c r="A10" s="3281" t="s">
        <v>1275</v>
      </c>
      <c r="B10" s="3268">
        <v>15</v>
      </c>
      <c r="C10" s="3284"/>
      <c r="D10" s="3304"/>
      <c r="E10" s="123" t="s">
        <v>1276</v>
      </c>
      <c r="F10" s="1627"/>
      <c r="G10" s="1627"/>
      <c r="H10" s="1627"/>
      <c r="I10" s="1281"/>
    </row>
    <row r="11" spans="1:12" ht="12.75">
      <c r="A11" s="3281"/>
      <c r="B11" s="3268"/>
      <c r="C11" s="3286"/>
      <c r="D11" s="3304"/>
      <c r="E11" s="123" t="s">
        <v>1277</v>
      </c>
      <c r="F11" s="1627"/>
      <c r="G11" s="1627"/>
      <c r="H11" s="1627"/>
      <c r="I11" s="1281"/>
    </row>
    <row r="12" spans="1:12" ht="12.75">
      <c r="A12" s="3281" t="s">
        <v>1278</v>
      </c>
      <c r="B12" s="3268">
        <v>15</v>
      </c>
      <c r="C12" s="3284"/>
      <c r="D12" s="3304"/>
      <c r="E12" s="123" t="s">
        <v>1279</v>
      </c>
      <c r="F12" s="1627"/>
      <c r="G12" s="1627"/>
      <c r="H12" s="1627"/>
      <c r="I12" s="1281"/>
    </row>
    <row r="13" spans="1:12" ht="12.75">
      <c r="A13" s="3281"/>
      <c r="B13" s="3268"/>
      <c r="C13" s="3286"/>
      <c r="D13" s="3304"/>
      <c r="E13" s="123" t="s">
        <v>1280</v>
      </c>
      <c r="F13" s="1627"/>
      <c r="G13" s="1627"/>
      <c r="H13" s="1627"/>
      <c r="I13" s="1281"/>
    </row>
    <row r="14" spans="1:12" ht="12.75">
      <c r="A14" s="3281" t="s">
        <v>1281</v>
      </c>
      <c r="B14" s="3268">
        <v>30</v>
      </c>
      <c r="C14" s="3284"/>
      <c r="D14" s="3304"/>
      <c r="E14" s="123" t="s">
        <v>1282</v>
      </c>
      <c r="F14" s="1627"/>
      <c r="G14" s="1627"/>
      <c r="H14" s="1627"/>
      <c r="I14" s="1281"/>
    </row>
    <row r="15" spans="1:12" ht="12.75">
      <c r="A15" s="3281"/>
      <c r="B15" s="3268"/>
      <c r="C15" s="3285"/>
      <c r="D15" s="3304"/>
      <c r="E15" s="123" t="s">
        <v>1283</v>
      </c>
      <c r="F15" s="1627"/>
      <c r="G15" s="1627"/>
      <c r="H15" s="1627"/>
      <c r="I15" s="1281"/>
    </row>
    <row r="16" spans="1:12" ht="12.75">
      <c r="A16" s="3281"/>
      <c r="B16" s="3268"/>
      <c r="C16" s="3286"/>
      <c r="D16" s="3304"/>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91" t="s">
        <v>2131</v>
      </c>
      <c r="F18" s="3292"/>
      <c r="G18" s="3292"/>
      <c r="H18" s="3292"/>
      <c r="I18" s="3292"/>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75" t="s">
        <v>1299</v>
      </c>
      <c r="B24" s="1631" t="s">
        <v>1291</v>
      </c>
      <c r="C24" s="128">
        <f>IF(B30=0,0,D30)</f>
        <v>0</v>
      </c>
      <c r="D24" s="1637"/>
      <c r="E24" s="121"/>
      <c r="F24" s="121"/>
      <c r="G24" s="121"/>
      <c r="H24" s="121"/>
      <c r="I24" s="121"/>
    </row>
    <row r="25" spans="1:36" ht="14.25">
      <c r="A25" s="32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5" t="s">
        <v>1312</v>
      </c>
      <c r="B36" s="1652" t="s">
        <v>1313</v>
      </c>
      <c r="C36" s="137"/>
      <c r="D36" s="1653"/>
      <c r="E36" s="1567"/>
      <c r="F36" s="1654"/>
      <c r="G36" s="121"/>
      <c r="H36" s="121"/>
      <c r="I36" s="121"/>
    </row>
    <row r="37" spans="1:15" ht="15.75" thickBot="1">
      <c r="A37" s="3296"/>
      <c r="B37" s="1555" t="s">
        <v>1314</v>
      </c>
      <c r="C37" s="139"/>
      <c r="D37" s="1071"/>
      <c r="E37" s="1071"/>
      <c r="F37" s="1654"/>
      <c r="G37" s="121"/>
      <c r="H37" s="121"/>
      <c r="I37" s="121"/>
    </row>
    <row r="38" spans="1:15" ht="15.75" thickBot="1">
      <c r="A38" s="329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2" t="s">
        <v>1326</v>
      </c>
      <c r="B45" s="3273"/>
      <c r="C45" s="3274"/>
      <c r="D45" s="147" t="e">
        <f ca="1">ROUND(H101*F45,0)</f>
        <v>#REF!</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8"/>
      <c r="I46" s="151"/>
      <c r="J46" s="2310">
        <v>1</v>
      </c>
      <c r="K46" s="3331" t="s">
        <v>1331</v>
      </c>
      <c r="L46" s="3331"/>
      <c r="M46" s="3351"/>
      <c r="N46" s="3351"/>
      <c r="O46" s="3351"/>
    </row>
    <row r="47" spans="1:15" ht="12" customHeight="1">
      <c r="A47" s="152" t="s">
        <v>1332</v>
      </c>
      <c r="B47" s="153"/>
      <c r="C47" s="154"/>
      <c r="D47" s="1024" t="s">
        <v>1333</v>
      </c>
      <c r="E47" s="294" t="s">
        <v>1334</v>
      </c>
      <c r="F47" s="155" t="s">
        <v>1335</v>
      </c>
      <c r="G47" s="2333" t="s">
        <v>1336</v>
      </c>
      <c r="H47" s="2334"/>
      <c r="I47" s="151"/>
      <c r="J47" s="2310">
        <v>2</v>
      </c>
      <c r="K47" s="3331" t="s">
        <v>1337</v>
      </c>
      <c r="L47" s="3331"/>
      <c r="M47" s="3352">
        <f>'数据-取费表'!B2</f>
        <v>45628</v>
      </c>
      <c r="N47" s="3352"/>
      <c r="O47" s="3352"/>
    </row>
    <row r="48" spans="1:15" ht="25.5">
      <c r="A48" s="3300" t="s">
        <v>1338</v>
      </c>
      <c r="B48" s="3283"/>
      <c r="C48" s="3283"/>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31" t="s">
        <v>1340</v>
      </c>
      <c r="L48" s="3331"/>
      <c r="M48" s="3353" t="e">
        <f ca="1">H101</f>
        <v>#REF!</v>
      </c>
      <c r="N48" s="3353"/>
      <c r="O48" s="3353"/>
    </row>
    <row r="49" spans="1:35" ht="25.5" customHeight="1">
      <c r="A49" s="2152" t="s">
        <v>1341</v>
      </c>
      <c r="B49" s="3267" t="s">
        <v>1342</v>
      </c>
      <c r="C49" s="3267"/>
      <c r="D49" s="1478">
        <v>0</v>
      </c>
      <c r="E49" s="316" t="s">
        <v>1343</v>
      </c>
      <c r="F49" s="2233" t="s">
        <v>28</v>
      </c>
      <c r="G49" s="3337"/>
      <c r="H49" s="2134" t="s">
        <v>2134</v>
      </c>
      <c r="I49" s="2135"/>
      <c r="J49" s="2310">
        <v>4</v>
      </c>
      <c r="K49" s="3331" t="str">
        <f>IF(项目基本情况!E8="房地产抵押价值","房地产抵押价值","抵押担保权已注销时的房地产抵押价值")</f>
        <v>抵押担保权已注销时的房地产抵押价值</v>
      </c>
      <c r="L49" s="3331"/>
      <c r="M49" s="3353" t="str">
        <f>IF(项目基本情况!E8="房地产抵押价值",H107,H109)</f>
        <v>——</v>
      </c>
      <c r="N49" s="3353"/>
      <c r="O49" s="3353"/>
    </row>
    <row r="50" spans="1:35" ht="25.5" customHeight="1">
      <c r="A50" s="2338"/>
      <c r="B50" s="3267" t="s">
        <v>1344</v>
      </c>
      <c r="C50" s="3267"/>
      <c r="D50" s="2189"/>
      <c r="E50" s="323"/>
      <c r="F50" s="2233"/>
      <c r="G50" s="3338"/>
      <c r="H50" s="2136" t="s">
        <v>2135</v>
      </c>
      <c r="I50" s="2135"/>
      <c r="J50" s="3350" t="s">
        <v>1345</v>
      </c>
      <c r="K50" s="3350"/>
      <c r="L50" s="3350"/>
      <c r="M50" s="3350"/>
      <c r="N50" s="3350"/>
      <c r="O50" s="3350"/>
    </row>
    <row r="51" spans="1:35" ht="20.45" customHeight="1">
      <c r="A51" s="2339"/>
      <c r="B51" s="3267" t="s">
        <v>1346</v>
      </c>
      <c r="C51" s="3267"/>
      <c r="D51" s="1024"/>
      <c r="E51" s="319"/>
      <c r="F51" s="2233"/>
      <c r="G51" s="3339"/>
      <c r="H51" s="2136" t="s">
        <v>2136</v>
      </c>
      <c r="I51" s="2135"/>
      <c r="J51" s="2311" t="s">
        <v>1347</v>
      </c>
      <c r="K51" s="3331" t="s">
        <v>1348</v>
      </c>
      <c r="L51" s="3331"/>
      <c r="M51" s="2311" t="s">
        <v>1349</v>
      </c>
      <c r="N51" s="2311" t="s">
        <v>1350</v>
      </c>
      <c r="O51" s="2311" t="s">
        <v>1351</v>
      </c>
    </row>
    <row r="52" spans="1:35" ht="24" customHeight="1">
      <c r="A52" s="2153" t="s">
        <v>1352</v>
      </c>
      <c r="B52" s="3267" t="s">
        <v>1353</v>
      </c>
      <c r="C52" s="3267"/>
      <c r="D52" s="1024" t="e">
        <f ca="1">ROUND(D45*'数据-取费表'!B41/(1+'数据-取费表'!C42),0)</f>
        <v>#REF!</v>
      </c>
      <c r="E52" s="1256" t="s">
        <v>1354</v>
      </c>
      <c r="F52" s="2340">
        <f>'数据-取费表'!B41</f>
        <v>0</v>
      </c>
      <c r="G52" s="2341"/>
      <c r="H52" s="2331"/>
      <c r="I52" s="1669"/>
      <c r="J52" s="2310">
        <v>1</v>
      </c>
      <c r="K52" s="3332" t="s">
        <v>1355</v>
      </c>
      <c r="L52" s="3332"/>
      <c r="M52" s="2312" t="b">
        <f>D48</f>
        <v>0</v>
      </c>
      <c r="N52" s="2310" t="str">
        <f>E48</f>
        <v>销售额×税（费）率</v>
      </c>
      <c r="O52" s="2313">
        <f>F48</f>
        <v>0</v>
      </c>
    </row>
    <row r="53" spans="1:35" ht="12" customHeight="1">
      <c r="A53" s="2153" t="s">
        <v>1356</v>
      </c>
      <c r="B53" s="3293" t="s">
        <v>2291</v>
      </c>
      <c r="C53" s="3294"/>
      <c r="D53" s="1024" t="e">
        <f ca="1">ROUND(D45*'数据-取费表'!B41/(1+'数据-取费表'!C42),0)</f>
        <v>#REF!</v>
      </c>
      <c r="E53" s="1256" t="s">
        <v>1354</v>
      </c>
      <c r="F53" s="2340">
        <f>'数据-取费表'!B41</f>
        <v>0</v>
      </c>
      <c r="G53" s="2341"/>
      <c r="H53" s="2331"/>
      <c r="I53" s="1669"/>
      <c r="J53" s="2310">
        <v>2</v>
      </c>
      <c r="K53" s="3332" t="s">
        <v>1357</v>
      </c>
      <c r="L53" s="3332"/>
      <c r="M53" s="2312" t="e">
        <f t="shared" ref="M53:O54" ca="1" si="0">D55</f>
        <v>#REF!</v>
      </c>
      <c r="N53" s="2310" t="str">
        <f t="shared" si="0"/>
        <v>销售额×税（费）率</v>
      </c>
      <c r="O53" s="2313" t="str">
        <f t="shared" si="0"/>
        <v>免征</v>
      </c>
    </row>
    <row r="54" spans="1:35" ht="12" customHeight="1">
      <c r="A54" s="2153" t="s">
        <v>1358</v>
      </c>
      <c r="B54" s="3293" t="s">
        <v>2292</v>
      </c>
      <c r="C54" s="3294"/>
      <c r="D54" s="1024" t="e">
        <f ca="1">C68</f>
        <v>#REF!</v>
      </c>
      <c r="E54" s="319" t="s">
        <v>1359</v>
      </c>
      <c r="F54" s="2340">
        <f>'数据-取费表'!B41</f>
        <v>0</v>
      </c>
      <c r="G54" s="2341"/>
      <c r="H54" s="2342"/>
      <c r="I54" s="1669"/>
      <c r="J54" s="2310">
        <v>3</v>
      </c>
      <c r="K54" s="3332" t="s">
        <v>1360</v>
      </c>
      <c r="L54" s="3332"/>
      <c r="M54" s="2312" t="e">
        <f t="shared" ca="1" si="0"/>
        <v>#REF!</v>
      </c>
      <c r="N54" s="2310" t="str">
        <f t="shared" si="0"/>
        <v>增值额×税（费）率</v>
      </c>
      <c r="O54" s="2314" t="str">
        <f t="shared" si="0"/>
        <v>免征</v>
      </c>
    </row>
    <row r="55" spans="1:35" ht="24" customHeight="1">
      <c r="A55" s="3282" t="s">
        <v>1361</v>
      </c>
      <c r="B55" s="3283"/>
      <c r="C55" s="3283"/>
      <c r="D55" s="12" t="e">
        <f ca="1">IF(H55="个人住宅",0,ROUND(D45*I55,0))</f>
        <v>#REF!</v>
      </c>
      <c r="E55" s="1256" t="s">
        <v>1362</v>
      </c>
      <c r="F55" s="2340" t="str">
        <f>IF(H55="正常",I55,"免征")</f>
        <v>免征</v>
      </c>
      <c r="G55" s="2341"/>
      <c r="H55" s="2337"/>
      <c r="I55" s="157">
        <f>'数据-取费表'!B49</f>
        <v>0</v>
      </c>
      <c r="J55" s="2310">
        <f>IF(H59="非个人房产","",4)</f>
        <v>4</v>
      </c>
      <c r="K55" s="3332" t="str">
        <f>IF(H59="非个人房产","——","个人所得税")</f>
        <v>个人所得税</v>
      </c>
      <c r="L55" s="3332"/>
      <c r="M55" s="2315" t="e">
        <f ca="1">D59</f>
        <v>#REF!</v>
      </c>
      <c r="N55" s="1883" t="str">
        <f>E59</f>
        <v>差额计税</v>
      </c>
      <c r="O55" s="2316">
        <f>F59</f>
        <v>0.01</v>
      </c>
    </row>
    <row r="56" spans="1:35" ht="24.75">
      <c r="A56" s="3282" t="s">
        <v>1363</v>
      </c>
      <c r="B56" s="3283"/>
      <c r="C56" s="3283"/>
      <c r="D56" s="12" t="e">
        <f ca="1">IF(H56="个人住宅",D57,D58)</f>
        <v>#REF!</v>
      </c>
      <c r="E56" s="1256" t="s">
        <v>1364</v>
      </c>
      <c r="F56" s="2340" t="str">
        <f>IF(H56="正常",F58,"免征")</f>
        <v>免征</v>
      </c>
      <c r="G56" s="2343" t="s">
        <v>1365</v>
      </c>
      <c r="H56" s="2344"/>
      <c r="I56" s="1670"/>
      <c r="J56" s="2310" t="str">
        <f>IF(项目基本情况!K6="上海银行",IF(J55="",4,J55+1),"")</f>
        <v/>
      </c>
      <c r="K56" s="3355" t="str">
        <f>IF(项目基本情况!K6="上海银行","其他处置费用","")</f>
        <v/>
      </c>
      <c r="L56" s="3356"/>
      <c r="M56" s="2312" t="str">
        <f>IF(项目基本情况!K6="上海银行",M69,"")</f>
        <v/>
      </c>
      <c r="N56" s="3355" t="str">
        <f>IF(项目基本情况!K6="上海银行","包含处置中涉及的律师、诉讼、拍卖、评估等费用","")</f>
        <v/>
      </c>
      <c r="O56" s="3358"/>
    </row>
    <row r="57" spans="1:35" ht="12.75">
      <c r="A57" s="2153" t="s">
        <v>1341</v>
      </c>
      <c r="B57" s="3293" t="s">
        <v>1366</v>
      </c>
      <c r="C57" s="3294"/>
      <c r="D57" s="1478">
        <v>0</v>
      </c>
      <c r="E57" s="316" t="s">
        <v>1343</v>
      </c>
      <c r="F57" s="294"/>
      <c r="G57" s="2341"/>
      <c r="H57" s="2345"/>
      <c r="I57" s="1670"/>
      <c r="J57" s="3332">
        <f>IF(AND(J55="",J56=""),4,IF(项目基本情况!K6="上海银行",结果表!J56+1,结果表!J55+1))</f>
        <v>5</v>
      </c>
      <c r="K57" s="3332" t="s">
        <v>1367</v>
      </c>
      <c r="L57" s="2317" t="s">
        <v>1368</v>
      </c>
      <c r="M57" s="2318"/>
      <c r="N57" s="2319">
        <f ca="1">SUMIF(M52:M56,"&lt;9e307")</f>
        <v>0</v>
      </c>
      <c r="O57" s="2320"/>
      <c r="P57" s="2465" t="e">
        <f ca="1">N57/M49</f>
        <v>#VALUE!</v>
      </c>
    </row>
    <row r="58" spans="1:35" ht="24.75">
      <c r="A58" s="2153" t="s">
        <v>1352</v>
      </c>
      <c r="B58" s="3293" t="s">
        <v>1369</v>
      </c>
      <c r="C58" s="3267"/>
      <c r="D58" s="12" t="e">
        <f ca="1">IF(H58="转让取得",C81,C97)</f>
        <v>#REF!</v>
      </c>
      <c r="E58" s="1256" t="s">
        <v>1364</v>
      </c>
      <c r="F58" s="294" t="s">
        <v>28</v>
      </c>
      <c r="G58" s="2341"/>
      <c r="H58" s="2344"/>
      <c r="I58" s="1670"/>
      <c r="J58" s="3332"/>
      <c r="K58" s="3332"/>
      <c r="L58" s="2317" t="s">
        <v>1370</v>
      </c>
      <c r="M58" s="2321"/>
      <c r="N58" s="2322" t="str">
        <f ca="1">NUMBERSTRING(INT(N57*10000),2)&amp;"元整"</f>
        <v>零元整</v>
      </c>
      <c r="O58" s="2323"/>
    </row>
    <row r="59" spans="1:35" ht="24.75" thickBot="1">
      <c r="A59" s="3335" t="s">
        <v>1371</v>
      </c>
      <c r="B59" s="3336"/>
      <c r="C59" s="333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3">
        <f>J57+1</f>
        <v>6</v>
      </c>
      <c r="K59" s="3332" t="s">
        <v>1372</v>
      </c>
      <c r="L59" s="2310" t="s">
        <v>1368</v>
      </c>
      <c r="M59" s="2324"/>
      <c r="N59" s="2325" t="e">
        <f ca="1">M49-N57</f>
        <v>#VALUE!</v>
      </c>
      <c r="O59" s="2326"/>
    </row>
    <row r="60" spans="1:35" ht="12" customHeight="1">
      <c r="A60" s="1671"/>
      <c r="B60" s="646"/>
      <c r="C60" s="646"/>
      <c r="D60" s="646"/>
      <c r="E60" s="1466"/>
      <c r="F60" s="1670"/>
      <c r="G60" s="1670"/>
      <c r="H60" s="151"/>
      <c r="I60" s="121"/>
      <c r="J60" s="3334"/>
      <c r="K60" s="3332"/>
      <c r="L60" s="2317" t="s">
        <v>1370</v>
      </c>
      <c r="M60" s="2321"/>
      <c r="N60" s="2322" t="e">
        <f ca="1">NUMBERSTRING(INT(N59*10000),2)&amp;"元整"</f>
        <v>#VALUE!</v>
      </c>
      <c r="O60" s="2323"/>
    </row>
    <row r="61" spans="1:35" ht="13.5" thickBot="1">
      <c r="A61" s="3280" t="s">
        <v>1373</v>
      </c>
      <c r="B61" s="3280"/>
      <c r="C61" s="3280"/>
      <c r="D61" s="3280"/>
      <c r="E61" s="3280"/>
      <c r="F61" s="1670"/>
      <c r="G61" s="1670"/>
      <c r="H61" s="151"/>
      <c r="I61" s="121"/>
      <c r="J61" s="2310">
        <f>J59+1</f>
        <v>7</v>
      </c>
      <c r="K61" s="3332" t="s">
        <v>1374</v>
      </c>
      <c r="L61" s="3332"/>
      <c r="M61" s="2327"/>
      <c r="N61" s="2328" t="e">
        <f ca="1">ROUND(N59*10000/'数据-汇总表'!E3,0)</f>
        <v>#VALUE!</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7"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7"/>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7"/>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7"/>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7"/>
      <c r="K69" s="1245" t="s">
        <v>1393</v>
      </c>
      <c r="L69" s="1245"/>
      <c r="M69" s="294" t="e">
        <f>ROUND(SUM(M63:M68),0)</f>
        <v>#VALUE!</v>
      </c>
      <c r="N69" s="2332" t="e">
        <f>M69/M49</f>
        <v>#VALUE!</v>
      </c>
      <c r="Z69" s="1623"/>
      <c r="AI69" s="1561"/>
    </row>
    <row r="70" spans="1:35" s="642" customFormat="1" ht="1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3" t="s">
        <v>1402</v>
      </c>
      <c r="F76" s="3267"/>
      <c r="G76" s="3267"/>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7" t="s">
        <v>1406</v>
      </c>
      <c r="F78" s="3278"/>
      <c r="G78" s="3278"/>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9" t="s">
        <v>2129</v>
      </c>
      <c r="H90" s="336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7" t="s">
        <v>1422</v>
      </c>
      <c r="F92" s="3278"/>
      <c r="G92" s="3278"/>
      <c r="H92" s="328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7" t="s">
        <v>1406</v>
      </c>
      <c r="F93" s="3278"/>
      <c r="G93" s="3278"/>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8" t="s">
        <v>1426</v>
      </c>
      <c r="F94" s="3289"/>
      <c r="G94" s="3289"/>
      <c r="H94" s="32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1">
        <f>C4</f>
        <v>0</v>
      </c>
      <c r="D101" s="2372">
        <f>D4</f>
        <v>0</v>
      </c>
      <c r="E101" s="3354" t="s">
        <v>1431</v>
      </c>
      <c r="F101" s="3311"/>
      <c r="G101" s="1687" t="s">
        <v>1432</v>
      </c>
      <c r="H101" s="2381" t="e">
        <f ca="1">H118</f>
        <v>#REF!</v>
      </c>
      <c r="I101" s="121"/>
    </row>
    <row r="102" spans="1:35" ht="18.75" customHeight="1">
      <c r="A102" s="3313" t="s">
        <v>1433</v>
      </c>
      <c r="B102" s="2370" t="s">
        <v>1432</v>
      </c>
      <c r="C102" s="2371" t="e">
        <f ca="1">IF(D32="楼面单价",ROUND(C19,0),C19)</f>
        <v>#REF!</v>
      </c>
      <c r="D102" s="2372" t="e">
        <f ca="1">IF(D32="楼面单价",ROUND(D19,0),D19)</f>
        <v>#REF!</v>
      </c>
      <c r="E102" s="3354"/>
      <c r="F102" s="3311"/>
      <c r="G102" s="1687" t="s">
        <v>1434</v>
      </c>
      <c r="H102" s="2341" t="e">
        <f ca="1">I118</f>
        <v>#REF!</v>
      </c>
      <c r="I102" s="121"/>
    </row>
    <row r="103" spans="1:35" ht="42.75" customHeight="1">
      <c r="A103" s="3313"/>
      <c r="B103" s="2370" t="s">
        <v>1434</v>
      </c>
      <c r="C103" s="2373" t="e">
        <f ca="1">C20</f>
        <v>#REF!</v>
      </c>
      <c r="D103" s="2374" t="e">
        <f ca="1">D20</f>
        <v>#REF!</v>
      </c>
      <c r="E103" s="3348" t="s">
        <v>1435</v>
      </c>
      <c r="F103" s="3349"/>
      <c r="G103" s="1688" t="s">
        <v>1436</v>
      </c>
      <c r="H103" s="2381">
        <f>IF(D36="正常操作",H104+H105+H106,H105+H106)</f>
        <v>0</v>
      </c>
      <c r="I103" s="121"/>
    </row>
    <row r="104" spans="1:35" ht="18.75" customHeight="1">
      <c r="A104" s="3313"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0" t="str">
        <f>IF(项目基本情况!E8="已注销","——","3.房地产抵押价值")</f>
        <v>3.房地产抵押价值</v>
      </c>
      <c r="F107" s="3311"/>
      <c r="G107" s="1687" t="s">
        <v>1432</v>
      </c>
      <c r="H107" s="2381" t="e">
        <f ca="1">IF(E107="——","——",H101-H103)</f>
        <v>#REF!</v>
      </c>
      <c r="I107" s="121"/>
    </row>
    <row r="108" spans="1:35" ht="18.75" customHeight="1">
      <c r="A108" s="121"/>
      <c r="B108" s="121"/>
      <c r="C108" s="121"/>
      <c r="D108" s="121"/>
      <c r="E108" s="3310"/>
      <c r="F108" s="3311"/>
      <c r="G108" s="1687" t="s">
        <v>1434</v>
      </c>
      <c r="H108" s="2341">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7" t="s">
        <v>1432</v>
      </c>
      <c r="H109" s="2384" t="str">
        <f>IF(E109="——","——",H101-H105-H106)</f>
        <v>——</v>
      </c>
      <c r="I109" s="121"/>
    </row>
    <row r="110" spans="1:35" ht="18.75" customHeight="1">
      <c r="A110" s="121"/>
      <c r="B110" s="121"/>
      <c r="C110" s="121"/>
      <c r="D110" s="121"/>
      <c r="E110" s="3310"/>
      <c r="F110" s="3311"/>
      <c r="G110" s="1687" t="s">
        <v>1434</v>
      </c>
      <c r="H110" s="2341"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7" t="s">
        <v>1432</v>
      </c>
      <c r="H111" s="2381" t="str">
        <f>IF(E111="——","——",N59)</f>
        <v>——</v>
      </c>
      <c r="I111" s="121"/>
    </row>
    <row r="112" spans="1:35" ht="18.75" customHeight="1" thickBot="1">
      <c r="A112" s="121"/>
      <c r="B112" s="121"/>
      <c r="C112" s="121"/>
      <c r="D112" s="121"/>
      <c r="E112" s="3343"/>
      <c r="F112" s="3344"/>
      <c r="G112" s="1690" t="s">
        <v>1434</v>
      </c>
      <c r="H112" s="2385"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1" t="s">
        <v>1452</v>
      </c>
      <c r="B119" s="3281"/>
      <c r="C119" s="3281"/>
      <c r="D119" s="3321" t="e">
        <f ca="1">NUMBERSTRING(INT(D118*10000),2)&amp;"元整"</f>
        <v>#REF!</v>
      </c>
      <c r="E119" s="3323"/>
      <c r="F119" s="3321" t="e">
        <f ca="1">NUMBERSTRING(INT(F118*10000),2)&amp;"元整"</f>
        <v>#REF!</v>
      </c>
      <c r="G119" s="3323"/>
      <c r="H119" s="3321" t="e">
        <f ca="1">NUMBERSTRING(INT(H118*10000),2)&amp;"元整"</f>
        <v>#REF!</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t="e">
        <f ca="1">H107</f>
        <v>#REF!</v>
      </c>
      <c r="E122" s="3346"/>
      <c r="F122" s="3346"/>
      <c r="G122" s="3346"/>
      <c r="H122" s="3346"/>
      <c r="I122" s="3347"/>
      <c r="AA122" s="684"/>
    </row>
    <row r="123" spans="1:27" ht="18.75" customHeight="1">
      <c r="A123" s="3281" t="s">
        <v>1452</v>
      </c>
      <c r="B123" s="3281"/>
      <c r="C123" s="3281"/>
      <c r="D123" s="3321" t="e">
        <f ca="1">NUMBERSTRING(INT(D122*10000),2)&amp;"元整"</f>
        <v>#REF!</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61" t="s">
        <v>1544</v>
      </c>
    </row>
    <row r="43" spans="1:7" ht="13.5" customHeight="1">
      <c r="A43" s="734" t="s">
        <v>347</v>
      </c>
      <c r="B43" s="207" t="s">
        <v>1545</v>
      </c>
      <c r="C43" s="230" t="e">
        <f ca="1">ROUND(IF('数据-取费表'!B22&lt;=1,C39*F22*'数据-取费表'!B21/2,C39*(POWER((1+F22),'数据-取费表'!B21/2)-1)),0)</f>
        <v>#VALUE!</v>
      </c>
      <c r="D43" s="230"/>
      <c r="E43" s="230"/>
      <c r="F43" s="231"/>
      <c r="G43" s="3362"/>
    </row>
    <row r="44" spans="1:7" ht="13.5" customHeight="1">
      <c r="A44" s="734" t="s">
        <v>348</v>
      </c>
      <c r="B44" s="207" t="s">
        <v>1546</v>
      </c>
      <c r="C44" s="230" t="e">
        <f ca="1">ROUND(IF('数据-取费表'!B22&lt;=1,C40*F22*'数据-取费表'!B21/2,C40*(POWER((1+F22),'数据-取费表'!B21/2)-1)),4)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9" t="str">
        <f>项目基本情况!B1</f>
        <v>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61" t="s">
        <v>1591</v>
      </c>
    </row>
    <row r="43" spans="1:7" ht="13.5" customHeight="1">
      <c r="A43" s="734" t="s">
        <v>347</v>
      </c>
      <c r="B43" s="207" t="s">
        <v>1545</v>
      </c>
      <c r="C43" s="230" t="e">
        <f ca="1">ROUND(IF('数据-取费表'!B22&lt;=1,C39*F22*'数据-取费表'!B20/2,C39*(POWER((1+F22),'数据-取费表'!B20/2)-1)),0)</f>
        <v>#VALUE!</v>
      </c>
      <c r="D43" s="230"/>
      <c r="E43" s="230"/>
      <c r="F43" s="231"/>
      <c r="G43" s="3362"/>
    </row>
    <row r="44" spans="1:7" ht="13.5" customHeight="1">
      <c r="A44" s="734" t="s">
        <v>348</v>
      </c>
      <c r="B44" s="207" t="s">
        <v>1546</v>
      </c>
      <c r="C44" s="230" t="e">
        <f ca="1">ROUND(IF('数据-取费表'!B22&lt;=1,C40*F22*'数据-取费表'!B20/2,C40*(POWER((1+F22),'数据-取费表'!B20/2)-1)),4)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0</v>
      </c>
      <c r="D6" s="147" t="s">
        <v>2106</v>
      </c>
      <c r="E6" s="294" t="s">
        <v>696</v>
      </c>
      <c r="F6" s="295">
        <f ca="1">INDIRECT("'数据-取费表'!u"&amp;$G$1)</f>
        <v>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t="e">
        <f ca="1">ROUND((C68-C40)/10000,4)</f>
        <v>#VALUE!</v>
      </c>
      <c r="D45" s="3131" t="s">
        <v>3354</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3360</v>
      </c>
      <c r="E2" s="3140"/>
      <c r="F2" s="2598"/>
      <c r="G2" s="2599"/>
      <c r="H2" s="2600"/>
      <c r="I2" s="2601"/>
      <c r="J2" s="3375" t="s">
        <v>2319</v>
      </c>
      <c r="K2" s="3376"/>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77" t="s">
        <v>2329</v>
      </c>
      <c r="K3" s="3378"/>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77" t="s">
        <v>2331</v>
      </c>
      <c r="K4" s="3378"/>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83" t="s">
        <v>2335</v>
      </c>
      <c r="B6" s="3384"/>
      <c r="C6" s="3385"/>
      <c r="D6" s="2622"/>
      <c r="E6" s="2623"/>
      <c r="F6" s="2624"/>
      <c r="G6" s="2625"/>
      <c r="H6" s="2600"/>
      <c r="I6" s="2601"/>
      <c r="J6" s="3369">
        <v>1</v>
      </c>
      <c r="K6" s="3370"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69"/>
      <c r="K7" s="3371"/>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86" t="s">
        <v>2349</v>
      </c>
      <c r="C8" s="3387"/>
      <c r="D8" s="2641" t="s">
        <v>2350</v>
      </c>
      <c r="E8" s="2642" t="s">
        <v>2351</v>
      </c>
      <c r="F8" s="2643" t="s">
        <v>2352</v>
      </c>
      <c r="G8" s="2644"/>
      <c r="H8" s="2600"/>
      <c r="I8" s="2601"/>
      <c r="J8" s="3369"/>
      <c r="K8" s="3371"/>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86" t="s">
        <v>2355</v>
      </c>
      <c r="C9" s="3387"/>
      <c r="D9" s="2641">
        <f>ROUND(D6*E9,0)</f>
        <v>0</v>
      </c>
      <c r="E9" s="2645"/>
      <c r="F9" s="2646" t="s">
        <v>2356</v>
      </c>
      <c r="G9" s="2625"/>
      <c r="H9" s="2600"/>
      <c r="I9" s="2601"/>
      <c r="J9" s="3369"/>
      <c r="K9" s="3371"/>
      <c r="L9" s="2635" t="s">
        <v>2357</v>
      </c>
      <c r="M9" s="2636"/>
      <c r="N9" s="2612"/>
      <c r="O9" s="2637"/>
      <c r="P9" s="2637"/>
      <c r="Q9" s="2638">
        <v>365</v>
      </c>
      <c r="R9" s="2639">
        <f t="shared" si="0"/>
        <v>0</v>
      </c>
      <c r="S9" s="2593"/>
      <c r="T9" s="2593"/>
      <c r="U9" s="2593"/>
      <c r="V9" s="2601"/>
    </row>
    <row r="10" spans="1:22" s="2605" customFormat="1" ht="13.15" customHeight="1">
      <c r="A10" s="2640">
        <v>2</v>
      </c>
      <c r="B10" s="3386" t="s">
        <v>2358</v>
      </c>
      <c r="C10" s="3387"/>
      <c r="D10" s="2641">
        <f>ROUND(D6*E10,0)</f>
        <v>0</v>
      </c>
      <c r="E10" s="2645"/>
      <c r="F10" s="2646" t="s">
        <v>2359</v>
      </c>
      <c r="G10" s="2625"/>
      <c r="H10" s="2600"/>
      <c r="I10" s="2601"/>
      <c r="J10" s="3369"/>
      <c r="K10" s="3371"/>
      <c r="L10" s="2635" t="s">
        <v>2360</v>
      </c>
      <c r="M10" s="2636"/>
      <c r="N10" s="2612"/>
      <c r="O10" s="2637"/>
      <c r="P10" s="2637"/>
      <c r="Q10" s="2638">
        <v>365</v>
      </c>
      <c r="R10" s="2639">
        <f t="shared" si="0"/>
        <v>0</v>
      </c>
      <c r="S10" s="2593"/>
      <c r="T10" s="2593"/>
      <c r="U10" s="2593"/>
      <c r="V10" s="2601"/>
    </row>
    <row r="11" spans="1:22" s="2605" customFormat="1" ht="13.15" customHeight="1">
      <c r="A11" s="2640">
        <v>3</v>
      </c>
      <c r="B11" s="3386" t="s">
        <v>2361</v>
      </c>
      <c r="C11" s="3387"/>
      <c r="D11" s="2641">
        <f>D12+D14+D15+D16</f>
        <v>0</v>
      </c>
      <c r="E11" s="2647" t="e">
        <f>D11/D6</f>
        <v>#DIV/0!</v>
      </c>
      <c r="F11" s="2643"/>
      <c r="G11" s="2644"/>
      <c r="H11" s="2600"/>
      <c r="I11" s="2601"/>
      <c r="J11" s="3369"/>
      <c r="K11" s="3371"/>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79" t="s">
        <v>2364</v>
      </c>
      <c r="C12" s="3380"/>
      <c r="D12" s="2649">
        <f>ROUND(D13*1.2%*(1-30%),0)</f>
        <v>0</v>
      </c>
      <c r="E12" s="2650">
        <v>1.2E-2</v>
      </c>
      <c r="F12" s="2643" t="s">
        <v>2365</v>
      </c>
      <c r="G12" s="2644"/>
      <c r="H12" s="2600"/>
      <c r="I12" s="2601"/>
      <c r="J12" s="3369"/>
      <c r="K12" s="3371"/>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69"/>
      <c r="K13" s="3371"/>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79" t="s">
        <v>2370</v>
      </c>
      <c r="C14" s="3380"/>
      <c r="D14" s="2649">
        <f>ROUND(E14*B5/10000,0)</f>
        <v>0</v>
      </c>
      <c r="E14" s="2638"/>
      <c r="F14" s="2643" t="s">
        <v>2371</v>
      </c>
      <c r="G14" s="2644"/>
      <c r="H14" s="2600"/>
      <c r="I14" s="2601"/>
      <c r="J14" s="3369"/>
      <c r="K14" s="3372"/>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79" t="s">
        <v>2374</v>
      </c>
      <c r="C15" s="3380"/>
      <c r="D15" s="2649">
        <f>ROUND(D6*E15,0)</f>
        <v>0</v>
      </c>
      <c r="E15" s="2650">
        <v>5.5E-2</v>
      </c>
      <c r="F15" s="2643" t="s">
        <v>2375</v>
      </c>
      <c r="G15" s="2625"/>
      <c r="H15" s="2600"/>
      <c r="I15" s="2601"/>
      <c r="J15" s="3369">
        <v>2</v>
      </c>
      <c r="K15" s="3370"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79" t="s">
        <v>2383</v>
      </c>
      <c r="C16" s="3380"/>
      <c r="D16" s="2660">
        <f>D6*E16</f>
        <v>0</v>
      </c>
      <c r="E16" s="2661"/>
      <c r="F16" s="2646" t="s">
        <v>2384</v>
      </c>
      <c r="G16" s="2625"/>
      <c r="H16" s="2600"/>
      <c r="I16" s="2601"/>
      <c r="J16" s="3369"/>
      <c r="K16" s="3371"/>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81" t="s">
        <v>2386</v>
      </c>
      <c r="C17" s="3382"/>
      <c r="D17" s="2663">
        <f>ROUND(D6*E17,0)</f>
        <v>0</v>
      </c>
      <c r="E17" s="2664"/>
      <c r="F17" s="2665" t="s">
        <v>2387</v>
      </c>
      <c r="G17" s="2625"/>
      <c r="H17" s="2600"/>
      <c r="I17" s="2601"/>
      <c r="J17" s="3369"/>
      <c r="K17" s="3371"/>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69"/>
      <c r="K18" s="3371"/>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69"/>
      <c r="K19" s="3372"/>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9">
        <v>3</v>
      </c>
      <c r="K20" s="3370"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69"/>
      <c r="K21" s="3371"/>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69"/>
      <c r="K22" s="3371"/>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69"/>
      <c r="K23" s="3371"/>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69"/>
      <c r="K24" s="3372"/>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73">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7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75" t="s">
        <v>2319</v>
      </c>
      <c r="K32" s="3376"/>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77" t="s">
        <v>2329</v>
      </c>
      <c r="K33" s="3378"/>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77" t="s">
        <v>2331</v>
      </c>
      <c r="K34" s="33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69">
        <v>1</v>
      </c>
      <c r="K36" s="3370"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69"/>
      <c r="K37" s="3371"/>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9"/>
      <c r="K38" s="3371"/>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69"/>
      <c r="K39" s="3371"/>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69"/>
      <c r="K40" s="3372"/>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3">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7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8" t="s">
        <v>1654</v>
      </c>
      <c r="C5" s="3389"/>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8" t="s">
        <v>1667</v>
      </c>
      <c r="D4" s="3409"/>
      <c r="E4" s="3410" t="s">
        <v>1668</v>
      </c>
      <c r="F4" s="3411"/>
      <c r="G4" s="3408" t="s">
        <v>1669</v>
      </c>
      <c r="H4" s="3409"/>
      <c r="I4" s="3408" t="s">
        <v>1670</v>
      </c>
      <c r="J4" s="3409"/>
      <c r="K4" s="1744" t="s">
        <v>1671</v>
      </c>
      <c r="L4" s="2487"/>
      <c r="M4" s="2488"/>
      <c r="N4" s="2488"/>
      <c r="O4" s="2488"/>
      <c r="P4" s="3412" t="s">
        <v>1672</v>
      </c>
      <c r="Q4" s="3413"/>
      <c r="R4" s="3418" t="s">
        <v>1668</v>
      </c>
      <c r="S4" s="3419"/>
      <c r="T4" s="3418" t="s">
        <v>1669</v>
      </c>
      <c r="U4" s="3419"/>
      <c r="V4" s="3394" t="s">
        <v>1670</v>
      </c>
      <c r="W4" s="3394"/>
      <c r="X4" s="1265"/>
      <c r="Y4" s="3418" t="s">
        <v>1672</v>
      </c>
      <c r="Z4" s="3419"/>
      <c r="AA4" s="3405" t="s">
        <v>1668</v>
      </c>
      <c r="AB4" s="3405" t="s">
        <v>1669</v>
      </c>
      <c r="AC4" s="3405" t="s">
        <v>1670</v>
      </c>
    </row>
    <row r="5" spans="1:29" ht="15">
      <c r="A5" s="348"/>
      <c r="B5" s="349"/>
      <c r="C5" s="3426" t="s">
        <v>1673</v>
      </c>
      <c r="D5" s="3427"/>
      <c r="E5" s="3433" t="s">
        <v>1674</v>
      </c>
      <c r="F5" s="3434"/>
      <c r="G5" s="3426" t="s">
        <v>1675</v>
      </c>
      <c r="H5" s="3427"/>
      <c r="I5" s="3426" t="s">
        <v>1676</v>
      </c>
      <c r="J5" s="3427"/>
      <c r="K5" s="1745"/>
      <c r="L5" s="2487"/>
      <c r="M5" s="2488"/>
      <c r="N5" s="2488"/>
      <c r="O5" s="2488"/>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1745" t="s">
        <v>1678</v>
      </c>
      <c r="L6" s="2487"/>
      <c r="M6" s="2488"/>
      <c r="N6" s="2488"/>
      <c r="O6" s="2488"/>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8" t="s">
        <v>1680</v>
      </c>
      <c r="Q7" s="3430"/>
      <c r="R7" s="664" t="s">
        <v>20</v>
      </c>
      <c r="S7" s="665">
        <f t="shared" ref="S7:S15" si="0">F7</f>
        <v>0</v>
      </c>
      <c r="T7" s="664" t="s">
        <v>20</v>
      </c>
      <c r="U7" s="665">
        <f t="shared" ref="U7:U15" si="1">H7</f>
        <v>0</v>
      </c>
      <c r="V7" s="664" t="s">
        <v>20</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8" t="s">
        <v>1683</v>
      </c>
      <c r="Q8" s="3429"/>
      <c r="R8" s="664" t="s">
        <v>20</v>
      </c>
      <c r="S8" s="665">
        <f t="shared" si="0"/>
        <v>100</v>
      </c>
      <c r="T8" s="664" t="s">
        <v>20</v>
      </c>
      <c r="U8" s="665">
        <f t="shared" si="1"/>
        <v>100</v>
      </c>
      <c r="V8" s="664" t="s">
        <v>20</v>
      </c>
      <c r="W8" s="665">
        <f t="shared" si="2"/>
        <v>100</v>
      </c>
      <c r="X8" s="666"/>
      <c r="Y8" s="3428" t="s">
        <v>1683</v>
      </c>
      <c r="Z8" s="342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4"/>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4"/>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4"/>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4"/>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2" t="s">
        <v>1691</v>
      </c>
      <c r="Q15" s="1263" t="str">
        <f t="shared" si="6"/>
        <v>居住社区成熟度</v>
      </c>
      <c r="R15" s="667" t="s">
        <v>18</v>
      </c>
      <c r="S15" s="668">
        <f t="shared" si="0"/>
        <v>100</v>
      </c>
      <c r="T15" s="667" t="s">
        <v>18</v>
      </c>
      <c r="U15" s="668">
        <f t="shared" si="1"/>
        <v>100</v>
      </c>
      <c r="V15" s="667" t="s">
        <v>18</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3"/>
      <c r="Q16" s="1263"/>
      <c r="R16" s="667"/>
      <c r="S16" s="668"/>
      <c r="T16" s="667"/>
      <c r="U16" s="668"/>
      <c r="V16" s="667"/>
      <c r="W16" s="668"/>
      <c r="X16" s="1265"/>
      <c r="Y16" s="339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3"/>
      <c r="Q17" s="1263" t="str">
        <f>B17</f>
        <v>交通便捷度</v>
      </c>
      <c r="R17" s="667" t="s">
        <v>18</v>
      </c>
      <c r="S17" s="668">
        <f>F17</f>
        <v>100</v>
      </c>
      <c r="T17" s="667" t="s">
        <v>18</v>
      </c>
      <c r="U17" s="668">
        <f>H17</f>
        <v>100</v>
      </c>
      <c r="V17" s="667" t="s">
        <v>18</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3"/>
      <c r="Q18" s="1263"/>
      <c r="R18" s="667"/>
      <c r="S18" s="668"/>
      <c r="T18" s="667"/>
      <c r="U18" s="668"/>
      <c r="V18" s="667"/>
      <c r="W18" s="668"/>
      <c r="X18" s="1265"/>
      <c r="Y18" s="339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3"/>
      <c r="Q19" s="1263" t="str">
        <f>B19</f>
        <v>公共配套设施</v>
      </c>
      <c r="R19" s="667" t="s">
        <v>18</v>
      </c>
      <c r="S19" s="668">
        <f>F19</f>
        <v>100</v>
      </c>
      <c r="T19" s="667" t="s">
        <v>18</v>
      </c>
      <c r="U19" s="668">
        <f>H19</f>
        <v>100</v>
      </c>
      <c r="V19" s="667" t="s">
        <v>18</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3"/>
      <c r="Q20" s="1263"/>
      <c r="R20" s="667"/>
      <c r="S20" s="668"/>
      <c r="T20" s="667"/>
      <c r="U20" s="668"/>
      <c r="V20" s="667"/>
      <c r="W20" s="668"/>
      <c r="X20" s="1265"/>
      <c r="Y20" s="339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3"/>
      <c r="Q22" s="1263"/>
      <c r="R22" s="667"/>
      <c r="S22" s="668"/>
      <c r="T22" s="667"/>
      <c r="U22" s="668"/>
      <c r="V22" s="667"/>
      <c r="W22" s="668"/>
      <c r="X22" s="1265"/>
      <c r="Y22" s="339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3"/>
      <c r="Q23" s="1263" t="str">
        <f>B23</f>
        <v>自然及人文环境</v>
      </c>
      <c r="R23" s="667" t="s">
        <v>18</v>
      </c>
      <c r="S23" s="668">
        <f>F23</f>
        <v>100</v>
      </c>
      <c r="T23" s="667" t="s">
        <v>18</v>
      </c>
      <c r="U23" s="668">
        <f>H23</f>
        <v>100</v>
      </c>
      <c r="V23" s="667" t="s">
        <v>18</v>
      </c>
      <c r="W23" s="668">
        <f>J23</f>
        <v>100</v>
      </c>
      <c r="X23" s="1265"/>
      <c r="Y23" s="339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3"/>
      <c r="Q24" s="1263"/>
      <c r="R24" s="667"/>
      <c r="S24" s="668"/>
      <c r="T24" s="667"/>
      <c r="U24" s="668"/>
      <c r="V24" s="667"/>
      <c r="W24" s="668"/>
      <c r="X24" s="1265"/>
      <c r="Y24" s="339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3"/>
      <c r="Q26" s="1263" t="str">
        <f t="shared" si="11"/>
        <v>朝向</v>
      </c>
      <c r="R26" s="667" t="s">
        <v>18</v>
      </c>
      <c r="S26" s="668">
        <f t="shared" si="12"/>
        <v>100</v>
      </c>
      <c r="T26" s="667" t="s">
        <v>18</v>
      </c>
      <c r="U26" s="668">
        <f t="shared" si="13"/>
        <v>100</v>
      </c>
      <c r="V26" s="667" t="s">
        <v>18</v>
      </c>
      <c r="W26" s="668">
        <f t="shared" si="14"/>
        <v>100</v>
      </c>
      <c r="X26" s="1265"/>
      <c r="Y26" s="339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3"/>
      <c r="Q27" s="530">
        <f t="shared" si="11"/>
        <v>111</v>
      </c>
      <c r="R27" s="664" t="s">
        <v>18</v>
      </c>
      <c r="S27" s="665">
        <f t="shared" si="12"/>
        <v>100</v>
      </c>
      <c r="T27" s="664" t="s">
        <v>18</v>
      </c>
      <c r="U27" s="665">
        <f t="shared" si="13"/>
        <v>100</v>
      </c>
      <c r="V27" s="664" t="s">
        <v>18</v>
      </c>
      <c r="W27" s="665">
        <f t="shared" si="14"/>
        <v>100</v>
      </c>
      <c r="X27" s="666"/>
      <c r="Y27" s="339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3"/>
      <c r="Q28" s="1263">
        <f t="shared" si="11"/>
        <v>111</v>
      </c>
      <c r="R28" s="667" t="s">
        <v>18</v>
      </c>
      <c r="S28" s="668">
        <f t="shared" si="12"/>
        <v>100</v>
      </c>
      <c r="T28" s="667" t="s">
        <v>18</v>
      </c>
      <c r="U28" s="668">
        <f t="shared" si="13"/>
        <v>100</v>
      </c>
      <c r="V28" s="667" t="s">
        <v>18</v>
      </c>
      <c r="W28" s="668">
        <f t="shared" si="14"/>
        <v>100</v>
      </c>
      <c r="X28" s="1265"/>
      <c r="Y28" s="339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3"/>
      <c r="Q29" s="1263">
        <f t="shared" si="11"/>
        <v>111</v>
      </c>
      <c r="R29" s="667" t="s">
        <v>18</v>
      </c>
      <c r="S29" s="668">
        <f t="shared" si="12"/>
        <v>100</v>
      </c>
      <c r="T29" s="667" t="s">
        <v>18</v>
      </c>
      <c r="U29" s="668">
        <f t="shared" si="13"/>
        <v>100</v>
      </c>
      <c r="V29" s="667" t="s">
        <v>18</v>
      </c>
      <c r="W29" s="668">
        <f t="shared" si="14"/>
        <v>100</v>
      </c>
      <c r="X29" s="1265"/>
      <c r="Y29" s="339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3"/>
      <c r="Q30" s="1263">
        <f t="shared" si="11"/>
        <v>111</v>
      </c>
      <c r="R30" s="667" t="s">
        <v>18</v>
      </c>
      <c r="S30" s="668">
        <f t="shared" si="12"/>
        <v>100</v>
      </c>
      <c r="T30" s="667" t="s">
        <v>18</v>
      </c>
      <c r="U30" s="668">
        <f t="shared" si="13"/>
        <v>100</v>
      </c>
      <c r="V30" s="667" t="s">
        <v>18</v>
      </c>
      <c r="W30" s="668">
        <f t="shared" si="14"/>
        <v>100</v>
      </c>
      <c r="X30" s="1265"/>
      <c r="Y30" s="339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3"/>
      <c r="Q31" s="1263">
        <f t="shared" si="11"/>
        <v>111</v>
      </c>
      <c r="R31" s="667" t="s">
        <v>18</v>
      </c>
      <c r="S31" s="668">
        <f t="shared" si="12"/>
        <v>100</v>
      </c>
      <c r="T31" s="667" t="s">
        <v>18</v>
      </c>
      <c r="U31" s="668">
        <f t="shared" si="13"/>
        <v>100</v>
      </c>
      <c r="V31" s="667" t="s">
        <v>18</v>
      </c>
      <c r="W31" s="668">
        <f t="shared" si="14"/>
        <v>100</v>
      </c>
      <c r="X31" s="1265"/>
      <c r="Y31" s="339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7" t="s">
        <v>1696</v>
      </c>
      <c r="Q32" s="1263" t="str">
        <f t="shared" si="11"/>
        <v>建筑类型</v>
      </c>
      <c r="R32" s="667" t="s">
        <v>18</v>
      </c>
      <c r="S32" s="668">
        <f t="shared" si="12"/>
        <v>100</v>
      </c>
      <c r="T32" s="667" t="s">
        <v>18</v>
      </c>
      <c r="U32" s="668">
        <f t="shared" si="13"/>
        <v>100</v>
      </c>
      <c r="V32" s="667" t="s">
        <v>18</v>
      </c>
      <c r="W32" s="668">
        <f t="shared" si="14"/>
        <v>100</v>
      </c>
      <c r="X32" s="1265"/>
      <c r="Y32" s="340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8"/>
      <c r="Q34" s="1263" t="str">
        <f t="shared" si="11"/>
        <v>建筑结构</v>
      </c>
      <c r="R34" s="667" t="s">
        <v>18</v>
      </c>
      <c r="S34" s="668">
        <f t="shared" si="12"/>
        <v>100</v>
      </c>
      <c r="T34" s="667" t="s">
        <v>18</v>
      </c>
      <c r="U34" s="668">
        <f t="shared" si="13"/>
        <v>100</v>
      </c>
      <c r="V34" s="667" t="s">
        <v>18</v>
      </c>
      <c r="W34" s="668">
        <f t="shared" si="14"/>
        <v>100</v>
      </c>
      <c r="X34" s="1265"/>
      <c r="Y34" s="340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8"/>
      <c r="Q35" s="1263" t="str">
        <f t="shared" si="11"/>
        <v>建筑品质</v>
      </c>
      <c r="R35" s="667" t="s">
        <v>18</v>
      </c>
      <c r="S35" s="668">
        <f t="shared" si="12"/>
        <v>100</v>
      </c>
      <c r="T35" s="667" t="s">
        <v>18</v>
      </c>
      <c r="U35" s="668">
        <f t="shared" si="13"/>
        <v>100</v>
      </c>
      <c r="V35" s="667" t="s">
        <v>18</v>
      </c>
      <c r="W35" s="668">
        <f t="shared" si="14"/>
        <v>100</v>
      </c>
      <c r="X35" s="1265"/>
      <c r="Y35" s="340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8"/>
      <c r="Q36" s="1263" t="str">
        <f t="shared" si="11"/>
        <v>公共部分装修</v>
      </c>
      <c r="R36" s="667" t="s">
        <v>18</v>
      </c>
      <c r="S36" s="668">
        <f t="shared" si="12"/>
        <v>100</v>
      </c>
      <c r="T36" s="667" t="s">
        <v>18</v>
      </c>
      <c r="U36" s="668">
        <f t="shared" si="13"/>
        <v>100</v>
      </c>
      <c r="V36" s="667" t="s">
        <v>18</v>
      </c>
      <c r="W36" s="668">
        <f t="shared" si="14"/>
        <v>100</v>
      </c>
      <c r="X36" s="1265"/>
      <c r="Y36" s="340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8" t="s">
        <v>1696</v>
      </c>
      <c r="Q38" s="1263" t="str">
        <f t="shared" si="11"/>
        <v>物业管理</v>
      </c>
      <c r="R38" s="667" t="s">
        <v>18</v>
      </c>
      <c r="S38" s="668">
        <f t="shared" si="12"/>
        <v>100</v>
      </c>
      <c r="T38" s="667" t="s">
        <v>18</v>
      </c>
      <c r="U38" s="668">
        <f t="shared" si="13"/>
        <v>100</v>
      </c>
      <c r="V38" s="667" t="s">
        <v>18</v>
      </c>
      <c r="W38" s="668">
        <f t="shared" si="14"/>
        <v>100</v>
      </c>
      <c r="X38" s="1265"/>
      <c r="Y38" s="340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8"/>
      <c r="Q39" s="1263" t="str">
        <f t="shared" si="11"/>
        <v>市政基础设施</v>
      </c>
      <c r="R39" s="667" t="s">
        <v>18</v>
      </c>
      <c r="S39" s="668">
        <f t="shared" si="12"/>
        <v>100</v>
      </c>
      <c r="T39" s="667" t="s">
        <v>18</v>
      </c>
      <c r="U39" s="668">
        <f t="shared" si="13"/>
        <v>100</v>
      </c>
      <c r="V39" s="667" t="s">
        <v>18</v>
      </c>
      <c r="W39" s="668">
        <f t="shared" si="14"/>
        <v>100</v>
      </c>
      <c r="X39" s="1265"/>
      <c r="Y39" s="340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8"/>
      <c r="Q40" s="1263" t="str">
        <f t="shared" si="11"/>
        <v>房型</v>
      </c>
      <c r="R40" s="667" t="s">
        <v>18</v>
      </c>
      <c r="S40" s="668">
        <f t="shared" si="12"/>
        <v>100</v>
      </c>
      <c r="T40" s="667" t="s">
        <v>18</v>
      </c>
      <c r="U40" s="668">
        <f t="shared" si="13"/>
        <v>100</v>
      </c>
      <c r="V40" s="667" t="s">
        <v>18</v>
      </c>
      <c r="W40" s="668">
        <f t="shared" si="14"/>
        <v>100</v>
      </c>
      <c r="X40" s="1265"/>
      <c r="Y40" s="340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8"/>
      <c r="Q42" s="1263" t="str">
        <f t="shared" si="11"/>
        <v>内部装修</v>
      </c>
      <c r="R42" s="667" t="s">
        <v>18</v>
      </c>
      <c r="S42" s="668">
        <f t="shared" si="12"/>
        <v>100</v>
      </c>
      <c r="T42" s="667" t="s">
        <v>18</v>
      </c>
      <c r="U42" s="668">
        <f t="shared" si="13"/>
        <v>100</v>
      </c>
      <c r="V42" s="667" t="s">
        <v>18</v>
      </c>
      <c r="W42" s="668">
        <f t="shared" si="14"/>
        <v>100</v>
      </c>
      <c r="X42" s="1265"/>
      <c r="Y42" s="340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8"/>
      <c r="Q43" s="1263" t="str">
        <f t="shared" si="11"/>
        <v>内部装修维护情况</v>
      </c>
      <c r="R43" s="667" t="s">
        <v>18</v>
      </c>
      <c r="S43" s="668">
        <f t="shared" si="12"/>
        <v>100</v>
      </c>
      <c r="T43" s="667" t="s">
        <v>18</v>
      </c>
      <c r="U43" s="668">
        <f t="shared" si="13"/>
        <v>100</v>
      </c>
      <c r="V43" s="667" t="s">
        <v>18</v>
      </c>
      <c r="W43" s="668">
        <f t="shared" si="14"/>
        <v>100</v>
      </c>
      <c r="X43" s="1265"/>
      <c r="Y43" s="340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8"/>
      <c r="Q45" s="1263">
        <f t="shared" si="11"/>
        <v>111</v>
      </c>
      <c r="R45" s="667" t="s">
        <v>18</v>
      </c>
      <c r="S45" s="668">
        <f t="shared" si="12"/>
        <v>100</v>
      </c>
      <c r="T45" s="667" t="s">
        <v>18</v>
      </c>
      <c r="U45" s="668">
        <f t="shared" si="13"/>
        <v>100</v>
      </c>
      <c r="V45" s="667" t="s">
        <v>18</v>
      </c>
      <c r="W45" s="668">
        <f t="shared" si="14"/>
        <v>100</v>
      </c>
      <c r="X45" s="1265"/>
      <c r="Y45" s="340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9"/>
      <c r="Q46" s="1263">
        <f t="shared" si="11"/>
        <v>111</v>
      </c>
      <c r="R46" s="667" t="s">
        <v>17</v>
      </c>
      <c r="S46" s="668">
        <f t="shared" si="12"/>
        <v>100</v>
      </c>
      <c r="T46" s="667" t="s">
        <v>17</v>
      </c>
      <c r="U46" s="668">
        <f t="shared" si="13"/>
        <v>100</v>
      </c>
      <c r="V46" s="667" t="s">
        <v>17</v>
      </c>
      <c r="W46" s="668">
        <f t="shared" si="14"/>
        <v>100</v>
      </c>
      <c r="X46" s="1265"/>
      <c r="Y46" s="340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6" zoomScaleNormal="70" zoomScaleSheetLayoutView="100" workbookViewId="0">
      <selection activeCell="K15" sqref="K1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12" t="s">
        <v>1775</v>
      </c>
      <c r="Q4" s="3413"/>
      <c r="R4" s="3418" t="s">
        <v>1771</v>
      </c>
      <c r="S4" s="3419"/>
      <c r="T4" s="3418" t="s">
        <v>1772</v>
      </c>
      <c r="U4" s="3419"/>
      <c r="V4" s="3394" t="s">
        <v>1773</v>
      </c>
      <c r="W4" s="3394"/>
      <c r="X4" s="1265"/>
      <c r="Y4" s="3418" t="s">
        <v>1775</v>
      </c>
      <c r="Z4" s="3419"/>
      <c r="AA4" s="3405" t="s">
        <v>1771</v>
      </c>
      <c r="AB4" s="3394" t="s">
        <v>1772</v>
      </c>
      <c r="AC4" s="3405" t="s">
        <v>1773</v>
      </c>
    </row>
    <row r="5" spans="1:29" ht="15">
      <c r="A5" s="348"/>
      <c r="B5" s="349"/>
      <c r="C5" s="3426" t="s">
        <v>1673</v>
      </c>
      <c r="D5" s="3427"/>
      <c r="E5" s="3433" t="str">
        <f>案例!$M$10</f>
        <v>南火垡村</v>
      </c>
      <c r="F5" s="3434"/>
      <c r="G5" s="3426" t="str">
        <f>案例!$M$11</f>
        <v>南火垡村</v>
      </c>
      <c r="H5" s="3427"/>
      <c r="I5" s="3426" t="str">
        <f>案例!$M$12</f>
        <v>张家湾设计小镇</v>
      </c>
      <c r="J5" s="3427"/>
      <c r="K5" s="537"/>
      <c r="L5" s="2487"/>
      <c r="M5" s="2488"/>
      <c r="N5" s="2488"/>
      <c r="O5" s="2488"/>
      <c r="P5" s="3414"/>
      <c r="Q5" s="3415"/>
      <c r="R5" s="3420"/>
      <c r="S5" s="3421"/>
      <c r="T5" s="3420"/>
      <c r="U5" s="3421"/>
      <c r="V5" s="3394"/>
      <c r="W5" s="3394"/>
      <c r="X5" s="1265"/>
      <c r="Y5" s="3420"/>
      <c r="Z5" s="3421"/>
      <c r="AA5" s="3406"/>
      <c r="AB5" s="3394"/>
      <c r="AC5" s="3406"/>
    </row>
    <row r="6" spans="1:29" ht="15.75" thickBot="1">
      <c r="A6" s="350"/>
      <c r="B6" s="351"/>
      <c r="C6" s="3424" t="s">
        <v>1677</v>
      </c>
      <c r="D6" s="3425"/>
      <c r="E6" s="3431" t="s">
        <v>1677</v>
      </c>
      <c r="F6" s="3432"/>
      <c r="G6" s="3424" t="s">
        <v>1677</v>
      </c>
      <c r="H6" s="3425"/>
      <c r="I6" s="3424" t="s">
        <v>1677</v>
      </c>
      <c r="J6" s="3425"/>
      <c r="K6" s="537" t="s">
        <v>1678</v>
      </c>
      <c r="L6" s="2487"/>
      <c r="M6" s="2488"/>
      <c r="N6" s="2488"/>
      <c r="O6" s="2488"/>
      <c r="P6" s="3416"/>
      <c r="Q6" s="3417"/>
      <c r="R6" s="3420"/>
      <c r="S6" s="3421"/>
      <c r="T6" s="3422"/>
      <c r="U6" s="3423"/>
      <c r="V6" s="3394"/>
      <c r="W6" s="3394"/>
      <c r="X6" s="1265"/>
      <c r="Y6" s="3422"/>
      <c r="Z6" s="3423"/>
      <c r="AA6" s="3407"/>
      <c r="AB6" s="3394"/>
      <c r="AC6" s="3407"/>
    </row>
    <row r="7" spans="1:29" s="102" customFormat="1" ht="15.75" thickBot="1">
      <c r="A7" s="352" t="s">
        <v>1679</v>
      </c>
      <c r="B7" s="353"/>
      <c r="C7" s="354">
        <f>'数据-取费表'!B2</f>
        <v>45628</v>
      </c>
      <c r="D7" s="355">
        <v>100</v>
      </c>
      <c r="E7" s="356">
        <v>45597</v>
      </c>
      <c r="F7" s="357">
        <f>SUMIF(58:58,YEAR(E7)&amp;"-"&amp;MONTH(E7),59:59)</f>
        <v>100</v>
      </c>
      <c r="G7" s="356">
        <v>45597</v>
      </c>
      <c r="H7" s="355">
        <f>SUMIF(58:58,YEAR(G7)&amp;"-"&amp;MONTH(G7),59:59)</f>
        <v>100</v>
      </c>
      <c r="I7" s="356">
        <v>45597</v>
      </c>
      <c r="J7" s="355">
        <f>SUMIF(58:58,YEAR(I7)&amp;"-"&amp;MONTH(I7),59:59)</f>
        <v>100</v>
      </c>
      <c r="K7" s="38"/>
      <c r="L7" s="2489"/>
      <c r="M7" s="2440"/>
      <c r="N7" s="2440"/>
      <c r="O7" s="2440"/>
      <c r="P7" s="3428" t="s">
        <v>1680</v>
      </c>
      <c r="Q7" s="3430"/>
      <c r="R7" s="664" t="s">
        <v>14</v>
      </c>
      <c r="S7" s="665">
        <f t="shared" ref="S7:S15" si="0">F7</f>
        <v>100</v>
      </c>
      <c r="T7" s="664" t="s">
        <v>14</v>
      </c>
      <c r="U7" s="665">
        <f t="shared" ref="U7:U15" si="1">H7</f>
        <v>100</v>
      </c>
      <c r="V7" s="664" t="s">
        <v>14</v>
      </c>
      <c r="W7" s="665">
        <f t="shared" ref="W7:W15" si="2">J7</f>
        <v>100</v>
      </c>
      <c r="X7" s="666"/>
      <c r="Y7" s="3428" t="s">
        <v>1680</v>
      </c>
      <c r="Z7" s="3429"/>
      <c r="AA7" s="50">
        <f>D7/F7</f>
        <v>1</v>
      </c>
      <c r="AB7" s="50">
        <f>D7/H7</f>
        <v>1</v>
      </c>
      <c r="AC7" s="50">
        <f>D7/J7</f>
        <v>1</v>
      </c>
    </row>
    <row r="8" spans="1:29" s="102" customFormat="1" ht="15.75" thickBot="1">
      <c r="A8" s="352" t="s">
        <v>1681</v>
      </c>
      <c r="B8" s="353"/>
      <c r="C8" s="358" t="s">
        <v>3526</v>
      </c>
      <c r="D8" s="355">
        <v>100</v>
      </c>
      <c r="E8" s="358" t="s">
        <v>3527</v>
      </c>
      <c r="F8" s="357">
        <f>SUMIF(61:61,E8,62:62)-SUMIF(61:61,C8,62:62)+100</f>
        <v>105</v>
      </c>
      <c r="G8" s="358" t="s">
        <v>3527</v>
      </c>
      <c r="H8" s="355">
        <f>SUMIF(61:61,G8,62:62)-SUMIF(61:61,C8,62:62)+100</f>
        <v>105</v>
      </c>
      <c r="I8" s="358" t="s">
        <v>3527</v>
      </c>
      <c r="J8" s="355">
        <f>SUMIF(61:61,I8,62:62)-SUMIF(61:61,C8,62:62)+100</f>
        <v>105</v>
      </c>
      <c r="K8" s="38"/>
      <c r="L8" s="2489"/>
      <c r="M8" s="2440"/>
      <c r="N8" s="2440"/>
      <c r="O8" s="2440"/>
      <c r="P8" s="3428" t="s">
        <v>1683</v>
      </c>
      <c r="Q8" s="3429"/>
      <c r="R8" s="664" t="s">
        <v>14</v>
      </c>
      <c r="S8" s="665">
        <f t="shared" si="0"/>
        <v>105</v>
      </c>
      <c r="T8" s="664" t="s">
        <v>14</v>
      </c>
      <c r="U8" s="665">
        <f t="shared" si="1"/>
        <v>105</v>
      </c>
      <c r="V8" s="664" t="s">
        <v>14</v>
      </c>
      <c r="W8" s="665">
        <f t="shared" si="2"/>
        <v>105</v>
      </c>
      <c r="X8" s="666"/>
      <c r="Y8" s="3428" t="s">
        <v>1683</v>
      </c>
      <c r="Z8" s="3429"/>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04"/>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103</v>
      </c>
      <c r="K15" s="540">
        <v>3</v>
      </c>
      <c r="L15" s="2493"/>
      <c r="M15" s="2488"/>
      <c r="N15" s="2488"/>
      <c r="O15" s="2488"/>
      <c r="P15" s="3402" t="s">
        <v>1691</v>
      </c>
      <c r="Q15" s="1263" t="str">
        <f t="shared" si="6"/>
        <v>商业繁华度</v>
      </c>
      <c r="R15" s="667" t="s">
        <v>14</v>
      </c>
      <c r="S15" s="668">
        <f t="shared" si="0"/>
        <v>100</v>
      </c>
      <c r="T15" s="667" t="s">
        <v>14</v>
      </c>
      <c r="U15" s="668">
        <f t="shared" si="1"/>
        <v>100</v>
      </c>
      <c r="V15" s="667" t="s">
        <v>14</v>
      </c>
      <c r="W15" s="668">
        <f t="shared" si="2"/>
        <v>103</v>
      </c>
      <c r="X15" s="1265"/>
      <c r="Y15" s="3395" t="s">
        <v>1691</v>
      </c>
      <c r="Z15" s="1264" t="str">
        <f t="shared" si="7"/>
        <v>商业繁华度</v>
      </c>
      <c r="AA15" s="1264">
        <f t="shared" si="3"/>
        <v>1</v>
      </c>
      <c r="AB15" s="1264">
        <f t="shared" si="4"/>
        <v>1</v>
      </c>
      <c r="AC15" s="1264">
        <f t="shared" si="5"/>
        <v>0.970873786407767</v>
      </c>
    </row>
    <row r="16" spans="1:29" ht="15">
      <c r="A16" s="367"/>
      <c r="B16" s="385"/>
      <c r="C16" s="386" t="s">
        <v>3515</v>
      </c>
      <c r="D16" s="387"/>
      <c r="E16" s="386" t="s">
        <v>3515</v>
      </c>
      <c r="F16" s="388"/>
      <c r="G16" s="386" t="s">
        <v>3515</v>
      </c>
      <c r="H16" s="389"/>
      <c r="I16" s="386" t="s">
        <v>3516</v>
      </c>
      <c r="J16" s="387"/>
      <c r="K16" s="541"/>
      <c r="L16" s="2493"/>
      <c r="M16" s="2488"/>
      <c r="N16" s="2488"/>
      <c r="O16" s="2488"/>
      <c r="P16" s="3403"/>
      <c r="Q16" s="1263"/>
      <c r="R16" s="667"/>
      <c r="S16" s="668"/>
      <c r="T16" s="667"/>
      <c r="U16" s="668"/>
      <c r="V16" s="667"/>
      <c r="W16" s="668"/>
      <c r="X16" s="1265"/>
      <c r="Y16" s="339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102</v>
      </c>
      <c r="K17" s="540">
        <v>2</v>
      </c>
      <c r="L17" s="2493"/>
      <c r="M17" s="2488"/>
      <c r="N17" s="2488"/>
      <c r="O17" s="2488"/>
      <c r="P17" s="3403"/>
      <c r="Q17" s="1263" t="str">
        <f>B17</f>
        <v>交通便捷度</v>
      </c>
      <c r="R17" s="667" t="s">
        <v>14</v>
      </c>
      <c r="S17" s="668">
        <f>F17</f>
        <v>100</v>
      </c>
      <c r="T17" s="667" t="s">
        <v>14</v>
      </c>
      <c r="U17" s="668">
        <f>H17</f>
        <v>100</v>
      </c>
      <c r="V17" s="667" t="s">
        <v>14</v>
      </c>
      <c r="W17" s="668">
        <f>J17</f>
        <v>102</v>
      </c>
      <c r="X17" s="1265"/>
      <c r="Y17" s="3396"/>
      <c r="Z17" s="1264" t="str">
        <f>Q17</f>
        <v>交通便捷度</v>
      </c>
      <c r="AA17" s="1264">
        <f t="shared" si="3"/>
        <v>1</v>
      </c>
      <c r="AB17" s="1264">
        <f t="shared" si="4"/>
        <v>1</v>
      </c>
      <c r="AC17" s="1264">
        <f t="shared" si="5"/>
        <v>0.98039215686274506</v>
      </c>
    </row>
    <row r="18" spans="1:29" ht="15">
      <c r="A18" s="367"/>
      <c r="B18" s="395"/>
      <c r="C18" s="1755" t="s">
        <v>3515</v>
      </c>
      <c r="D18" s="389"/>
      <c r="E18" s="1757" t="s">
        <v>3515</v>
      </c>
      <c r="F18" s="392"/>
      <c r="G18" s="1756" t="s">
        <v>3515</v>
      </c>
      <c r="H18" s="387"/>
      <c r="I18" s="1757" t="s">
        <v>3516</v>
      </c>
      <c r="J18" s="387"/>
      <c r="K18" s="541"/>
      <c r="L18" s="2493"/>
      <c r="M18" s="2488"/>
      <c r="N18" s="2488"/>
      <c r="O18" s="2488"/>
      <c r="P18" s="3403"/>
      <c r="Q18" s="1263"/>
      <c r="R18" s="667"/>
      <c r="S18" s="668"/>
      <c r="T18" s="667"/>
      <c r="U18" s="668"/>
      <c r="V18" s="667"/>
      <c r="W18" s="668"/>
      <c r="X18" s="1265"/>
      <c r="Y18" s="339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102</v>
      </c>
      <c r="K19" s="540">
        <v>2</v>
      </c>
      <c r="L19" s="2493"/>
      <c r="M19" s="2488"/>
      <c r="N19" s="2488"/>
      <c r="O19" s="2488"/>
      <c r="P19" s="3403"/>
      <c r="Q19" s="1263" t="str">
        <f>B19</f>
        <v>公共配套设施</v>
      </c>
      <c r="R19" s="667" t="s">
        <v>14</v>
      </c>
      <c r="S19" s="668">
        <f>F19</f>
        <v>100</v>
      </c>
      <c r="T19" s="667" t="s">
        <v>14</v>
      </c>
      <c r="U19" s="668">
        <f>H19</f>
        <v>100</v>
      </c>
      <c r="V19" s="667" t="s">
        <v>14</v>
      </c>
      <c r="W19" s="668">
        <f>J19</f>
        <v>102</v>
      </c>
      <c r="X19" s="1265"/>
      <c r="Y19" s="3396"/>
      <c r="Z19" s="1264" t="str">
        <f>Q19</f>
        <v>公共配套设施</v>
      </c>
      <c r="AA19" s="1264">
        <f t="shared" si="3"/>
        <v>1</v>
      </c>
      <c r="AB19" s="1264">
        <f t="shared" si="4"/>
        <v>1</v>
      </c>
      <c r="AC19" s="1264">
        <f t="shared" si="5"/>
        <v>0.98039215686274506</v>
      </c>
    </row>
    <row r="20" spans="1:29" ht="15">
      <c r="A20" s="367"/>
      <c r="B20" s="395"/>
      <c r="C20" s="386" t="s">
        <v>3515</v>
      </c>
      <c r="D20" s="387"/>
      <c r="E20" s="1752" t="s">
        <v>3515</v>
      </c>
      <c r="F20" s="388"/>
      <c r="G20" s="1751" t="s">
        <v>3515</v>
      </c>
      <c r="H20" s="387"/>
      <c r="I20" s="1752" t="s">
        <v>3516</v>
      </c>
      <c r="J20" s="387"/>
      <c r="K20" s="541"/>
      <c r="L20" s="2493"/>
      <c r="M20" s="2488"/>
      <c r="N20" s="2488"/>
      <c r="O20" s="2488"/>
      <c r="P20" s="3403"/>
      <c r="Q20" s="1263"/>
      <c r="R20" s="667"/>
      <c r="S20" s="668"/>
      <c r="T20" s="667"/>
      <c r="U20" s="668"/>
      <c r="V20" s="667"/>
      <c r="W20" s="668"/>
      <c r="X20" s="1265"/>
      <c r="Y20" s="339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3"/>
      <c r="Q22" s="1263"/>
      <c r="R22" s="667"/>
      <c r="S22" s="668"/>
      <c r="T22" s="667"/>
      <c r="U22" s="668"/>
      <c r="V22" s="667"/>
      <c r="W22" s="668"/>
      <c r="X22" s="1265"/>
      <c r="Y22" s="339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3"/>
      <c r="Q23" s="1263" t="str">
        <f>B23</f>
        <v>自然及人文环境</v>
      </c>
      <c r="R23" s="667" t="s">
        <v>14</v>
      </c>
      <c r="S23" s="668">
        <f>F23</f>
        <v>100</v>
      </c>
      <c r="T23" s="667" t="s">
        <v>14</v>
      </c>
      <c r="U23" s="668">
        <f>H23</f>
        <v>100</v>
      </c>
      <c r="V23" s="667" t="s">
        <v>14</v>
      </c>
      <c r="W23" s="668">
        <f>J23</f>
        <v>100</v>
      </c>
      <c r="X23" s="1265"/>
      <c r="Y23" s="3396"/>
      <c r="Z23" s="1264" t="str">
        <f>Q23</f>
        <v>自然及人文环境</v>
      </c>
      <c r="AA23" s="1264">
        <f t="shared" si="3"/>
        <v>1</v>
      </c>
      <c r="AB23" s="1264">
        <f t="shared" si="4"/>
        <v>1</v>
      </c>
      <c r="AC23" s="1264">
        <f t="shared" si="5"/>
        <v>1</v>
      </c>
    </row>
    <row r="24" spans="1:29" ht="15">
      <c r="A24" s="367"/>
      <c r="B24" s="395"/>
      <c r="C24" s="386" t="s">
        <v>3515</v>
      </c>
      <c r="D24" s="387"/>
      <c r="E24" s="1752" t="s">
        <v>3515</v>
      </c>
      <c r="F24" s="388"/>
      <c r="G24" s="1751" t="s">
        <v>3515</v>
      </c>
      <c r="H24" s="387"/>
      <c r="I24" s="1752" t="s">
        <v>3515</v>
      </c>
      <c r="J24" s="387"/>
      <c r="K24" s="541"/>
      <c r="L24" s="2493"/>
      <c r="M24" s="2488"/>
      <c r="N24" s="2488"/>
      <c r="O24" s="2488"/>
      <c r="P24" s="3403"/>
      <c r="Q24" s="1263"/>
      <c r="R24" s="667"/>
      <c r="S24" s="668"/>
      <c r="T24" s="667"/>
      <c r="U24" s="668"/>
      <c r="V24" s="667"/>
      <c r="W24" s="668"/>
      <c r="X24" s="1265"/>
      <c r="Y24" s="339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3"/>
      <c r="Q25" s="1263" t="str">
        <f t="shared" ref="Q25:Q46" si="11">B25</f>
        <v>临街状况</v>
      </c>
      <c r="R25" s="667" t="s">
        <v>14</v>
      </c>
      <c r="S25" s="668">
        <f>F25</f>
        <v>100</v>
      </c>
      <c r="T25" s="667" t="s">
        <v>14</v>
      </c>
      <c r="U25" s="668">
        <f>H25</f>
        <v>100</v>
      </c>
      <c r="V25" s="667" t="s">
        <v>14</v>
      </c>
      <c r="W25" s="668">
        <f>J25</f>
        <v>100</v>
      </c>
      <c r="X25" s="1265"/>
      <c r="Y25" s="339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3"/>
      <c r="Q26" s="1263" t="str">
        <f t="shared" si="11"/>
        <v>平面位置/可视性</v>
      </c>
      <c r="R26" s="667" t="s">
        <v>14</v>
      </c>
      <c r="S26" s="668">
        <f>F26</f>
        <v>100</v>
      </c>
      <c r="T26" s="667" t="s">
        <v>14</v>
      </c>
      <c r="U26" s="668">
        <f>H26</f>
        <v>100</v>
      </c>
      <c r="V26" s="667" t="s">
        <v>14</v>
      </c>
      <c r="W26" s="668">
        <f>J26</f>
        <v>100</v>
      </c>
      <c r="X26" s="1265"/>
      <c r="Y26" s="3396"/>
      <c r="Z26" s="1264" t="str">
        <f>Q26</f>
        <v>平面位置/可视性</v>
      </c>
      <c r="AA26" s="1264">
        <f t="shared" si="3"/>
        <v>1</v>
      </c>
      <c r="AB26" s="1264">
        <f t="shared" si="4"/>
        <v>1</v>
      </c>
      <c r="AC26" s="1264">
        <f t="shared" si="5"/>
        <v>1</v>
      </c>
    </row>
    <row r="27" spans="1:29" s="102" customFormat="1" ht="15">
      <c r="A27" s="370"/>
      <c r="B27" s="390" t="s">
        <v>1782</v>
      </c>
      <c r="C27" s="1807" t="s">
        <v>3515</v>
      </c>
      <c r="D27" s="401">
        <v>100</v>
      </c>
      <c r="E27" s="1807" t="s">
        <v>3515</v>
      </c>
      <c r="F27" s="395">
        <f>SUMIF(90:90,E27,91:91)-SUMIF(90:90,C27,91:91)+100</f>
        <v>100</v>
      </c>
      <c r="G27" s="1807" t="s">
        <v>3515</v>
      </c>
      <c r="H27" s="401">
        <f>SUMIF(90:90,G27,91:91)-SUMIF(90:90,C27,91:91)+100</f>
        <v>100</v>
      </c>
      <c r="I27" s="1807" t="s">
        <v>3517</v>
      </c>
      <c r="J27" s="401">
        <f>SUMIF(90:90,I27,91:91)-SUMIF(90:90,C27,91:91)+100</f>
        <v>105</v>
      </c>
      <c r="K27" s="538">
        <v>5</v>
      </c>
      <c r="L27" s="2489"/>
      <c r="M27" s="2440"/>
      <c r="N27" s="2440"/>
      <c r="O27" s="2440"/>
      <c r="P27" s="3403"/>
      <c r="Q27" s="530" t="str">
        <f t="shared" si="11"/>
        <v>人流量</v>
      </c>
      <c r="R27" s="664" t="s">
        <v>14</v>
      </c>
      <c r="S27" s="665">
        <f>F27</f>
        <v>100</v>
      </c>
      <c r="T27" s="664" t="s">
        <v>14</v>
      </c>
      <c r="U27" s="665">
        <f>H27</f>
        <v>100</v>
      </c>
      <c r="V27" s="664" t="s">
        <v>14</v>
      </c>
      <c r="W27" s="665">
        <f>J27</f>
        <v>105</v>
      </c>
      <c r="X27" s="666"/>
      <c r="Y27" s="3396"/>
      <c r="Z27" s="50" t="str">
        <f>Q27</f>
        <v>人流量</v>
      </c>
      <c r="AA27" s="1264">
        <f>D27/F27</f>
        <v>1</v>
      </c>
      <c r="AB27" s="1264">
        <f>D27/H27</f>
        <v>1</v>
      </c>
      <c r="AC27" s="1264">
        <f>D27/J27</f>
        <v>0.95238095238095233</v>
      </c>
    </row>
    <row r="28" spans="1:29" ht="15">
      <c r="A28" s="367"/>
      <c r="B28" s="364" t="s">
        <v>1783</v>
      </c>
      <c r="C28" s="542" t="s">
        <v>3500</v>
      </c>
      <c r="D28" s="374">
        <v>100</v>
      </c>
      <c r="E28" s="542" t="s">
        <v>3500</v>
      </c>
      <c r="F28" s="400">
        <f>SUMIF(92:92,E28,93:93)-SUMIF(92:92,C28,93:93)+100</f>
        <v>100</v>
      </c>
      <c r="G28" s="542" t="s">
        <v>3500</v>
      </c>
      <c r="H28" s="374">
        <f>SUMIF(92:92,G28,93:93)-SUMIF(92:92,C28,93:93)+100</f>
        <v>100</v>
      </c>
      <c r="I28" s="542" t="s">
        <v>3500</v>
      </c>
      <c r="J28" s="374">
        <f>SUMIF(92:92,I28,93:93)-SUMIF(92:92,C28,93:93)+100</f>
        <v>100</v>
      </c>
      <c r="K28" s="539"/>
      <c r="L28" s="2493"/>
      <c r="M28" s="2488"/>
      <c r="N28" s="2488"/>
      <c r="O28" s="2488"/>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3"/>
      <c r="Q29" s="1263">
        <f t="shared" si="11"/>
        <v>111</v>
      </c>
      <c r="R29" s="667" t="s">
        <v>14</v>
      </c>
      <c r="S29" s="668">
        <f t="shared" si="12"/>
        <v>100</v>
      </c>
      <c r="T29" s="667" t="s">
        <v>14</v>
      </c>
      <c r="U29" s="668">
        <f t="shared" si="13"/>
        <v>100</v>
      </c>
      <c r="V29" s="667" t="s">
        <v>14</v>
      </c>
      <c r="W29" s="668">
        <f t="shared" si="14"/>
        <v>100</v>
      </c>
      <c r="X29" s="1265"/>
      <c r="Y29" s="339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264">
        <f t="shared" si="5"/>
        <v>1</v>
      </c>
    </row>
    <row r="32" spans="1:29" ht="15">
      <c r="A32" s="379" t="s">
        <v>1694</v>
      </c>
      <c r="B32" s="60" t="s">
        <v>1784</v>
      </c>
      <c r="C32" s="1764" t="s">
        <v>3513</v>
      </c>
      <c r="D32" s="405">
        <v>100</v>
      </c>
      <c r="E32" s="1764" t="s">
        <v>3513</v>
      </c>
      <c r="F32" s="400">
        <f>SUMIF(100:100,E32,101:101)-SUMIF(100:100,C32,101:101)+100</f>
        <v>100</v>
      </c>
      <c r="G32" s="1764" t="s">
        <v>3513</v>
      </c>
      <c r="H32" s="374">
        <f>SUMIF(100:100,G32,101:101)-SUMIF(100:100,C32,101:101)+100</f>
        <v>100</v>
      </c>
      <c r="I32" s="1764" t="s">
        <v>3513</v>
      </c>
      <c r="J32" s="405">
        <f>SUMIF(100:100,I32,101:101)-SUMIF(100:100,C32,101:101)+100</f>
        <v>100</v>
      </c>
      <c r="K32" s="538"/>
      <c r="L32" s="2493"/>
      <c r="M32" s="2488"/>
      <c r="N32" s="2488"/>
      <c r="O32" s="2488"/>
      <c r="P32" s="3397" t="s">
        <v>1696</v>
      </c>
      <c r="Q32" s="1263" t="str">
        <f t="shared" si="11"/>
        <v>商业类型</v>
      </c>
      <c r="R32" s="667" t="s">
        <v>14</v>
      </c>
      <c r="S32" s="668">
        <f t="shared" si="12"/>
        <v>100</v>
      </c>
      <c r="T32" s="667" t="s">
        <v>14</v>
      </c>
      <c r="U32" s="668">
        <f t="shared" si="13"/>
        <v>100</v>
      </c>
      <c r="V32" s="667" t="s">
        <v>14</v>
      </c>
      <c r="W32" s="668">
        <f t="shared" si="14"/>
        <v>100</v>
      </c>
      <c r="X32" s="1265"/>
      <c r="Y32" s="3400" t="s">
        <v>1696</v>
      </c>
      <c r="Z32" s="1264" t="str">
        <f t="shared" si="15"/>
        <v>商业类型</v>
      </c>
      <c r="AA32" s="1264">
        <f t="shared" si="3"/>
        <v>1</v>
      </c>
      <c r="AB32" s="1264">
        <f t="shared" si="4"/>
        <v>1</v>
      </c>
      <c r="AC32" s="1264">
        <f t="shared" si="5"/>
        <v>1</v>
      </c>
    </row>
    <row r="33" spans="1:29" s="408" customFormat="1" ht="15">
      <c r="A33" s="406"/>
      <c r="B33" s="364" t="s">
        <v>1697</v>
      </c>
      <c r="C33" s="407">
        <v>376.75</v>
      </c>
      <c r="D33" s="119">
        <v>100</v>
      </c>
      <c r="E33" s="369">
        <f>案例!$N$10</f>
        <v>100</v>
      </c>
      <c r="F33" s="364">
        <f>LOOKUP(E33,103:103,104:104)-LOOKUP(C33,103:103,104:104)+100</f>
        <v>102</v>
      </c>
      <c r="G33" s="368">
        <f>案例!$N$11</f>
        <v>50</v>
      </c>
      <c r="H33" s="119">
        <f>LOOKUP(G33,103:103,104:104)-LOOKUP(C33,103:103,104:104)+100</f>
        <v>104</v>
      </c>
      <c r="I33" s="368">
        <f>案例!$N$12</f>
        <v>150</v>
      </c>
      <c r="J33" s="119">
        <f>LOOKUP(I33,103:103,104:104)-LOOKUP(C33,103:103,104:104)+100</f>
        <v>102</v>
      </c>
      <c r="K33" s="539"/>
      <c r="L33" s="2492"/>
      <c r="M33" s="2494"/>
      <c r="N33" s="2494"/>
      <c r="O33" s="2494"/>
      <c r="P33" s="3398"/>
      <c r="Q33" s="531" t="str">
        <f t="shared" si="11"/>
        <v>项目建筑规模</v>
      </c>
      <c r="R33" s="669" t="s">
        <v>14</v>
      </c>
      <c r="S33" s="670">
        <f t="shared" si="12"/>
        <v>102</v>
      </c>
      <c r="T33" s="669" t="s">
        <v>14</v>
      </c>
      <c r="U33" s="670">
        <f t="shared" si="13"/>
        <v>104</v>
      </c>
      <c r="V33" s="669" t="s">
        <v>14</v>
      </c>
      <c r="W33" s="670">
        <f t="shared" si="14"/>
        <v>102</v>
      </c>
      <c r="X33" s="671"/>
      <c r="Y33" s="3400"/>
      <c r="Z33" s="672" t="str">
        <f t="shared" si="15"/>
        <v>项目建筑规模</v>
      </c>
      <c r="AA33" s="1264">
        <f t="shared" si="3"/>
        <v>0.98039215686274506</v>
      </c>
      <c r="AB33" s="1264">
        <f t="shared" si="4"/>
        <v>0.96153846153846156</v>
      </c>
      <c r="AC33" s="1264">
        <f t="shared" si="5"/>
        <v>0.98039215686274506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8"/>
      <c r="Q34" s="1263" t="str">
        <f t="shared" si="11"/>
        <v>建筑结构</v>
      </c>
      <c r="R34" s="667" t="s">
        <v>14</v>
      </c>
      <c r="S34" s="668">
        <f t="shared" si="12"/>
        <v>100</v>
      </c>
      <c r="T34" s="667" t="s">
        <v>14</v>
      </c>
      <c r="U34" s="668">
        <f t="shared" si="13"/>
        <v>100</v>
      </c>
      <c r="V34" s="667" t="s">
        <v>14</v>
      </c>
      <c r="W34" s="668">
        <f t="shared" si="14"/>
        <v>100</v>
      </c>
      <c r="X34" s="1265"/>
      <c r="Y34" s="340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8"/>
      <c r="Q35" s="1263" t="str">
        <f t="shared" si="11"/>
        <v>公共部分装修</v>
      </c>
      <c r="R35" s="667" t="s">
        <v>14</v>
      </c>
      <c r="S35" s="668">
        <f t="shared" si="12"/>
        <v>100</v>
      </c>
      <c r="T35" s="667" t="s">
        <v>14</v>
      </c>
      <c r="U35" s="668">
        <f t="shared" si="13"/>
        <v>100</v>
      </c>
      <c r="V35" s="667" t="s">
        <v>14</v>
      </c>
      <c r="W35" s="668">
        <f t="shared" si="14"/>
        <v>100</v>
      </c>
      <c r="X35" s="1265"/>
      <c r="Y35" s="3400"/>
      <c r="Z35" s="1264" t="str">
        <f t="shared" si="15"/>
        <v>公共部分装修</v>
      </c>
      <c r="AA35" s="1264">
        <f t="shared" si="3"/>
        <v>1</v>
      </c>
      <c r="AB35" s="1264">
        <f t="shared" si="4"/>
        <v>1</v>
      </c>
      <c r="AC35" s="1264">
        <f t="shared" si="5"/>
        <v>1</v>
      </c>
    </row>
    <row r="36" spans="1:29" ht="15">
      <c r="A36" s="409"/>
      <c r="B36" s="364" t="s">
        <v>1786</v>
      </c>
      <c r="C36" s="411">
        <v>1</v>
      </c>
      <c r="D36" s="374">
        <v>100</v>
      </c>
      <c r="E36" s="411">
        <v>0.8</v>
      </c>
      <c r="F36" s="400">
        <f>LOOKUP(E36,110:110,111:111)-LOOKUP(C36,110:110,111:111)+100</f>
        <v>99</v>
      </c>
      <c r="G36" s="411">
        <v>0.8</v>
      </c>
      <c r="H36" s="400">
        <f>LOOKUP(G36,110:110,111:111)-LOOKUP(C36,110:110,111:111)+100</f>
        <v>99</v>
      </c>
      <c r="I36" s="411">
        <v>0.9</v>
      </c>
      <c r="J36" s="374">
        <f>LOOKUP(I36,110:110,111:111)-LOOKUP(C36,110:110,111:111)+100</f>
        <v>100</v>
      </c>
      <c r="K36" s="538">
        <v>1</v>
      </c>
      <c r="L36" s="2493"/>
      <c r="M36" s="2488"/>
      <c r="N36" s="2488"/>
      <c r="O36" s="2488"/>
      <c r="P36" s="3398"/>
      <c r="Q36" s="1263" t="str">
        <f t="shared" si="11"/>
        <v>成新度</v>
      </c>
      <c r="R36" s="667" t="s">
        <v>14</v>
      </c>
      <c r="S36" s="668">
        <f t="shared" si="12"/>
        <v>99</v>
      </c>
      <c r="T36" s="667" t="s">
        <v>14</v>
      </c>
      <c r="U36" s="668">
        <f t="shared" si="13"/>
        <v>99</v>
      </c>
      <c r="V36" s="667" t="s">
        <v>14</v>
      </c>
      <c r="W36" s="668">
        <f t="shared" si="14"/>
        <v>100</v>
      </c>
      <c r="X36" s="1265"/>
      <c r="Y36" s="3400"/>
      <c r="Z36" s="1264" t="str">
        <f t="shared" si="15"/>
        <v>成新度</v>
      </c>
      <c r="AA36" s="1264">
        <f t="shared" si="3"/>
        <v>1.0101010101010102</v>
      </c>
      <c r="AB36" s="1264">
        <f t="shared" si="4"/>
        <v>1.0101010101010102</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8" t="s">
        <v>1696</v>
      </c>
      <c r="Q38" s="1263" t="str">
        <f t="shared" si="11"/>
        <v>业态</v>
      </c>
      <c r="R38" s="667" t="s">
        <v>14</v>
      </c>
      <c r="S38" s="668">
        <f t="shared" si="12"/>
        <v>100</v>
      </c>
      <c r="T38" s="667" t="s">
        <v>14</v>
      </c>
      <c r="U38" s="668">
        <f t="shared" si="13"/>
        <v>100</v>
      </c>
      <c r="V38" s="667" t="s">
        <v>14</v>
      </c>
      <c r="W38" s="668">
        <f t="shared" si="14"/>
        <v>100</v>
      </c>
      <c r="X38" s="1265"/>
      <c r="Y38" s="340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8"/>
      <c r="Q39" s="1263" t="str">
        <f t="shared" si="11"/>
        <v>层高</v>
      </c>
      <c r="R39" s="667" t="s">
        <v>14</v>
      </c>
      <c r="S39" s="668">
        <f t="shared" si="12"/>
        <v>100</v>
      </c>
      <c r="T39" s="667" t="s">
        <v>14</v>
      </c>
      <c r="U39" s="668">
        <f t="shared" si="13"/>
        <v>100</v>
      </c>
      <c r="V39" s="667" t="s">
        <v>14</v>
      </c>
      <c r="W39" s="668">
        <f t="shared" si="14"/>
        <v>100</v>
      </c>
      <c r="X39" s="1265"/>
      <c r="Y39" s="340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8"/>
      <c r="Q40" s="1263" t="str">
        <f t="shared" si="11"/>
        <v>单套建筑面积</v>
      </c>
      <c r="R40" s="667" t="s">
        <v>14</v>
      </c>
      <c r="S40" s="668">
        <f t="shared" si="12"/>
        <v>100</v>
      </c>
      <c r="T40" s="667" t="s">
        <v>14</v>
      </c>
      <c r="U40" s="668">
        <f t="shared" si="13"/>
        <v>100</v>
      </c>
      <c r="V40" s="667" t="s">
        <v>14</v>
      </c>
      <c r="W40" s="668">
        <f t="shared" si="14"/>
        <v>100</v>
      </c>
      <c r="X40" s="1265"/>
      <c r="Y40" s="340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4">
        <f t="shared" si="3"/>
        <v>1</v>
      </c>
      <c r="AB41" s="1264">
        <f t="shared" si="4"/>
        <v>1</v>
      </c>
      <c r="AC41" s="1264">
        <f t="shared" si="5"/>
        <v>1</v>
      </c>
    </row>
    <row r="42" spans="1:29" ht="15">
      <c r="A42" s="409"/>
      <c r="B42" s="364" t="s">
        <v>1792</v>
      </c>
      <c r="C42" s="1760" t="s">
        <v>3524</v>
      </c>
      <c r="D42" s="374">
        <v>100</v>
      </c>
      <c r="E42" s="1760" t="s">
        <v>3520</v>
      </c>
      <c r="F42" s="400">
        <f>SUMIF(122:122,E42,123:123)-SUMIF(122:122,C42,123:123)+100</f>
        <v>104</v>
      </c>
      <c r="G42" s="1760" t="s">
        <v>3522</v>
      </c>
      <c r="H42" s="374">
        <f>SUMIF(122:122,G42,123:123)-SUMIF(122:122,C42,123:123)+100</f>
        <v>102</v>
      </c>
      <c r="I42" s="1760" t="s">
        <v>3522</v>
      </c>
      <c r="J42" s="374">
        <f>SUMIF(122:122,I42,123:123)-SUMIF(122:122,C42,123:123)+100</f>
        <v>102</v>
      </c>
      <c r="K42" s="538">
        <v>2</v>
      </c>
      <c r="L42" s="2493"/>
      <c r="M42" s="2488"/>
      <c r="N42" s="2488"/>
      <c r="O42" s="2488"/>
      <c r="P42" s="3398"/>
      <c r="Q42" s="1263" t="str">
        <f t="shared" si="11"/>
        <v>内部装修</v>
      </c>
      <c r="R42" s="667" t="s">
        <v>14</v>
      </c>
      <c r="S42" s="668">
        <f t="shared" si="12"/>
        <v>104</v>
      </c>
      <c r="T42" s="667" t="s">
        <v>14</v>
      </c>
      <c r="U42" s="668">
        <f t="shared" si="13"/>
        <v>102</v>
      </c>
      <c r="V42" s="667" t="s">
        <v>14</v>
      </c>
      <c r="W42" s="668">
        <f t="shared" si="14"/>
        <v>102</v>
      </c>
      <c r="X42" s="1265"/>
      <c r="Y42" s="3400"/>
      <c r="Z42" s="1264" t="str">
        <f t="shared" si="15"/>
        <v>内部装修</v>
      </c>
      <c r="AA42" s="1264">
        <f t="shared" si="3"/>
        <v>0.96153846153846156</v>
      </c>
      <c r="AB42" s="1264">
        <f t="shared" si="4"/>
        <v>0.98039215686274506</v>
      </c>
      <c r="AC42" s="1264">
        <f t="shared" si="5"/>
        <v>0.98039215686274506</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8"/>
      <c r="Q43" s="1263" t="str">
        <f t="shared" si="11"/>
        <v>内部装修维护情况</v>
      </c>
      <c r="R43" s="667" t="s">
        <v>14</v>
      </c>
      <c r="S43" s="668">
        <f t="shared" si="12"/>
        <v>100</v>
      </c>
      <c r="T43" s="667" t="s">
        <v>14</v>
      </c>
      <c r="U43" s="668">
        <f t="shared" si="13"/>
        <v>100</v>
      </c>
      <c r="V43" s="667" t="s">
        <v>14</v>
      </c>
      <c r="W43" s="668">
        <f t="shared" si="14"/>
        <v>100</v>
      </c>
      <c r="X43" s="1265"/>
      <c r="Y43" s="340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8"/>
      <c r="Q45" s="1263">
        <f t="shared" si="11"/>
        <v>111</v>
      </c>
      <c r="R45" s="667" t="s">
        <v>14</v>
      </c>
      <c r="S45" s="668">
        <f t="shared" si="12"/>
        <v>100</v>
      </c>
      <c r="T45" s="667" t="s">
        <v>14</v>
      </c>
      <c r="U45" s="668">
        <f t="shared" si="13"/>
        <v>100</v>
      </c>
      <c r="V45" s="667" t="s">
        <v>14</v>
      </c>
      <c r="W45" s="668">
        <f t="shared" si="14"/>
        <v>100</v>
      </c>
      <c r="X45" s="1265"/>
      <c r="Y45" s="340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264">
        <f t="shared" si="5"/>
        <v>1</v>
      </c>
    </row>
    <row r="47" spans="1:29" ht="15">
      <c r="A47" s="416" t="s">
        <v>1708</v>
      </c>
      <c r="B47" s="417"/>
      <c r="C47" s="1081" t="s">
        <v>0</v>
      </c>
      <c r="D47" s="418"/>
      <c r="E47" s="419">
        <f>案例!$O$10</f>
        <v>2.2000000000000002</v>
      </c>
      <c r="F47" s="420"/>
      <c r="G47" s="421">
        <f>案例!$O$11</f>
        <v>2.5</v>
      </c>
      <c r="H47" s="422"/>
      <c r="I47" s="419">
        <f>案例!$O$12</f>
        <v>2.5</v>
      </c>
      <c r="J47" s="422"/>
      <c r="K47" s="674"/>
      <c r="L47" s="2495"/>
      <c r="M47" s="2488"/>
      <c r="N47" s="2488"/>
      <c r="O47" s="2488"/>
      <c r="P47" s="3393" t="str">
        <f>A47</f>
        <v>成交单价（元/平方米）</v>
      </c>
      <c r="Q47" s="3393"/>
      <c r="R47" s="3394">
        <f>E47</f>
        <v>2.2000000000000002</v>
      </c>
      <c r="S47" s="3394"/>
      <c r="T47" s="3394">
        <f>G47</f>
        <v>2.5</v>
      </c>
      <c r="U47" s="3394"/>
      <c r="V47" s="3394">
        <f>I47</f>
        <v>2.5</v>
      </c>
      <c r="W47" s="3394"/>
      <c r="X47" s="385"/>
      <c r="Y47" s="673"/>
      <c r="Z47" s="385"/>
      <c r="AA47" s="385"/>
      <c r="AB47" s="385"/>
      <c r="AC47" s="385"/>
    </row>
    <row r="48" spans="1:29" ht="15.75" thickBot="1">
      <c r="A48" s="423" t="s">
        <v>1793</v>
      </c>
      <c r="B48" s="424"/>
      <c r="C48" s="1082">
        <f>R49</f>
        <v>2.1</v>
      </c>
      <c r="D48" s="2141" t="s">
        <v>2138</v>
      </c>
      <c r="E48" s="1083">
        <f>R48</f>
        <v>2</v>
      </c>
      <c r="F48" s="2142"/>
      <c r="G48" s="1082">
        <f>T48</f>
        <v>2.2999999999999998</v>
      </c>
      <c r="H48" s="2142"/>
      <c r="I48" s="1083">
        <f>V48</f>
        <v>2</v>
      </c>
      <c r="J48" s="2142"/>
      <c r="K48" s="2144">
        <f>F48+H48+J48</f>
        <v>0</v>
      </c>
      <c r="L48" s="2495"/>
      <c r="M48" s="2488"/>
      <c r="N48" s="2488"/>
      <c r="O48" s="2488"/>
      <c r="P48" s="3393" t="str">
        <f>A48</f>
        <v>比较价值（元/平方米）</v>
      </c>
      <c r="Q48" s="3393"/>
      <c r="R48" s="3394">
        <f>IF(F1="售价",ROUND(PRODUCT(R47,AA7:AA46),0),ROUND(PRODUCT(R47,AA7:AA46),1))</f>
        <v>2</v>
      </c>
      <c r="S48" s="3394"/>
      <c r="T48" s="3394">
        <f>IF(F1="售价",ROUND(PRODUCT(T47,AB7:AB46),0),ROUND(PRODUCT(T47,AB7:AB46),1))</f>
        <v>2.2999999999999998</v>
      </c>
      <c r="U48" s="3394"/>
      <c r="V48" s="3394">
        <f>IF(F1="售价",ROUND(PRODUCT(V47,AC7:AC46),0),ROUND(PRODUCT(V47,AC7:AC46),1))</f>
        <v>2</v>
      </c>
      <c r="W48" s="3394"/>
      <c r="X48" s="385"/>
      <c r="Y48" s="385"/>
      <c r="Z48" s="385"/>
      <c r="AA48" s="385"/>
      <c r="AB48" s="385"/>
      <c r="AC48" s="385"/>
    </row>
    <row r="49" spans="1:29" ht="15.75" thickBot="1">
      <c r="A49" s="427" t="s">
        <v>1794</v>
      </c>
      <c r="B49" s="428"/>
      <c r="C49" s="351">
        <f>R49</f>
        <v>2.1</v>
      </c>
      <c r="D49" s="351"/>
      <c r="E49" s="351"/>
      <c r="F49" s="351"/>
      <c r="G49" s="351"/>
      <c r="H49" s="351"/>
      <c r="I49" s="351"/>
      <c r="J49" s="351"/>
      <c r="K49" s="675"/>
      <c r="L49" s="2495"/>
      <c r="M49" s="2488"/>
      <c r="N49" s="2488"/>
      <c r="O49" s="2488"/>
      <c r="P49" s="3390" t="str">
        <f>A49</f>
        <v>估价对象XX用房的比较价值（楼面单价，元/平方米）</v>
      </c>
      <c r="Q49" s="3391"/>
      <c r="R49" s="3392">
        <f>IF(F1="售价",ROUND(IF(D48="简单平均",AVERAGE(R48:V48),R48*F48+T48*H48+V48*J48),0),ROUND(IF(D48="简单平均",AVERAGE(R48:V48),R48*F48+T48*H48+V48*J48),1))</f>
        <v>2.1</v>
      </c>
      <c r="S49" s="3392"/>
      <c r="T49" s="3392"/>
      <c r="U49" s="3392"/>
      <c r="V49" s="3392"/>
      <c r="W49" s="33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0.10000000000000009</v>
      </c>
      <c r="F52" s="435" t="str">
        <f>IF(OR(E52&gt;=0.3,E52&lt;=-0.3),"超过30%","")</f>
        <v/>
      </c>
      <c r="G52" s="434">
        <f>IF(G47&lt;G48,G48/G47-1,G47/G48-1)</f>
        <v>8.6956521739130599E-2</v>
      </c>
      <c r="H52" s="435" t="str">
        <f>IF(OR(G52&gt;=0.3,G52&lt;=-0.3),"超过30%","")</f>
        <v/>
      </c>
      <c r="I52" s="434">
        <f>IF(I47&lt;I48,I48/I47-1,I47/I48-1)</f>
        <v>0.25</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0.14999999999999991</v>
      </c>
      <c r="F53" s="435" t="str">
        <f>IF(OR(E53&gt;=0.2,E53&lt;=-0.2),"超过20%","")</f>
        <v/>
      </c>
      <c r="G53" s="434">
        <f>IF(G48&lt;I48,I48/G48-1,G48/I48-1)</f>
        <v>0.14999999999999991</v>
      </c>
      <c r="H53" s="435" t="str">
        <f>IF(OR(G53&gt;=0.2,G53&lt;=-0.2),"超过20%","")</f>
        <v/>
      </c>
      <c r="I53" s="434">
        <f>IF(I48&lt;E48,E48/I48-1,I48/E48-1)</f>
        <v>0</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0.13636363636363624</v>
      </c>
      <c r="F54" s="435" t="str">
        <f>IF(OR(E54&gt;=0.3,E54&lt;=-0.3),"超过30%","")</f>
        <v/>
      </c>
      <c r="G54" s="434">
        <f>IF(G47&lt;I47,I47/G47-1,G47/I47-1)</f>
        <v>0</v>
      </c>
      <c r="H54" s="435" t="str">
        <f>IF(OR(G54&gt;=0.3,G54&lt;=-0.3),"超过30%","")</f>
        <v/>
      </c>
      <c r="I54" s="434">
        <f>IF(I47&lt;E47,E47/I47-1,I47/E47-1)</f>
        <v>0.13636363636363624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77" t="s">
        <v>3528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v>
      </c>
      <c r="E67" s="478" t="str">
        <f t="shared" si="17"/>
        <v>（含）-2</v>
      </c>
      <c r="F67" s="478" t="str">
        <f t="shared" si="17"/>
        <v>2（含）-3</v>
      </c>
      <c r="G67" s="478" t="str">
        <f t="shared" si="17"/>
        <v>3（含）-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c r="F68" s="480">
        <v>2</v>
      </c>
      <c r="G68" s="480">
        <v>3</v>
      </c>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76" t="s">
        <v>3518</v>
      </c>
      <c r="D90" s="3176" t="s">
        <v>3519</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3512</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75" t="s">
        <v>3514</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200(含)-400</v>
      </c>
      <c r="F102" s="509" t="str">
        <f t="shared" si="23"/>
        <v>400(含)-600</v>
      </c>
      <c r="G102" s="509" t="str">
        <f t="shared" si="23"/>
        <v>600(含)-1000</v>
      </c>
      <c r="H102" s="509" t="str">
        <f t="shared" si="23"/>
        <v>1000(含)-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400</v>
      </c>
      <c r="G103" s="6">
        <v>600</v>
      </c>
      <c r="H103" s="6">
        <v>1000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C104-2</f>
        <v>98</v>
      </c>
      <c r="E104" s="467">
        <f t="shared" ref="E104:H104" si="24">D104-2</f>
        <v>96</v>
      </c>
      <c r="F104" s="467">
        <f t="shared" si="24"/>
        <v>94</v>
      </c>
      <c r="G104" s="467">
        <f t="shared" si="24"/>
        <v>92</v>
      </c>
      <c r="H104" s="467">
        <f t="shared" si="24"/>
        <v>90</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76" t="s">
        <v>3521</v>
      </c>
      <c r="D122" s="3176" t="s">
        <v>3523</v>
      </c>
      <c r="E122" s="3176" t="s">
        <v>3525</v>
      </c>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596A4-A2B3-4631-BF08-51A6D7995E22}">
  <sheetPr>
    <tabColor rgb="FFFFC000"/>
  </sheetPr>
  <dimension ref="G1:Y54"/>
  <sheetViews>
    <sheetView tabSelected="1" workbookViewId="0">
      <pane ySplit="4" topLeftCell="A5" activePane="bottomLeft" state="frozen"/>
      <selection activeCell="A4" sqref="A4"/>
      <selection pane="bottomLeft" activeCell="L60" sqref="L60"/>
    </sheetView>
  </sheetViews>
  <sheetFormatPr defaultRowHeight="13.5"/>
  <cols>
    <col min="7" max="7" width="25.375" customWidth="1"/>
    <col min="8" max="11" width="14.625" customWidth="1"/>
    <col min="12" max="12" width="52.25" customWidth="1"/>
    <col min="16" max="16" width="15.125" bestFit="1" customWidth="1"/>
  </cols>
  <sheetData>
    <row r="1" spans="7:17" hidden="1"/>
    <row r="2" spans="7:17" ht="14.25" hidden="1" thickBot="1"/>
    <row r="3" spans="7:17" ht="20.25" hidden="1">
      <c r="G3" s="3145" t="s">
        <v>3390</v>
      </c>
      <c r="H3" s="3435" t="s">
        <v>3392</v>
      </c>
      <c r="I3" s="3435" t="s">
        <v>3393</v>
      </c>
      <c r="J3" s="3435" t="s">
        <v>3394</v>
      </c>
      <c r="K3" s="3145" t="s">
        <v>3395</v>
      </c>
      <c r="L3" s="3435" t="s">
        <v>3397</v>
      </c>
    </row>
    <row r="4" spans="7:17" ht="21" thickBot="1">
      <c r="G4" s="3146" t="s">
        <v>3391</v>
      </c>
      <c r="H4" s="3436"/>
      <c r="I4" s="3436"/>
      <c r="J4" s="3436"/>
      <c r="K4" s="3146" t="s">
        <v>3396</v>
      </c>
      <c r="L4" s="3436"/>
      <c r="M4" s="1448" t="s">
        <v>654</v>
      </c>
      <c r="N4" s="1448" t="s">
        <v>3529</v>
      </c>
      <c r="O4" s="1448" t="s">
        <v>3530</v>
      </c>
      <c r="P4" s="1448" t="s">
        <v>3531</v>
      </c>
      <c r="Q4" s="3178"/>
    </row>
    <row r="5" spans="7:17" ht="21.75" hidden="1" thickTop="1" thickBot="1">
      <c r="G5" s="3147" t="s">
        <v>3398</v>
      </c>
      <c r="H5" s="3147" t="s">
        <v>3399</v>
      </c>
      <c r="I5" s="3147" t="s">
        <v>3400</v>
      </c>
      <c r="J5" s="3147" t="s">
        <v>3401</v>
      </c>
      <c r="K5" s="3147">
        <v>24.48</v>
      </c>
      <c r="L5" s="3147" t="s">
        <v>3402</v>
      </c>
      <c r="M5" s="3178"/>
      <c r="N5" s="3178"/>
      <c r="O5" s="3178"/>
      <c r="P5" s="3178"/>
      <c r="Q5" s="3178"/>
    </row>
    <row r="6" spans="7:17" ht="21.75" hidden="1" thickTop="1" thickBot="1">
      <c r="G6" s="3148" t="s">
        <v>3403</v>
      </c>
      <c r="H6" s="3148" t="s">
        <v>3404</v>
      </c>
      <c r="I6" s="3440" t="s">
        <v>3405</v>
      </c>
      <c r="J6" s="3148" t="s">
        <v>3406</v>
      </c>
      <c r="K6" s="3148">
        <v>34.270000000000003</v>
      </c>
      <c r="L6" s="3148" t="s">
        <v>3407</v>
      </c>
      <c r="M6" s="3178"/>
      <c r="N6" s="3178"/>
      <c r="O6" s="3178"/>
      <c r="P6" s="3178"/>
      <c r="Q6" s="3178"/>
    </row>
    <row r="7" spans="7:17" ht="21.75" hidden="1" thickTop="1" thickBot="1">
      <c r="G7" s="3149" t="s">
        <v>3403</v>
      </c>
      <c r="H7" s="3149" t="s">
        <v>3408</v>
      </c>
      <c r="I7" s="3441"/>
      <c r="J7" s="3149" t="s">
        <v>3406</v>
      </c>
      <c r="K7" s="3149">
        <v>38.130000000000003</v>
      </c>
      <c r="L7" s="3149" t="s">
        <v>3407</v>
      </c>
      <c r="M7" s="3178"/>
      <c r="N7" s="3178"/>
      <c r="O7" s="3178"/>
      <c r="P7" s="3178"/>
      <c r="Q7" s="3178"/>
    </row>
    <row r="8" spans="7:17" ht="21.75" hidden="1" thickTop="1" thickBot="1">
      <c r="G8" s="3148" t="s">
        <v>3403</v>
      </c>
      <c r="H8" s="3148" t="s">
        <v>3409</v>
      </c>
      <c r="I8" s="3441"/>
      <c r="J8" s="3148" t="s">
        <v>3406</v>
      </c>
      <c r="K8" s="3148">
        <v>32.03</v>
      </c>
      <c r="L8" s="3148" t="s">
        <v>3407</v>
      </c>
      <c r="M8" s="3178"/>
      <c r="N8" s="3178"/>
      <c r="O8" s="3178"/>
      <c r="P8" s="3178"/>
      <c r="Q8" s="3178"/>
    </row>
    <row r="9" spans="7:17" ht="21.75" hidden="1" thickTop="1" thickBot="1">
      <c r="G9" s="3149" t="s">
        <v>3403</v>
      </c>
      <c r="H9" s="3149" t="s">
        <v>3410</v>
      </c>
      <c r="I9" s="3441"/>
      <c r="J9" s="3149" t="s">
        <v>3406</v>
      </c>
      <c r="K9" s="3149">
        <v>45.39</v>
      </c>
      <c r="L9" s="3149" t="s">
        <v>3407</v>
      </c>
      <c r="M9" s="3178"/>
      <c r="N9" s="3178"/>
      <c r="O9" s="3178"/>
      <c r="P9" s="3178"/>
      <c r="Q9" s="3178"/>
    </row>
    <row r="10" spans="7:17" ht="21.75" hidden="1" thickTop="1" thickBot="1">
      <c r="G10" s="3148" t="s">
        <v>3403</v>
      </c>
      <c r="H10" s="3148" t="s">
        <v>3411</v>
      </c>
      <c r="I10" s="3441"/>
      <c r="J10" s="3148" t="s">
        <v>3406</v>
      </c>
      <c r="K10" s="3148">
        <v>45.39</v>
      </c>
      <c r="L10" s="3148" t="s">
        <v>3407</v>
      </c>
      <c r="M10" s="3178"/>
      <c r="N10" s="3178"/>
      <c r="O10" s="3178"/>
      <c r="P10" s="3178"/>
      <c r="Q10" s="3178"/>
    </row>
    <row r="11" spans="7:17" ht="21.75" hidden="1" thickTop="1" thickBot="1">
      <c r="G11" s="3149" t="s">
        <v>3403</v>
      </c>
      <c r="H11" s="3149" t="s">
        <v>3412</v>
      </c>
      <c r="I11" s="3441"/>
      <c r="J11" s="3149" t="s">
        <v>3406</v>
      </c>
      <c r="K11" s="3149">
        <v>32.04</v>
      </c>
      <c r="L11" s="3149" t="s">
        <v>3407</v>
      </c>
      <c r="M11" s="3178"/>
      <c r="N11" s="3178"/>
      <c r="O11" s="3178"/>
      <c r="P11" s="3178"/>
      <c r="Q11" s="3178"/>
    </row>
    <row r="12" spans="7:17" ht="21.75" hidden="1" thickTop="1" thickBot="1">
      <c r="G12" s="3148" t="s">
        <v>3403</v>
      </c>
      <c r="H12" s="3148" t="s">
        <v>3413</v>
      </c>
      <c r="I12" s="3441"/>
      <c r="J12" s="3148" t="s">
        <v>3406</v>
      </c>
      <c r="K12" s="3148">
        <v>34.270000000000003</v>
      </c>
      <c r="L12" s="3148" t="s">
        <v>3407</v>
      </c>
      <c r="M12" s="3178"/>
      <c r="N12" s="3178"/>
      <c r="O12" s="3178"/>
      <c r="P12" s="3178"/>
      <c r="Q12" s="3178"/>
    </row>
    <row r="13" spans="7:17" ht="21.75" hidden="1" thickTop="1" thickBot="1">
      <c r="G13" s="3149" t="s">
        <v>3414</v>
      </c>
      <c r="H13" s="3149" t="s">
        <v>3415</v>
      </c>
      <c r="I13" s="3441"/>
      <c r="J13" s="3149" t="s">
        <v>3416</v>
      </c>
      <c r="K13" s="3149">
        <v>43.74</v>
      </c>
      <c r="L13" s="3149" t="s">
        <v>3417</v>
      </c>
      <c r="M13" s="3178"/>
      <c r="N13" s="3178"/>
      <c r="O13" s="3178"/>
      <c r="P13" s="3178"/>
      <c r="Q13" s="3178"/>
    </row>
    <row r="14" spans="7:17" ht="21.75" hidden="1" thickTop="1" thickBot="1">
      <c r="G14" s="3148" t="s">
        <v>3398</v>
      </c>
      <c r="H14" s="3148" t="s">
        <v>3418</v>
      </c>
      <c r="I14" s="3441"/>
      <c r="J14" s="3148" t="s">
        <v>3416</v>
      </c>
      <c r="K14" s="3148">
        <v>11.57</v>
      </c>
      <c r="L14" s="3148" t="s">
        <v>3417</v>
      </c>
      <c r="M14" s="3178"/>
      <c r="N14" s="3178"/>
      <c r="O14" s="3178"/>
      <c r="P14" s="3178"/>
      <c r="Q14" s="3178"/>
    </row>
    <row r="15" spans="7:17" ht="21.75" hidden="1" thickTop="1" thickBot="1">
      <c r="G15" s="3149" t="s">
        <v>3403</v>
      </c>
      <c r="H15" s="3149" t="s">
        <v>3419</v>
      </c>
      <c r="I15" s="3441"/>
      <c r="J15" s="3149" t="s">
        <v>3420</v>
      </c>
      <c r="K15" s="3149">
        <v>29.76</v>
      </c>
      <c r="L15" s="3149" t="s">
        <v>3417</v>
      </c>
      <c r="M15" s="3178"/>
      <c r="N15" s="3178"/>
      <c r="O15" s="3178"/>
      <c r="P15" s="3178"/>
      <c r="Q15" s="3178"/>
    </row>
    <row r="16" spans="7:17" ht="21.75" hidden="1" thickTop="1" thickBot="1">
      <c r="G16" s="3148" t="s">
        <v>3421</v>
      </c>
      <c r="H16" s="3148" t="s">
        <v>3422</v>
      </c>
      <c r="I16" s="3441"/>
      <c r="J16" s="3148" t="s">
        <v>3420</v>
      </c>
      <c r="K16" s="3148">
        <v>18.690000000000001</v>
      </c>
      <c r="L16" s="3148" t="s">
        <v>3417</v>
      </c>
      <c r="M16" s="3178"/>
      <c r="N16" s="3178"/>
      <c r="O16" s="3178"/>
      <c r="P16" s="3178"/>
      <c r="Q16" s="3178"/>
    </row>
    <row r="17" spans="7:22" ht="21.75" hidden="1" thickTop="1" thickBot="1">
      <c r="G17" s="3149" t="s">
        <v>3423</v>
      </c>
      <c r="H17" s="3149" t="s">
        <v>3424</v>
      </c>
      <c r="I17" s="3441"/>
      <c r="J17" s="3149" t="s">
        <v>3420</v>
      </c>
      <c r="K17" s="3149">
        <v>16.45</v>
      </c>
      <c r="L17" s="3149" t="s">
        <v>3425</v>
      </c>
      <c r="M17" s="3178"/>
      <c r="N17" s="3178"/>
      <c r="O17" s="3178"/>
      <c r="P17" s="3178"/>
      <c r="Q17" s="3178"/>
    </row>
    <row r="18" spans="7:22" ht="21.75" hidden="1" thickTop="1" thickBot="1">
      <c r="G18" s="3148" t="s">
        <v>3421</v>
      </c>
      <c r="H18" s="3148" t="s">
        <v>3426</v>
      </c>
      <c r="I18" s="3441"/>
      <c r="J18" s="3148" t="s">
        <v>3420</v>
      </c>
      <c r="K18" s="3148">
        <v>34.11</v>
      </c>
      <c r="L18" s="3148" t="s">
        <v>3417</v>
      </c>
      <c r="M18" s="3178"/>
      <c r="N18" s="3178"/>
      <c r="O18" s="3178"/>
      <c r="P18" s="3178"/>
      <c r="Q18" s="3178"/>
    </row>
    <row r="19" spans="7:22" ht="21.75" hidden="1" thickTop="1" thickBot="1">
      <c r="G19" s="3150" t="s">
        <v>3421</v>
      </c>
      <c r="H19" s="3150" t="s">
        <v>3427</v>
      </c>
      <c r="I19" s="3441"/>
      <c r="J19" s="3150" t="s">
        <v>3420</v>
      </c>
      <c r="K19" s="3150">
        <v>34.11</v>
      </c>
      <c r="L19" s="3150" t="s">
        <v>3417</v>
      </c>
      <c r="M19" s="3178"/>
      <c r="N19" s="3178"/>
      <c r="O19" s="3178"/>
      <c r="P19" s="3178"/>
      <c r="Q19" s="3178"/>
    </row>
    <row r="20" spans="7:22" ht="21.75" hidden="1" thickTop="1" thickBot="1">
      <c r="G20" s="3147" t="s">
        <v>3428</v>
      </c>
      <c r="H20" s="3151" t="s">
        <v>3429</v>
      </c>
      <c r="I20" s="3441"/>
      <c r="J20" s="3152" t="s">
        <v>3420</v>
      </c>
      <c r="K20" s="3147">
        <v>16.45</v>
      </c>
      <c r="L20" s="3147" t="s">
        <v>3425</v>
      </c>
      <c r="M20" s="3178"/>
      <c r="N20" s="3178"/>
      <c r="O20" s="3178"/>
      <c r="P20" s="3178"/>
      <c r="Q20" s="3178"/>
    </row>
    <row r="21" spans="7:22" ht="21.75" hidden="1" thickTop="1" thickBot="1">
      <c r="G21" s="3148" t="s">
        <v>3421</v>
      </c>
      <c r="H21" s="3153" t="s">
        <v>3430</v>
      </c>
      <c r="I21" s="3441"/>
      <c r="J21" s="3154" t="s">
        <v>3420</v>
      </c>
      <c r="K21" s="3148">
        <v>18.690000000000001</v>
      </c>
      <c r="L21" s="3148" t="s">
        <v>3417</v>
      </c>
      <c r="M21" s="3178"/>
      <c r="N21" s="3178"/>
      <c r="O21" s="3178"/>
      <c r="P21" s="3178"/>
      <c r="Q21" s="3178"/>
    </row>
    <row r="22" spans="7:22" ht="21.75" hidden="1" thickTop="1" thickBot="1">
      <c r="G22" s="3149" t="s">
        <v>3403</v>
      </c>
      <c r="H22" s="3155" t="s">
        <v>3431</v>
      </c>
      <c r="I22" s="3442"/>
      <c r="J22" s="3156" t="s">
        <v>3420</v>
      </c>
      <c r="K22" s="3149">
        <v>29.76</v>
      </c>
      <c r="L22" s="3149" t="s">
        <v>3417</v>
      </c>
      <c r="M22" s="3178"/>
      <c r="N22" s="3178"/>
      <c r="O22" s="3178"/>
      <c r="P22" s="3178"/>
      <c r="Q22" s="3178"/>
    </row>
    <row r="23" spans="7:22" ht="42" hidden="1" thickTop="1" thickBot="1">
      <c r="G23" s="3148" t="s">
        <v>3432</v>
      </c>
      <c r="H23" s="3148" t="s">
        <v>3433</v>
      </c>
      <c r="I23" s="3437" t="s">
        <v>3434</v>
      </c>
      <c r="J23" s="3148" t="s">
        <v>3435</v>
      </c>
      <c r="K23" s="3148">
        <v>62.4</v>
      </c>
      <c r="L23" s="3148" t="s">
        <v>3425</v>
      </c>
      <c r="M23" s="3178"/>
      <c r="N23" s="3178"/>
      <c r="O23" s="3178"/>
      <c r="P23" s="3178"/>
      <c r="Q23" s="3178"/>
    </row>
    <row r="24" spans="7:22" ht="30" hidden="1" thickTop="1" thickBot="1">
      <c r="G24" s="3149" t="s">
        <v>3436</v>
      </c>
      <c r="H24" s="3149" t="s">
        <v>3437</v>
      </c>
      <c r="I24" s="3438"/>
      <c r="J24" s="3149" t="s">
        <v>3435</v>
      </c>
      <c r="K24" s="3149">
        <v>72.680000000000007</v>
      </c>
      <c r="L24" s="3149" t="s">
        <v>3425</v>
      </c>
      <c r="M24" s="3178"/>
      <c r="N24" s="3178"/>
      <c r="O24" s="3178"/>
      <c r="P24" s="3178"/>
      <c r="Q24" s="509" t="str">
        <f>Q25&amp;"(含)"&amp;"-"&amp;R25</f>
        <v>0(含)-100</v>
      </c>
      <c r="R24" s="509" t="str">
        <f>R25&amp;"(含)"&amp;"-"&amp;S25</f>
        <v>100(含)-200</v>
      </c>
      <c r="S24" s="509" t="str">
        <f>S25&amp;"(含)"&amp;"-"&amp;T25</f>
        <v>200(含)-400</v>
      </c>
      <c r="T24" s="509" t="str">
        <f>T25&amp;"(含)"&amp;"-"&amp;U25</f>
        <v>400(含)-600</v>
      </c>
      <c r="U24" s="509" t="str">
        <f>U25&amp;"(含)"&amp;"-"&amp;V25</f>
        <v>600(含)-1000</v>
      </c>
      <c r="V24" s="509" t="str">
        <f>V25&amp;"(含)"&amp;"-"&amp;AB26</f>
        <v>1000(含)-</v>
      </c>
    </row>
    <row r="25" spans="7:22" ht="21.75" hidden="1" thickTop="1" thickBot="1">
      <c r="G25" s="3148" t="s">
        <v>3436</v>
      </c>
      <c r="H25" s="3148" t="s">
        <v>3438</v>
      </c>
      <c r="I25" s="3438"/>
      <c r="J25" s="3148" t="s">
        <v>3435</v>
      </c>
      <c r="K25" s="3148">
        <v>73.11</v>
      </c>
      <c r="L25" s="3148" t="s">
        <v>3425</v>
      </c>
      <c r="M25" s="3178"/>
      <c r="N25" s="3178"/>
      <c r="O25" s="3178"/>
      <c r="P25" s="3178"/>
      <c r="Q25" s="6">
        <v>0</v>
      </c>
      <c r="R25" s="6">
        <v>100</v>
      </c>
      <c r="S25" s="6">
        <v>200</v>
      </c>
      <c r="T25" s="6">
        <v>400</v>
      </c>
      <c r="U25" s="6">
        <v>600</v>
      </c>
      <c r="V25" s="6">
        <v>1000</v>
      </c>
    </row>
    <row r="26" spans="7:22" ht="21.75" hidden="1" thickTop="1" thickBot="1">
      <c r="G26" s="3149" t="s">
        <v>3439</v>
      </c>
      <c r="H26" s="3149" t="s">
        <v>3440</v>
      </c>
      <c r="I26" s="3438"/>
      <c r="J26" s="3149" t="s">
        <v>3435</v>
      </c>
      <c r="K26" s="3149">
        <v>65.09</v>
      </c>
      <c r="L26" s="3149" t="s">
        <v>3425</v>
      </c>
      <c r="M26" s="3178"/>
      <c r="N26" s="3178"/>
      <c r="O26" s="3178"/>
      <c r="P26" s="3178"/>
      <c r="Q26" s="491">
        <v>100</v>
      </c>
      <c r="R26" s="467">
        <f>Q26-2</f>
        <v>98</v>
      </c>
      <c r="S26" s="467">
        <f t="shared" ref="S26:V26" si="0">R26-2</f>
        <v>96</v>
      </c>
      <c r="T26" s="467">
        <f t="shared" si="0"/>
        <v>94</v>
      </c>
      <c r="U26" s="467">
        <f t="shared" si="0"/>
        <v>92</v>
      </c>
      <c r="V26" s="467">
        <f t="shared" si="0"/>
        <v>90</v>
      </c>
    </row>
    <row r="27" spans="7:22" ht="21.75" hidden="1" thickTop="1" thickBot="1">
      <c r="G27" s="3148" t="s">
        <v>3441</v>
      </c>
      <c r="H27" s="3148" t="s">
        <v>3442</v>
      </c>
      <c r="I27" s="3438"/>
      <c r="J27" s="3148" t="s">
        <v>3435</v>
      </c>
      <c r="K27" s="3148">
        <v>65.56</v>
      </c>
      <c r="L27" s="3148" t="s">
        <v>3417</v>
      </c>
      <c r="M27" s="3178"/>
      <c r="N27" s="3178"/>
      <c r="O27" s="3178"/>
      <c r="P27" s="3178"/>
      <c r="Q27" s="3178"/>
    </row>
    <row r="28" spans="7:22" ht="21.75" hidden="1" thickTop="1" thickBot="1">
      <c r="G28" s="3149" t="s">
        <v>3441</v>
      </c>
      <c r="H28" s="3149" t="s">
        <v>3443</v>
      </c>
      <c r="I28" s="3438"/>
      <c r="J28" s="3149" t="s">
        <v>3435</v>
      </c>
      <c r="K28" s="3149">
        <v>72.64</v>
      </c>
      <c r="L28" s="3149" t="s">
        <v>3425</v>
      </c>
      <c r="M28" s="3178"/>
      <c r="N28" s="3178"/>
      <c r="O28" s="3178"/>
      <c r="P28" s="3178"/>
      <c r="Q28" s="3178"/>
    </row>
    <row r="29" spans="7:22" ht="42" hidden="1" thickTop="1" thickBot="1">
      <c r="G29" s="3148" t="s">
        <v>3444</v>
      </c>
      <c r="H29" s="3148" t="s">
        <v>3445</v>
      </c>
      <c r="I29" s="3438"/>
      <c r="J29" s="3148" t="s">
        <v>3446</v>
      </c>
      <c r="K29" s="3148">
        <v>150.74</v>
      </c>
      <c r="L29" s="3148" t="s">
        <v>3417</v>
      </c>
      <c r="M29" s="3178"/>
      <c r="N29" s="3178"/>
      <c r="O29" s="3178"/>
      <c r="P29" s="3178"/>
      <c r="Q29" s="3178"/>
    </row>
    <row r="30" spans="7:22" ht="21.75" hidden="1" thickTop="1" thickBot="1">
      <c r="G30" s="3149" t="s">
        <v>3447</v>
      </c>
      <c r="H30" s="3149" t="s">
        <v>3448</v>
      </c>
      <c r="I30" s="3438"/>
      <c r="J30" s="3149" t="s">
        <v>3446</v>
      </c>
      <c r="K30" s="3149">
        <v>50.28</v>
      </c>
      <c r="L30" s="3149" t="s">
        <v>3425</v>
      </c>
      <c r="M30" s="3178"/>
      <c r="N30" s="3178"/>
      <c r="O30" s="3178"/>
      <c r="P30" s="3178"/>
      <c r="Q30" s="3178"/>
    </row>
    <row r="31" spans="7:22" ht="21.75" hidden="1" thickTop="1" thickBot="1">
      <c r="G31" s="3148" t="s">
        <v>3449</v>
      </c>
      <c r="H31" s="3148" t="s">
        <v>3448</v>
      </c>
      <c r="I31" s="3438"/>
      <c r="J31" s="3148" t="s">
        <v>3446</v>
      </c>
      <c r="K31" s="3148">
        <v>153.06</v>
      </c>
      <c r="L31" s="3148" t="s">
        <v>3425</v>
      </c>
      <c r="M31" s="3178"/>
      <c r="N31" s="3178"/>
      <c r="O31" s="3178"/>
      <c r="P31" s="3178"/>
      <c r="Q31" s="3178"/>
    </row>
    <row r="32" spans="7:22" ht="21.75" hidden="1" thickTop="1" thickBot="1">
      <c r="G32" s="3149" t="s">
        <v>3414</v>
      </c>
      <c r="H32" s="3149" t="s">
        <v>3450</v>
      </c>
      <c r="I32" s="3439"/>
      <c r="J32" s="3149" t="s">
        <v>3451</v>
      </c>
      <c r="K32" s="3149">
        <v>72.540000000000006</v>
      </c>
      <c r="L32" s="3149" t="s">
        <v>3417</v>
      </c>
      <c r="M32" s="3178"/>
      <c r="N32" s="3178"/>
      <c r="O32" s="3178"/>
      <c r="P32" s="3178"/>
      <c r="Q32" s="3178"/>
    </row>
    <row r="33" spans="7:25" ht="42" thickTop="1" thickBot="1">
      <c r="G33" s="3158" t="s">
        <v>3452</v>
      </c>
      <c r="H33" s="3158" t="s">
        <v>3453</v>
      </c>
      <c r="I33" s="3443" t="s">
        <v>3454</v>
      </c>
      <c r="J33" s="3158" t="s">
        <v>3455</v>
      </c>
      <c r="K33" s="3158">
        <v>1878.3</v>
      </c>
      <c r="L33" s="3159"/>
      <c r="M33" s="3178"/>
      <c r="N33" s="3178">
        <v>0.6</v>
      </c>
      <c r="O33" s="3178">
        <v>0.94</v>
      </c>
      <c r="P33" s="3178">
        <f>ROUND($M$34*N33*O33,1)</f>
        <v>1.2</v>
      </c>
      <c r="Q33" s="3178">
        <f>P33*K33</f>
        <v>2253.96</v>
      </c>
      <c r="T33" s="509" t="str">
        <f>T34&amp;"(含)"&amp;"-"&amp;U34</f>
        <v>0(含)-100</v>
      </c>
      <c r="U33" s="509" t="str">
        <f>U34&amp;"(含)"&amp;"-"&amp;V34</f>
        <v>100(含)-200</v>
      </c>
      <c r="V33" s="509" t="str">
        <f>V34&amp;"(含)"&amp;"-"&amp;W34</f>
        <v>200(含)-400</v>
      </c>
      <c r="W33" s="509" t="str">
        <f>W34&amp;"(含)"&amp;"-"&amp;X34</f>
        <v>400(含)-600</v>
      </c>
      <c r="X33" s="509" t="str">
        <f>X34&amp;"(含)"&amp;"-"&amp;Y34</f>
        <v>600(含)-1000</v>
      </c>
      <c r="Y33" s="509" t="str">
        <f>Y34&amp;"(含)"&amp;"-"&amp;AG36</f>
        <v>1000(含)-</v>
      </c>
    </row>
    <row r="34" spans="7:25" ht="21.75" thickTop="1" thickBot="1">
      <c r="G34" s="3160" t="s">
        <v>673</v>
      </c>
      <c r="H34" s="3161" t="s">
        <v>3456</v>
      </c>
      <c r="I34" s="3444"/>
      <c r="J34" s="3162" t="s">
        <v>3457</v>
      </c>
      <c r="K34" s="3160">
        <v>376.75</v>
      </c>
      <c r="L34" s="3160" t="s">
        <v>3458</v>
      </c>
      <c r="M34" s="3178">
        <f>'比较法-商业'!C48</f>
        <v>2.1</v>
      </c>
      <c r="N34" s="3178">
        <v>1</v>
      </c>
      <c r="O34" s="3178">
        <v>1</v>
      </c>
      <c r="P34" s="3178">
        <f>ROUND($M$34*N34*O34,1)</f>
        <v>2.1</v>
      </c>
      <c r="Q34" s="3178">
        <f t="shared" ref="Q34:Q51" si="1">P34*K34</f>
        <v>791.17500000000007</v>
      </c>
      <c r="T34" s="6">
        <v>0</v>
      </c>
      <c r="U34" s="6">
        <v>100</v>
      </c>
      <c r="V34" s="6">
        <v>200</v>
      </c>
      <c r="W34" s="6">
        <v>400</v>
      </c>
      <c r="X34" s="6">
        <v>600</v>
      </c>
      <c r="Y34" s="6">
        <v>1000</v>
      </c>
    </row>
    <row r="35" spans="7:25" ht="21" thickBot="1">
      <c r="G35" s="3163" t="s">
        <v>673</v>
      </c>
      <c r="H35" s="3164" t="s">
        <v>3459</v>
      </c>
      <c r="I35" s="3444"/>
      <c r="J35" s="3165" t="s">
        <v>3457</v>
      </c>
      <c r="K35" s="3163">
        <v>367.37</v>
      </c>
      <c r="L35" s="3163" t="s">
        <v>3458</v>
      </c>
      <c r="M35" s="3178"/>
      <c r="N35" s="3178">
        <v>1</v>
      </c>
      <c r="O35" s="3178">
        <v>1</v>
      </c>
      <c r="P35" s="3178">
        <f t="shared" ref="P35:P51" si="2">ROUND($M$34*N35*O35,1)</f>
        <v>2.1</v>
      </c>
      <c r="Q35" s="3178">
        <f t="shared" si="1"/>
        <v>771.47700000000009</v>
      </c>
      <c r="T35" s="491">
        <v>100</v>
      </c>
      <c r="U35" s="467">
        <f>T35-2</f>
        <v>98</v>
      </c>
      <c r="V35" s="467">
        <f t="shared" ref="V35:Y35" si="3">U35-2</f>
        <v>96</v>
      </c>
      <c r="W35" s="467">
        <f t="shared" si="3"/>
        <v>94</v>
      </c>
      <c r="X35" s="467">
        <f t="shared" si="3"/>
        <v>92</v>
      </c>
      <c r="Y35" s="467">
        <f t="shared" si="3"/>
        <v>90</v>
      </c>
    </row>
    <row r="36" spans="7:25" ht="21" thickBot="1">
      <c r="G36" s="3163" t="s">
        <v>3460</v>
      </c>
      <c r="H36" s="3164" t="s">
        <v>3461</v>
      </c>
      <c r="I36" s="3444"/>
      <c r="J36" s="3165" t="s">
        <v>3457</v>
      </c>
      <c r="K36" s="3163">
        <v>253.2</v>
      </c>
      <c r="L36" s="3163" t="s">
        <v>3462</v>
      </c>
      <c r="M36" s="3178"/>
      <c r="N36" s="3178">
        <v>1</v>
      </c>
      <c r="O36" s="3178">
        <v>1</v>
      </c>
      <c r="P36" s="3178">
        <f t="shared" si="2"/>
        <v>2.1</v>
      </c>
      <c r="Q36" s="3178">
        <f t="shared" si="1"/>
        <v>531.72</v>
      </c>
    </row>
    <row r="37" spans="7:25" ht="21" thickBot="1">
      <c r="G37" s="3163" t="s">
        <v>673</v>
      </c>
      <c r="H37" s="3164" t="s">
        <v>3463</v>
      </c>
      <c r="I37" s="3444"/>
      <c r="J37" s="3165" t="s">
        <v>3464</v>
      </c>
      <c r="K37" s="3163">
        <v>401.74</v>
      </c>
      <c r="L37" s="3163" t="s">
        <v>3458</v>
      </c>
      <c r="M37" s="3178"/>
      <c r="N37" s="3178">
        <v>0.8</v>
      </c>
      <c r="O37" s="3178">
        <v>0.98</v>
      </c>
      <c r="P37" s="3178">
        <f t="shared" si="2"/>
        <v>1.6</v>
      </c>
      <c r="Q37" s="3178">
        <f t="shared" si="1"/>
        <v>642.78400000000011</v>
      </c>
    </row>
    <row r="38" spans="7:25" ht="21" thickBot="1">
      <c r="G38" s="3163" t="s">
        <v>673</v>
      </c>
      <c r="H38" s="3164" t="s">
        <v>3465</v>
      </c>
      <c r="I38" s="3445"/>
      <c r="J38" s="3165" t="s">
        <v>3464</v>
      </c>
      <c r="K38" s="3163">
        <v>441.1</v>
      </c>
      <c r="L38" s="3163" t="s">
        <v>3458</v>
      </c>
      <c r="M38" s="3178"/>
      <c r="N38" s="3178">
        <v>0.8</v>
      </c>
      <c r="O38" s="3178">
        <v>0.98</v>
      </c>
      <c r="P38" s="3178">
        <f t="shared" si="2"/>
        <v>1.6</v>
      </c>
      <c r="Q38" s="3178">
        <f t="shared" si="1"/>
        <v>705.7600000000001</v>
      </c>
    </row>
    <row r="39" spans="7:25" ht="21.75" thickTop="1" thickBot="1">
      <c r="G39" s="3166" t="s">
        <v>3466</v>
      </c>
      <c r="H39" s="3166" t="s">
        <v>3467</v>
      </c>
      <c r="I39" s="3446" t="s">
        <v>3468</v>
      </c>
      <c r="J39" s="3166" t="s">
        <v>3469</v>
      </c>
      <c r="K39" s="3166">
        <v>125.36</v>
      </c>
      <c r="L39" s="3166" t="s">
        <v>3470</v>
      </c>
      <c r="M39" s="3178"/>
      <c r="N39" s="3178">
        <v>1</v>
      </c>
      <c r="O39" s="3178">
        <v>1.02</v>
      </c>
      <c r="P39" s="3178">
        <f t="shared" si="2"/>
        <v>2.1</v>
      </c>
      <c r="Q39" s="3178">
        <f t="shared" si="1"/>
        <v>263.25600000000003</v>
      </c>
    </row>
    <row r="40" spans="7:25" ht="21" thickBot="1">
      <c r="G40" s="3166" t="s">
        <v>3471</v>
      </c>
      <c r="H40" s="3166" t="s">
        <v>3472</v>
      </c>
      <c r="I40" s="3447"/>
      <c r="J40" s="3166" t="s">
        <v>3469</v>
      </c>
      <c r="K40" s="3166">
        <v>354.63</v>
      </c>
      <c r="L40" s="3166" t="s">
        <v>3470</v>
      </c>
      <c r="M40" s="3178"/>
      <c r="N40" s="3178">
        <v>1</v>
      </c>
      <c r="O40" s="3178">
        <v>1</v>
      </c>
      <c r="P40" s="3178">
        <f t="shared" si="2"/>
        <v>2.1</v>
      </c>
      <c r="Q40" s="3178">
        <f t="shared" si="1"/>
        <v>744.72300000000007</v>
      </c>
    </row>
    <row r="41" spans="7:25" ht="21" thickBot="1">
      <c r="G41" s="3166" t="s">
        <v>673</v>
      </c>
      <c r="H41" s="3166" t="s">
        <v>3473</v>
      </c>
      <c r="I41" s="3447"/>
      <c r="J41" s="3166" t="s">
        <v>3469</v>
      </c>
      <c r="K41" s="3166">
        <v>85.25</v>
      </c>
      <c r="L41" s="3166" t="s">
        <v>3474</v>
      </c>
      <c r="M41" s="3178"/>
      <c r="N41" s="3178">
        <v>1</v>
      </c>
      <c r="O41" s="3178">
        <v>1.04</v>
      </c>
      <c r="P41" s="3178">
        <f t="shared" si="2"/>
        <v>2.2000000000000002</v>
      </c>
      <c r="Q41" s="3178">
        <f t="shared" si="1"/>
        <v>187.55</v>
      </c>
    </row>
    <row r="42" spans="7:25" ht="21" thickBot="1">
      <c r="G42" s="3166" t="s">
        <v>673</v>
      </c>
      <c r="H42" s="3166" t="s">
        <v>3475</v>
      </c>
      <c r="I42" s="3447"/>
      <c r="J42" s="3166" t="s">
        <v>3469</v>
      </c>
      <c r="K42" s="3166">
        <v>88.9</v>
      </c>
      <c r="L42" s="3166" t="s">
        <v>3474</v>
      </c>
      <c r="M42" s="3178"/>
      <c r="N42" s="3178">
        <v>1</v>
      </c>
      <c r="O42" s="3178">
        <v>1.04</v>
      </c>
      <c r="P42" s="3178">
        <f t="shared" si="2"/>
        <v>2.2000000000000002</v>
      </c>
      <c r="Q42" s="3178">
        <f t="shared" si="1"/>
        <v>195.58000000000004</v>
      </c>
    </row>
    <row r="43" spans="7:25" ht="21" thickBot="1">
      <c r="G43" s="3166" t="s">
        <v>673</v>
      </c>
      <c r="H43" s="3166" t="s">
        <v>3476</v>
      </c>
      <c r="I43" s="3447"/>
      <c r="J43" s="3166" t="s">
        <v>3469</v>
      </c>
      <c r="K43" s="3166">
        <v>88.9</v>
      </c>
      <c r="L43" s="3166" t="s">
        <v>3474</v>
      </c>
      <c r="M43" s="3178"/>
      <c r="N43" s="3178">
        <v>1</v>
      </c>
      <c r="O43" s="3178">
        <v>1.04</v>
      </c>
      <c r="P43" s="3178">
        <f t="shared" si="2"/>
        <v>2.2000000000000002</v>
      </c>
      <c r="Q43" s="3178">
        <f t="shared" si="1"/>
        <v>195.58000000000004</v>
      </c>
    </row>
    <row r="44" spans="7:25" ht="21" thickBot="1">
      <c r="G44" s="3166" t="s">
        <v>673</v>
      </c>
      <c r="H44" s="3166" t="s">
        <v>3477</v>
      </c>
      <c r="I44" s="3447"/>
      <c r="J44" s="3166" t="s">
        <v>3469</v>
      </c>
      <c r="K44" s="3166">
        <v>88.9</v>
      </c>
      <c r="L44" s="3166" t="s">
        <v>3474</v>
      </c>
      <c r="M44" s="3178"/>
      <c r="N44" s="3178">
        <v>1</v>
      </c>
      <c r="O44" s="3178">
        <v>1.04</v>
      </c>
      <c r="P44" s="3178">
        <f t="shared" si="2"/>
        <v>2.2000000000000002</v>
      </c>
      <c r="Q44" s="3178">
        <f t="shared" si="1"/>
        <v>195.58000000000004</v>
      </c>
    </row>
    <row r="45" spans="7:25" ht="21" thickBot="1">
      <c r="G45" s="3166" t="s">
        <v>673</v>
      </c>
      <c r="H45" s="3166" t="s">
        <v>3478</v>
      </c>
      <c r="I45" s="3447"/>
      <c r="J45" s="3166" t="s">
        <v>3469</v>
      </c>
      <c r="K45" s="3166">
        <v>44.28</v>
      </c>
      <c r="L45" s="3166" t="s">
        <v>3474</v>
      </c>
      <c r="M45" s="3178"/>
      <c r="N45" s="3178">
        <v>1</v>
      </c>
      <c r="O45" s="3178">
        <v>1.04</v>
      </c>
      <c r="P45" s="3178">
        <f t="shared" si="2"/>
        <v>2.2000000000000002</v>
      </c>
      <c r="Q45" s="3178">
        <f t="shared" si="1"/>
        <v>97.416000000000011</v>
      </c>
    </row>
    <row r="46" spans="7:25" ht="21" thickBot="1">
      <c r="G46" s="3166" t="s">
        <v>673</v>
      </c>
      <c r="H46" s="3166" t="s">
        <v>3479</v>
      </c>
      <c r="I46" s="3447"/>
      <c r="J46" s="3166" t="s">
        <v>3469</v>
      </c>
      <c r="K46" s="3166">
        <v>47.16</v>
      </c>
      <c r="L46" s="3166" t="s">
        <v>3474</v>
      </c>
      <c r="M46" s="3178"/>
      <c r="N46" s="3178">
        <v>1</v>
      </c>
      <c r="O46" s="3178">
        <v>1.04</v>
      </c>
      <c r="P46" s="3178">
        <f t="shared" si="2"/>
        <v>2.2000000000000002</v>
      </c>
      <c r="Q46" s="3178">
        <f t="shared" si="1"/>
        <v>103.752</v>
      </c>
    </row>
    <row r="47" spans="7:25" ht="21" thickBot="1">
      <c r="G47" s="3167" t="s">
        <v>3480</v>
      </c>
      <c r="H47" s="3167" t="s">
        <v>3481</v>
      </c>
      <c r="I47" s="3447"/>
      <c r="J47" s="3167" t="s">
        <v>3469</v>
      </c>
      <c r="K47" s="3167">
        <v>79.239999999999995</v>
      </c>
      <c r="L47" s="3167" t="s">
        <v>3470</v>
      </c>
      <c r="M47" s="3178"/>
      <c r="N47" s="3178">
        <v>1</v>
      </c>
      <c r="O47" s="3178">
        <v>1.04</v>
      </c>
      <c r="P47" s="3178">
        <f t="shared" si="2"/>
        <v>2.2000000000000002</v>
      </c>
      <c r="Q47" s="3178">
        <f t="shared" si="1"/>
        <v>174.328</v>
      </c>
    </row>
    <row r="48" spans="7:25" ht="21.75" thickTop="1" thickBot="1">
      <c r="G48" s="3168" t="s">
        <v>3466</v>
      </c>
      <c r="H48" s="3169" t="s">
        <v>3482</v>
      </c>
      <c r="I48" s="3447"/>
      <c r="J48" s="3170" t="s">
        <v>3483</v>
      </c>
      <c r="K48" s="3168">
        <v>240.96</v>
      </c>
      <c r="L48" s="3168" t="s">
        <v>3470</v>
      </c>
      <c r="M48" s="3178"/>
      <c r="N48" s="3178">
        <v>0.8</v>
      </c>
      <c r="O48" s="3178">
        <v>1</v>
      </c>
      <c r="P48" s="3178">
        <f t="shared" si="2"/>
        <v>1.7</v>
      </c>
      <c r="Q48" s="3178">
        <f t="shared" si="1"/>
        <v>409.63200000000001</v>
      </c>
    </row>
    <row r="49" spans="7:17" ht="21" thickBot="1">
      <c r="G49" s="3166" t="s">
        <v>3403</v>
      </c>
      <c r="H49" s="3171" t="s">
        <v>3484</v>
      </c>
      <c r="I49" s="3447"/>
      <c r="J49" s="3172" t="s">
        <v>3483</v>
      </c>
      <c r="K49" s="3166">
        <v>228.38</v>
      </c>
      <c r="L49" s="3166" t="s">
        <v>3470</v>
      </c>
      <c r="M49" s="3178"/>
      <c r="N49" s="3178">
        <v>0.8</v>
      </c>
      <c r="O49" s="3178">
        <v>1</v>
      </c>
      <c r="P49" s="3178">
        <f t="shared" si="2"/>
        <v>1.7</v>
      </c>
      <c r="Q49" s="3178">
        <f t="shared" si="1"/>
        <v>388.24599999999998</v>
      </c>
    </row>
    <row r="50" spans="7:17" ht="21" thickBot="1">
      <c r="G50" s="3166" t="s">
        <v>3485</v>
      </c>
      <c r="H50" s="3171" t="s">
        <v>3486</v>
      </c>
      <c r="I50" s="3447"/>
      <c r="J50" s="3172" t="s">
        <v>3483</v>
      </c>
      <c r="K50" s="3166">
        <v>24.42</v>
      </c>
      <c r="L50" s="3166" t="s">
        <v>3470</v>
      </c>
      <c r="M50" s="3178"/>
      <c r="N50" s="3178">
        <v>0.8</v>
      </c>
      <c r="O50" s="3178">
        <v>1</v>
      </c>
      <c r="P50" s="3178">
        <f t="shared" si="2"/>
        <v>1.7</v>
      </c>
      <c r="Q50" s="3178">
        <f t="shared" si="1"/>
        <v>41.514000000000003</v>
      </c>
    </row>
    <row r="51" spans="7:17" ht="21" thickBot="1">
      <c r="G51" s="3166" t="s">
        <v>3487</v>
      </c>
      <c r="H51" s="3171" t="s">
        <v>3488</v>
      </c>
      <c r="I51" s="3448"/>
      <c r="J51" s="3172" t="s">
        <v>3483</v>
      </c>
      <c r="K51" s="3166">
        <v>127.9</v>
      </c>
      <c r="L51" s="3166" t="s">
        <v>3470</v>
      </c>
      <c r="M51" s="3178"/>
      <c r="N51" s="3178">
        <v>0.8</v>
      </c>
      <c r="O51" s="3178">
        <v>1.02</v>
      </c>
      <c r="P51" s="3178">
        <f t="shared" si="2"/>
        <v>1.7</v>
      </c>
      <c r="Q51" s="3178">
        <f t="shared" si="1"/>
        <v>217.43</v>
      </c>
    </row>
    <row r="52" spans="7:17" ht="24.75" hidden="1" thickTop="1" thickBot="1">
      <c r="G52" s="3149" t="s">
        <v>3489</v>
      </c>
      <c r="H52" s="3157"/>
      <c r="I52" s="3147" t="s">
        <v>3434</v>
      </c>
      <c r="J52" s="3149" t="s">
        <v>3490</v>
      </c>
      <c r="K52" s="3149">
        <v>800</v>
      </c>
      <c r="L52" s="3149" t="s">
        <v>3491</v>
      </c>
    </row>
    <row r="54" spans="7:17">
      <c r="K54">
        <f>K33+K34+K35+K38+K36+K37+K39+K40+K41+K42+K43+K44+K45+K46+K47+K48+K49+K50+K51</f>
        <v>5342.739999999998</v>
      </c>
      <c r="P54">
        <f>ROUND(Q54/K54,1)</f>
        <v>1.7</v>
      </c>
      <c r="Q54">
        <f>SUM(Q33:Q53)</f>
        <v>8911.4629999999997</v>
      </c>
    </row>
  </sheetData>
  <mergeCells count="8">
    <mergeCell ref="I39:I51"/>
    <mergeCell ref="H3:H4"/>
    <mergeCell ref="I3:I4"/>
    <mergeCell ref="J3:J4"/>
    <mergeCell ref="L3:L4"/>
    <mergeCell ref="I23:I32"/>
    <mergeCell ref="I6:I22"/>
    <mergeCell ref="I33:I38"/>
  </mergeCells>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DD98D-276D-4206-87C7-9150AACDFB9B}">
  <dimension ref="A1:R131"/>
  <sheetViews>
    <sheetView workbookViewId="0">
      <selection activeCell="Q45" sqref="Q28:Q45"/>
    </sheetView>
  </sheetViews>
  <sheetFormatPr defaultRowHeight="13.5"/>
  <cols>
    <col min="13" max="13" width="13" bestFit="1" customWidth="1"/>
    <col min="14" max="16" width="7.125" customWidth="1"/>
  </cols>
  <sheetData>
    <row r="1" spans="1:18">
      <c r="A1" s="3173" t="s">
        <v>3492</v>
      </c>
      <c r="R1" s="3173" t="s">
        <v>3493</v>
      </c>
    </row>
    <row r="6" spans="1:18">
      <c r="M6" s="1405" t="s">
        <v>3499</v>
      </c>
      <c r="N6">
        <v>4884</v>
      </c>
      <c r="O6">
        <v>1.5</v>
      </c>
      <c r="P6" s="1405" t="s">
        <v>3501</v>
      </c>
    </row>
    <row r="7" spans="1:18">
      <c r="M7" s="1405" t="s">
        <v>3502</v>
      </c>
      <c r="N7">
        <v>600</v>
      </c>
      <c r="O7">
        <v>1.2</v>
      </c>
      <c r="P7" s="1405" t="s">
        <v>3503</v>
      </c>
    </row>
    <row r="8" spans="1:18">
      <c r="M8" s="1405" t="s">
        <v>3504</v>
      </c>
      <c r="N8">
        <v>548.20000000000005</v>
      </c>
      <c r="O8">
        <v>1.8</v>
      </c>
      <c r="P8" s="1405" t="s">
        <v>3505</v>
      </c>
    </row>
    <row r="9" spans="1:18">
      <c r="M9" s="1405" t="s">
        <v>3506</v>
      </c>
      <c r="N9">
        <v>1820</v>
      </c>
      <c r="O9">
        <f>ROUND(152900/N9/30,1)</f>
        <v>2.8</v>
      </c>
      <c r="P9" s="1405" t="s">
        <v>3501</v>
      </c>
    </row>
    <row r="10" spans="1:18">
      <c r="M10" s="3174" t="s">
        <v>3507</v>
      </c>
      <c r="N10" s="3174">
        <v>100</v>
      </c>
      <c r="O10" s="3174">
        <f>ROUND(6500/N10/30,1)</f>
        <v>2.2000000000000002</v>
      </c>
      <c r="P10" s="3174" t="s">
        <v>3501</v>
      </c>
      <c r="Q10" s="3174" t="s">
        <v>3508</v>
      </c>
    </row>
    <row r="11" spans="1:18">
      <c r="M11" s="3174" t="s">
        <v>3507</v>
      </c>
      <c r="N11" s="3174">
        <v>50</v>
      </c>
      <c r="O11" s="3174">
        <v>2.5</v>
      </c>
      <c r="P11" s="3174" t="s">
        <v>3501</v>
      </c>
      <c r="Q11" s="3174" t="s">
        <v>3508</v>
      </c>
    </row>
    <row r="12" spans="1:18">
      <c r="M12" s="3174" t="s">
        <v>3509</v>
      </c>
      <c r="N12" s="3174">
        <v>150</v>
      </c>
      <c r="O12" s="3174">
        <v>2.5</v>
      </c>
      <c r="P12" s="3174" t="s">
        <v>3501</v>
      </c>
      <c r="Q12" s="3174" t="s">
        <v>3508</v>
      </c>
    </row>
    <row r="13" spans="1:18">
      <c r="M13" s="1405" t="s">
        <v>3511</v>
      </c>
      <c r="N13">
        <v>60</v>
      </c>
      <c r="O13">
        <v>1.39</v>
      </c>
      <c r="P13" s="1405" t="s">
        <v>3501</v>
      </c>
    </row>
    <row r="41" spans="1:17">
      <c r="A41" s="3173" t="s">
        <v>3494</v>
      </c>
    </row>
    <row r="42" spans="1:17">
      <c r="Q42" s="3173" t="s">
        <v>3495</v>
      </c>
    </row>
    <row r="85" spans="1:17">
      <c r="A85" s="3173" t="s">
        <v>3496</v>
      </c>
      <c r="Q85" s="3173" t="s">
        <v>3497</v>
      </c>
    </row>
    <row r="128" spans="1:1">
      <c r="A128" s="3173" t="s">
        <v>3498</v>
      </c>
    </row>
    <row r="131" spans="17:17">
      <c r="Q131" s="3173" t="s">
        <v>3510</v>
      </c>
    </row>
  </sheetData>
  <phoneticPr fontId="134" type="noConversion"/>
  <hyperlinks>
    <hyperlink ref="A1" r:id="rId1" display="https://bj.58.com/shangpu/60006771197972x.shtml?utm_source=market&amp;spm=u-2d2yxv86y3v43nkddh1.BDPCPZ_BT&amp;prd=x0NAXiR1wlSETnm4cICGenYc8BwJRkveQfdX%2Fmcyys8%3D&amp;houseId=3758825029215235&amp;urlParamsMap=26F6D537E2A5AFE4BB7CE73CFCEE96D25CEFD69FD8A7215024B4F607F21C32C3D2C7A6AC339016C900A8DCC3B3E786D9A21D297583B578CE9DEFEC5EB6BF30B99CCC3226B2F21FDFB434C9A6A9425903653DB51F999284DFE75F3086DC0BCABBE4F52C007715BAA9D3C7F06113E86EB2&amp;gpos=2&amp;positionType=promationinfo&amp;filterJson=eyJTSEFOR1FVQU4iOlt7ImtleSI6IiIsImxhYmVsIjoi5byg5a625rm-IiwidmFsIjoiemhhbmdqaWF3YW4ifV0sIlFVWVUiOlt7ImtleSI6IiIsImxhYmVsIjoi6YCa5beeIiwidmFsIjoidG9uZ3pob3VxdSJ9XX0&amp;jx_abtest=ZWljX3N5ZGNfcGNfcmVjb21tZW5kX3Rlc3QsdXNlcl9waGFzZV9s&amp;list_type=main&amp;PGTID=0d306b35-0000-19ec-5c2f-dcba6720ee80&amp;ClickID=14" xr:uid="{451395AF-C0A7-411C-A666-A098DEA271E5}"/>
    <hyperlink ref="R1" r:id="rId2" display="https://bj.58.com/shangpu/46250567482120x.shtml?utm_source=market&amp;spm=u-2d2yxv86y3v43nkddh1.BDPCPZ_BT&amp;prd=x0NAXiR1wlSETnm4cICGelofwCptkX%2BsDXwXyCHV%2B6g%3D&amp;houseId=1998030953569292&amp;urlParamsMap=26F6D537E2A5AFE4BB7CE73CFCEE96D25CEFD69FD8A7215024B4F607F21C32C3D2C7A6AC339016C981631E65FB112342F12FB0B837C1D3CBB28F4D3C1B259EFD34734F5194EB37A191B8AF727A80F36C4AED0D820437452AE4F52C007715BAA9DC7BB185DE96C32A&amp;gpos=10&amp;positionType=commoninfo&amp;filterJson=eyJTSEFOR1FVQU4iOlt7ImtleSI6IiIsImxhYmVsIjoi5byg5a625rm-IiwidmFsIjoiemhhbmdqaWF3YW4ifV0sIlFVWVUiOlt7ImtleSI6IiIsImxhYmVsIjoi6YCa5beeIiwidmFsIjoidG9uZ3pob3VxdSJ9XX0&amp;jx_abtest=ZWljX3N5ZGNfcGNfcmVjb21tZW5kX3Rlc3QsdXNlcl9waGFzZV9s&amp;list_type=main&amp;PGTID=0d306b35-0000-19ec-5c2f-dcba6720ee80&amp;ClickID=26" xr:uid="{49D666A3-DC86-484B-A6FB-356C603C1200}"/>
    <hyperlink ref="A41" r:id="rId3" display="https://bj.58.com/shangpu/60030072619422x.shtml?utm_source=market&amp;spm=u-2d2yxv86y3v43nkddh1.BDPCPZ_BT&amp;prd=x0NAXiR1wlSETnm4cICGenYc8BwJRkveQfdX%2Fmcyys8%3D&amp;houseId=3761807611043845&amp;urlParamsMap=26F6D537E2A5AFE4BB7CE73CFCEE96D25CEFD69FD8A7215024B4F607F21C32C3D2C7A6AC339016C981631E65FB112342F12FB0B837C1D3CBB28F4D3C1B259EFD34734F5194EB37A191B8AF727A80F36C4AED0D820437452AD36A81A4E2F4651F17C22B9B287FB358&amp;gpos=17&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7ea-0bbb-3bec4bf3f78c&amp;ClickID=14" xr:uid="{CC43C81B-AA54-4798-899F-9D1AE9F6B185}"/>
    <hyperlink ref="Q42" r:id="rId4" display="https://bj.58.com/shangpu/60007694855346x.shtml?utm_source=market&amp;spm=u-2d2yxv86y3v43nkddh1.BDPCPZ_BT&amp;prd=x0NAXiR1wlSETnm4cICGevbpkSAa0zBtWgSBinMqnLs%3D&amp;houseId=3758943256585224&amp;urlParamsMap=26F6D537E2A5AFE4BB7CE73CFCEE96D25CEFD69FD8A7215024B4F607F21C32C3D2C7A6AC339016C981631E65FB112342F12FB0B837C1D3CBB28F4D3C1B259EFD34734F5194EB37A191B8AF727A80F36C4AED0D820437452AD36A81A4E2F4651F3481D278206CF1DF&amp;gpos=21&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7ea-0bbb-3bec4bf3f78c&amp;ClickID=22" xr:uid="{D5DAB3C3-2394-49D5-80AB-0BE457758B57}"/>
    <hyperlink ref="A85" r:id="rId5" display="https://bj.58.com/shangpu/59765867573255x.shtml?utm_source=market&amp;spm=u-2d2yxv86y3v43nkddh1.BDPCPZ_BT&amp;prd=x0NAXiR1wlSETnm4cICGemM0XmbyITMWudxFT0qICO4%3D&amp;houseId=3727989365236750&amp;urlParamsMap=26F6D537E2A5AFE4BB7CE73CFCEE96D25CEFD69FD8A7215024B4F607F21C32C3D2C7A6AC339016C981631E65FB112342F12FB0B837C1D3CBB28F4D3C1B259EFD34734F5194EB37A191B8AF727A80F36C4AED0D820437452AD36A81A4E2F4651FA01B2D8361770BCE&amp;gpos=38&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23" xr:uid="{B381F715-B15E-46AE-8156-AE6B6D57C559}"/>
    <hyperlink ref="Q85" r:id="rId6" display="https://bj.58.com/shangpu/59167895196067x.shtml?utm_source=market&amp;spm=u-2d2yxv86y3v43nkddh1.BDPCPZ_BT&amp;prd=x0NAXiR1wlSETnm4cICGelofwCptkX%2BsDXwXyCHV%2B6g%3D&amp;houseId=3651448900935694&amp;urlParamsMap=26F6D537E2A5AFE4BB7CE73CFCEE96D25CEFD69FD8A7215024B4F607F21C32C3D2C7A6AC339016C981631E65FB112342F12FB0B837C1D3CBB28F4D3C1B259EFD34734F5194EB37A191B8AF727A80F36C4AED0D820437452AD36A81A4E2F4651F92E8922FFABE5F9B&amp;gpos=40&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29" xr:uid="{21CD29E5-9C89-4B63-8B37-66C2C2CAEEAF}"/>
    <hyperlink ref="A128" r:id="rId7" display="https://bj.58.com/shangpu/58478404198187x.shtml?utm_source=market&amp;spm=u-2d2yxv86y3v43nkddh1.BDPCPZ_BT&amp;prd=x0NAXiR1wlSETnm4cICGepPA7wxm0TU11rajoKJ7G1k%3D&amp;houseId=3563194053272577&amp;urlParamsMap=26F6D537E2A5AFE4BB7CE73CFCEE96D25CEFD69FD8A7215024B4F607F21C32C3D2C7A6AC339016C981631E65FB112342F12FB0B837C1D3CBB28F4D3C1B259EFD34734F5194EB37A191B8AF727A80F36C4AED0D820437452AD36A81A4E2F4651FB7F8C5A3178CDF05&amp;gpos=45&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33" xr:uid="{1A1153B8-D5F9-4090-8225-9D2B26694090}"/>
    <hyperlink ref="Q131" r:id="rId8" display="https://bj.58.com/shangpu/57132091291027x.shtml?utm_source=market&amp;prd=x0NAXiR1wlSETnm4cICGegZpuhq441jhjHPL%2FnFInDc%3D&amp;houseId=3390866001305602&amp;urlParamsMap=26F6D537E2A5AFE4BB7CE73CFCEE96D25CEFD69FD8A7215024B4F607F21C32C3D2C7A6AC339016C981631E65FB112342F12FB0B837C1D3CBB28F4D3C1B259EFD34734F5194EB37A191B8AF727A80F36C4AED0D820437452AF59F5A879A5806D55896761C6E2F6934&amp;gpos=46&amp;positionType=commoninfo&amp;key=%E5%BC%A0%E5%AE%B6%E6%B9%BE&amp;filterJson=eyJLRVlfV09SRCI6W3sia2V5Ijoia2V5IiwibGFiZWwiOiLlvKDlrrbmub4iLCJ2YWwiOiLlvKDlrrbmub4ifV19&amp;jx_abtest=U1BfU0VBUkNIX0VYUF9CVVNJTkVTU19BUkVB&amp;list_type=main&amp;PGTID=0d306b35-0000-1507-cde4-df30b81b5b45&amp;ClickID=7" xr:uid="{AD8173C0-BFB5-4088-88CA-D1A0B8068A70}"/>
  </hyperlinks>
  <pageMargins left="0.7" right="0.7" top="0.75" bottom="0.75" header="0.3" footer="0.3"/>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2024年12月2日（评估专业人员实地查勘之日）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55" t="s">
        <v>1775</v>
      </c>
      <c r="Q4" s="3456"/>
      <c r="R4" s="3459" t="s">
        <v>1771</v>
      </c>
      <c r="S4" s="3460"/>
      <c r="T4" s="3459" t="s">
        <v>1772</v>
      </c>
      <c r="U4" s="3460"/>
      <c r="V4" s="3461" t="s">
        <v>1773</v>
      </c>
      <c r="W4" s="3461"/>
      <c r="X4" s="1809"/>
      <c r="Y4" s="3459" t="s">
        <v>1775</v>
      </c>
      <c r="Z4" s="3460"/>
      <c r="AA4" s="3463" t="s">
        <v>1771</v>
      </c>
      <c r="AB4" s="3463" t="s">
        <v>1772</v>
      </c>
      <c r="AC4" s="3452" t="s">
        <v>1773</v>
      </c>
    </row>
    <row r="5" spans="1:29" ht="15">
      <c r="A5" s="348"/>
      <c r="B5" s="349"/>
      <c r="C5" s="3426" t="s">
        <v>1673</v>
      </c>
      <c r="D5" s="3427"/>
      <c r="E5" s="3433" t="s">
        <v>1674</v>
      </c>
      <c r="F5" s="3434"/>
      <c r="G5" s="3426" t="s">
        <v>1675</v>
      </c>
      <c r="H5" s="3427"/>
      <c r="I5" s="3426" t="s">
        <v>1676</v>
      </c>
      <c r="J5" s="3427"/>
      <c r="K5" s="537"/>
      <c r="L5" s="2487"/>
      <c r="M5" s="2488"/>
      <c r="N5" s="2488"/>
      <c r="O5" s="2488"/>
      <c r="P5" s="3457"/>
      <c r="Q5" s="3415"/>
      <c r="R5" s="3420"/>
      <c r="S5" s="3421"/>
      <c r="T5" s="3420"/>
      <c r="U5" s="3421"/>
      <c r="V5" s="3394"/>
      <c r="W5" s="3394"/>
      <c r="X5" s="1265"/>
      <c r="Y5" s="3420"/>
      <c r="Z5" s="3421"/>
      <c r="AA5" s="3406"/>
      <c r="AB5" s="3406"/>
      <c r="AC5" s="3453"/>
    </row>
    <row r="6" spans="1:29" ht="15.75" thickBot="1">
      <c r="A6" s="350"/>
      <c r="B6" s="351"/>
      <c r="C6" s="3424" t="s">
        <v>1677</v>
      </c>
      <c r="D6" s="3425"/>
      <c r="E6" s="3431" t="s">
        <v>1677</v>
      </c>
      <c r="F6" s="3432"/>
      <c r="G6" s="3424" t="s">
        <v>1677</v>
      </c>
      <c r="H6" s="3425"/>
      <c r="I6" s="3424" t="s">
        <v>1677</v>
      </c>
      <c r="J6" s="3425"/>
      <c r="K6" s="537" t="s">
        <v>1678</v>
      </c>
      <c r="L6" s="2487"/>
      <c r="M6" s="2488"/>
      <c r="N6" s="2488"/>
      <c r="O6" s="2488"/>
      <c r="P6" s="3458"/>
      <c r="Q6" s="3417"/>
      <c r="R6" s="3420"/>
      <c r="S6" s="3421"/>
      <c r="T6" s="3422"/>
      <c r="U6" s="3423"/>
      <c r="V6" s="3394"/>
      <c r="W6" s="3394"/>
      <c r="X6" s="1265"/>
      <c r="Y6" s="3422"/>
      <c r="Z6" s="3423"/>
      <c r="AA6" s="3407"/>
      <c r="AB6" s="3407"/>
      <c r="AC6" s="3454"/>
    </row>
    <row r="7" spans="1:29" s="102" customFormat="1" ht="15.75" thickBot="1">
      <c r="A7" s="352" t="s">
        <v>1679</v>
      </c>
      <c r="B7" s="353"/>
      <c r="C7" s="354">
        <f>'数据-取费表'!B2</f>
        <v>45628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2"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2" t="s">
        <v>1683</v>
      </c>
      <c r="Q8" s="3429"/>
      <c r="R8" s="664" t="s">
        <v>14</v>
      </c>
      <c r="S8" s="665">
        <f t="shared" si="0"/>
        <v>100</v>
      </c>
      <c r="T8" s="664" t="s">
        <v>14</v>
      </c>
      <c r="U8" s="665">
        <f t="shared" si="1"/>
        <v>100</v>
      </c>
      <c r="V8" s="664" t="s">
        <v>14</v>
      </c>
      <c r="W8" s="665">
        <f t="shared" si="2"/>
        <v>100</v>
      </c>
      <c r="X8" s="666"/>
      <c r="Y8" s="3428" t="s">
        <v>1683</v>
      </c>
      <c r="Z8" s="342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4"/>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2" t="s">
        <v>1691</v>
      </c>
      <c r="Q15" s="1263" t="str">
        <f t="shared" si="6"/>
        <v>办公集聚程度</v>
      </c>
      <c r="R15" s="667" t="s">
        <v>14</v>
      </c>
      <c r="S15" s="668">
        <f t="shared" si="0"/>
        <v>100</v>
      </c>
      <c r="T15" s="667" t="s">
        <v>14</v>
      </c>
      <c r="U15" s="668">
        <f t="shared" si="1"/>
        <v>100</v>
      </c>
      <c r="V15" s="667" t="s">
        <v>14</v>
      </c>
      <c r="W15" s="668">
        <f t="shared" si="2"/>
        <v>100</v>
      </c>
      <c r="X15" s="1265"/>
      <c r="Y15" s="339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3"/>
      <c r="Q16" s="1263"/>
      <c r="R16" s="667"/>
      <c r="S16" s="668"/>
      <c r="T16" s="667"/>
      <c r="U16" s="668"/>
      <c r="V16" s="667"/>
      <c r="W16" s="668"/>
      <c r="X16" s="1265"/>
      <c r="Y16" s="339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3"/>
      <c r="Q18" s="1263"/>
      <c r="R18" s="667"/>
      <c r="S18" s="668"/>
      <c r="T18" s="667"/>
      <c r="U18" s="668"/>
      <c r="V18" s="667"/>
      <c r="W18" s="668"/>
      <c r="X18" s="1265"/>
      <c r="Y18" s="339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3"/>
      <c r="Q20" s="1263"/>
      <c r="R20" s="667"/>
      <c r="S20" s="668"/>
      <c r="T20" s="667"/>
      <c r="U20" s="668"/>
      <c r="V20" s="667"/>
      <c r="W20" s="668"/>
      <c r="X20" s="1265"/>
      <c r="Y20" s="339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3"/>
      <c r="Q22" s="1263"/>
      <c r="R22" s="667"/>
      <c r="S22" s="668"/>
      <c r="T22" s="667"/>
      <c r="U22" s="668"/>
      <c r="V22" s="667"/>
      <c r="W22" s="668"/>
      <c r="X22" s="1265"/>
      <c r="Y22" s="339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3"/>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3"/>
      <c r="Q24" s="1263"/>
      <c r="R24" s="667"/>
      <c r="S24" s="668"/>
      <c r="T24" s="667"/>
      <c r="U24" s="668"/>
      <c r="V24" s="667"/>
      <c r="W24" s="668"/>
      <c r="X24" s="1265"/>
      <c r="Y24" s="339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3"/>
      <c r="Q25" s="1263" t="str">
        <f>B25</f>
        <v>毗邻道路的类型与等级</v>
      </c>
      <c r="R25" s="667" t="s">
        <v>14</v>
      </c>
      <c r="S25" s="668">
        <f>F25</f>
        <v>100</v>
      </c>
      <c r="T25" s="667" t="s">
        <v>14</v>
      </c>
      <c r="U25" s="668">
        <f>H25</f>
        <v>100</v>
      </c>
      <c r="V25" s="667" t="s">
        <v>14</v>
      </c>
      <c r="W25" s="668">
        <f>J25</f>
        <v>100</v>
      </c>
      <c r="X25" s="1265"/>
      <c r="Y25" s="339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3"/>
      <c r="Q26" s="1263"/>
      <c r="R26" s="667"/>
      <c r="S26" s="668"/>
      <c r="T26" s="667"/>
      <c r="U26" s="668"/>
      <c r="V26" s="667"/>
      <c r="W26" s="668"/>
      <c r="X26" s="1265"/>
      <c r="Y26" s="339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3"/>
      <c r="Q27" s="1263" t="str">
        <f t="shared" ref="Q27:Q47" si="11">B27</f>
        <v>楼层</v>
      </c>
      <c r="R27" s="667" t="s">
        <v>14</v>
      </c>
      <c r="S27" s="668">
        <f>F27</f>
        <v>100</v>
      </c>
      <c r="T27" s="667" t="s">
        <v>14</v>
      </c>
      <c r="U27" s="668">
        <f>H27</f>
        <v>100</v>
      </c>
      <c r="V27" s="667" t="s">
        <v>14</v>
      </c>
      <c r="W27" s="668">
        <f>J27</f>
        <v>100</v>
      </c>
      <c r="X27" s="1265"/>
      <c r="Y27" s="339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3"/>
      <c r="Q28" s="530" t="str">
        <f t="shared" si="11"/>
        <v>朝向</v>
      </c>
      <c r="R28" s="664" t="s">
        <v>14</v>
      </c>
      <c r="S28" s="665">
        <f>F28</f>
        <v>100</v>
      </c>
      <c r="T28" s="664" t="s">
        <v>14</v>
      </c>
      <c r="U28" s="665">
        <f>H28</f>
        <v>100</v>
      </c>
      <c r="V28" s="664" t="s">
        <v>14</v>
      </c>
      <c r="W28" s="665">
        <f>J28</f>
        <v>100</v>
      </c>
      <c r="X28" s="666"/>
      <c r="Y28" s="339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39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3"/>
      <c r="Q32" s="1263">
        <f t="shared" si="11"/>
        <v>111</v>
      </c>
      <c r="R32" s="667" t="s">
        <v>14</v>
      </c>
      <c r="S32" s="668">
        <f t="shared" si="12"/>
        <v>100</v>
      </c>
      <c r="T32" s="667" t="s">
        <v>14</v>
      </c>
      <c r="U32" s="668">
        <f t="shared" si="13"/>
        <v>100</v>
      </c>
      <c r="V32" s="667" t="s">
        <v>14</v>
      </c>
      <c r="W32" s="668">
        <f t="shared" si="14"/>
        <v>100</v>
      </c>
      <c r="X32" s="1265"/>
      <c r="Y32" s="339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7" t="s">
        <v>1696</v>
      </c>
      <c r="Q33" s="1263" t="str">
        <f t="shared" si="11"/>
        <v>建筑类型</v>
      </c>
      <c r="R33" s="667" t="s">
        <v>14</v>
      </c>
      <c r="S33" s="668">
        <f t="shared" si="12"/>
        <v>100</v>
      </c>
      <c r="T33" s="667" t="s">
        <v>14</v>
      </c>
      <c r="U33" s="668">
        <f t="shared" si="13"/>
        <v>100</v>
      </c>
      <c r="V33" s="667" t="s">
        <v>14</v>
      </c>
      <c r="W33" s="668">
        <f t="shared" si="14"/>
        <v>100</v>
      </c>
      <c r="X33" s="1265"/>
      <c r="Y33" s="340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8"/>
      <c r="Q34" s="531" t="str">
        <f t="shared" si="11"/>
        <v>项目建筑规模</v>
      </c>
      <c r="R34" s="669" t="s">
        <v>14</v>
      </c>
      <c r="S34" s="670" t="e">
        <f t="shared" si="12"/>
        <v>#N/A</v>
      </c>
      <c r="T34" s="669" t="s">
        <v>14</v>
      </c>
      <c r="U34" s="670" t="e">
        <f t="shared" si="13"/>
        <v>#N/A</v>
      </c>
      <c r="V34" s="669" t="s">
        <v>14</v>
      </c>
      <c r="W34" s="670" t="e">
        <f t="shared" si="14"/>
        <v>#N/A</v>
      </c>
      <c r="X34" s="671"/>
      <c r="Y34" s="340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8"/>
      <c r="Q35" s="1263" t="str">
        <f t="shared" si="11"/>
        <v>建筑结构</v>
      </c>
      <c r="R35" s="667" t="s">
        <v>14</v>
      </c>
      <c r="S35" s="668">
        <f t="shared" si="12"/>
        <v>100</v>
      </c>
      <c r="T35" s="667" t="s">
        <v>14</v>
      </c>
      <c r="U35" s="668">
        <f t="shared" si="13"/>
        <v>100</v>
      </c>
      <c r="V35" s="667" t="s">
        <v>14</v>
      </c>
      <c r="W35" s="668">
        <f t="shared" si="14"/>
        <v>100</v>
      </c>
      <c r="X35" s="1265"/>
      <c r="Y35" s="340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8"/>
      <c r="Q36" s="1263" t="str">
        <f t="shared" si="11"/>
        <v>公共部分装修</v>
      </c>
      <c r="R36" s="667" t="s">
        <v>14</v>
      </c>
      <c r="S36" s="668">
        <f t="shared" si="12"/>
        <v>100</v>
      </c>
      <c r="T36" s="667" t="s">
        <v>14</v>
      </c>
      <c r="U36" s="668">
        <f t="shared" si="13"/>
        <v>100</v>
      </c>
      <c r="V36" s="667" t="s">
        <v>14</v>
      </c>
      <c r="W36" s="668">
        <f t="shared" si="14"/>
        <v>100</v>
      </c>
      <c r="X36" s="1265"/>
      <c r="Y36" s="340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8"/>
      <c r="Q37" s="1263" t="str">
        <f t="shared" si="11"/>
        <v>成新度</v>
      </c>
      <c r="R37" s="667" t="s">
        <v>14</v>
      </c>
      <c r="S37" s="668" t="e">
        <f t="shared" si="12"/>
        <v>#N/A</v>
      </c>
      <c r="T37" s="667" t="s">
        <v>14</v>
      </c>
      <c r="U37" s="668" t="e">
        <f t="shared" si="13"/>
        <v>#N/A</v>
      </c>
      <c r="V37" s="667" t="s">
        <v>14</v>
      </c>
      <c r="W37" s="668" t="e">
        <f t="shared" si="14"/>
        <v>#N/A</v>
      </c>
      <c r="X37" s="1265"/>
      <c r="Y37" s="340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8" t="s">
        <v>1696</v>
      </c>
      <c r="Q39" s="1263" t="str">
        <f t="shared" si="11"/>
        <v>物业管理</v>
      </c>
      <c r="R39" s="667" t="s">
        <v>14</v>
      </c>
      <c r="S39" s="668">
        <f t="shared" si="12"/>
        <v>100</v>
      </c>
      <c r="T39" s="667" t="s">
        <v>14</v>
      </c>
      <c r="U39" s="668">
        <f t="shared" si="13"/>
        <v>100</v>
      </c>
      <c r="V39" s="667" t="s">
        <v>14</v>
      </c>
      <c r="W39" s="668">
        <f t="shared" si="14"/>
        <v>100</v>
      </c>
      <c r="X39" s="1265"/>
      <c r="Y39" s="340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8"/>
      <c r="Q40" s="1263" t="str">
        <f t="shared" si="11"/>
        <v>市政基础设施</v>
      </c>
      <c r="R40" s="667" t="s">
        <v>14</v>
      </c>
      <c r="S40" s="668">
        <f t="shared" si="12"/>
        <v>100</v>
      </c>
      <c r="T40" s="667" t="s">
        <v>14</v>
      </c>
      <c r="U40" s="668">
        <f t="shared" si="13"/>
        <v>100</v>
      </c>
      <c r="V40" s="667" t="s">
        <v>14</v>
      </c>
      <c r="W40" s="668">
        <f t="shared" si="14"/>
        <v>100</v>
      </c>
      <c r="X40" s="1265"/>
      <c r="Y40" s="340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8"/>
      <c r="Q41" s="1263" t="str">
        <f t="shared" si="11"/>
        <v>层高</v>
      </c>
      <c r="R41" s="667" t="s">
        <v>14</v>
      </c>
      <c r="S41" s="668">
        <f t="shared" si="12"/>
        <v>100</v>
      </c>
      <c r="T41" s="667" t="s">
        <v>14</v>
      </c>
      <c r="U41" s="668">
        <f t="shared" si="13"/>
        <v>100</v>
      </c>
      <c r="V41" s="667" t="s">
        <v>14</v>
      </c>
      <c r="W41" s="668">
        <f t="shared" si="14"/>
        <v>100</v>
      </c>
      <c r="X41" s="1265"/>
      <c r="Y41" s="340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8"/>
      <c r="Q43" s="1263" t="str">
        <f t="shared" si="11"/>
        <v>内部装修</v>
      </c>
      <c r="R43" s="667" t="s">
        <v>14</v>
      </c>
      <c r="S43" s="668">
        <f t="shared" si="12"/>
        <v>100</v>
      </c>
      <c r="T43" s="667" t="s">
        <v>14</v>
      </c>
      <c r="U43" s="668">
        <f t="shared" si="13"/>
        <v>100</v>
      </c>
      <c r="V43" s="667" t="s">
        <v>14</v>
      </c>
      <c r="W43" s="668">
        <f t="shared" si="14"/>
        <v>100</v>
      </c>
      <c r="X43" s="1265"/>
      <c r="Y43" s="340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8"/>
      <c r="Q44" s="1263" t="str">
        <f t="shared" si="11"/>
        <v>内部装修维护情况</v>
      </c>
      <c r="R44" s="667" t="s">
        <v>14</v>
      </c>
      <c r="S44" s="668">
        <f t="shared" si="12"/>
        <v>100</v>
      </c>
      <c r="T44" s="667" t="s">
        <v>14</v>
      </c>
      <c r="U44" s="668">
        <f t="shared" si="13"/>
        <v>100</v>
      </c>
      <c r="V44" s="667" t="s">
        <v>14</v>
      </c>
      <c r="W44" s="668">
        <f t="shared" si="14"/>
        <v>100</v>
      </c>
      <c r="X44" s="1265"/>
      <c r="Y44" s="340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9"/>
      <c r="Q47" s="1263">
        <f t="shared" si="11"/>
        <v>111</v>
      </c>
      <c r="R47" s="667" t="s">
        <v>14</v>
      </c>
      <c r="S47" s="668">
        <f t="shared" si="12"/>
        <v>100</v>
      </c>
      <c r="T47" s="667" t="s">
        <v>14</v>
      </c>
      <c r="U47" s="668">
        <f t="shared" si="13"/>
        <v>100</v>
      </c>
      <c r="V47" s="667" t="s">
        <v>14</v>
      </c>
      <c r="W47" s="668">
        <f t="shared" si="14"/>
        <v>100</v>
      </c>
      <c r="X47" s="1265"/>
      <c r="Y47" s="340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4" t="str">
        <f>A48</f>
        <v>成交单价（元/平方米）</v>
      </c>
      <c r="Q48" s="3393"/>
      <c r="R48" s="3394">
        <f>E48</f>
        <v>0</v>
      </c>
      <c r="S48" s="3394"/>
      <c r="T48" s="3394">
        <f>G48</f>
        <v>0</v>
      </c>
      <c r="U48" s="3394"/>
      <c r="V48" s="3394">
        <f>I48</f>
        <v>0</v>
      </c>
      <c r="W48" s="339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4"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860"/>
      <c r="M5" s="861"/>
      <c r="N5" s="861"/>
      <c r="O5" s="861"/>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860"/>
      <c r="M6" s="861"/>
      <c r="N6" s="861"/>
      <c r="O6" s="861"/>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SUMIF(52:52,YEAR(E7)&amp;"-"&amp;MONTH(E7),53:53)</f>
        <v>0</v>
      </c>
      <c r="G7" s="356"/>
      <c r="H7" s="355">
        <f>SUMIF(52:52,YEAR(G7)&amp;"-"&amp;MONTH(G7),53:53)</f>
        <v>0</v>
      </c>
      <c r="I7" s="356"/>
      <c r="J7" s="355">
        <f>SUMIF(52:52,YEAR(I7)&amp;"-"&amp;MONTH(I7),53:53)</f>
        <v>0</v>
      </c>
      <c r="K7" s="38"/>
      <c r="L7" s="862"/>
      <c r="M7" s="863"/>
      <c r="N7" s="863"/>
      <c r="O7" s="863"/>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8" t="s">
        <v>1683</v>
      </c>
      <c r="Q8" s="3429"/>
      <c r="R8" s="664" t="s">
        <v>14</v>
      </c>
      <c r="S8" s="665">
        <f t="shared" si="0"/>
        <v>100</v>
      </c>
      <c r="T8" s="664" t="s">
        <v>14</v>
      </c>
      <c r="U8" s="665">
        <f t="shared" si="1"/>
        <v>100</v>
      </c>
      <c r="V8" s="664" t="s">
        <v>14</v>
      </c>
      <c r="W8" s="665">
        <f t="shared" si="2"/>
        <v>100</v>
      </c>
      <c r="X8" s="666"/>
      <c r="Y8" s="3428" t="s">
        <v>1683</v>
      </c>
      <c r="Z8" s="342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6"/>
      <c r="Q16" s="1263"/>
      <c r="R16" s="667"/>
      <c r="S16" s="668"/>
      <c r="T16" s="667"/>
      <c r="U16" s="668"/>
      <c r="V16" s="667"/>
      <c r="W16" s="668"/>
      <c r="X16" s="1265"/>
      <c r="Y16" s="339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6"/>
      <c r="Q18" s="1263"/>
      <c r="R18" s="667"/>
      <c r="S18" s="668"/>
      <c r="T18" s="667"/>
      <c r="U18" s="668"/>
      <c r="V18" s="667"/>
      <c r="W18" s="668"/>
      <c r="X18" s="1265"/>
      <c r="Y18" s="339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6"/>
      <c r="Q20" s="1263"/>
      <c r="R20" s="667"/>
      <c r="S20" s="668"/>
      <c r="T20" s="667"/>
      <c r="U20" s="668"/>
      <c r="V20" s="667"/>
      <c r="W20" s="668"/>
      <c r="X20" s="1265"/>
      <c r="Y20" s="339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6"/>
      <c r="Q22" s="1263"/>
      <c r="R22" s="667"/>
      <c r="S22" s="668"/>
      <c r="T22" s="667"/>
      <c r="U22" s="668"/>
      <c r="V22" s="667"/>
      <c r="W22" s="668"/>
      <c r="X22" s="1265"/>
      <c r="Y22" s="339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6"/>
      <c r="Q24" s="1263"/>
      <c r="R24" s="667"/>
      <c r="S24" s="668"/>
      <c r="T24" s="667"/>
      <c r="U24" s="668"/>
      <c r="V24" s="667"/>
      <c r="W24" s="668"/>
      <c r="X24" s="1265"/>
      <c r="Y24" s="339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6"/>
      <c r="Q25" s="1263">
        <f>B25</f>
        <v>111</v>
      </c>
      <c r="R25" s="667" t="s">
        <v>14</v>
      </c>
      <c r="S25" s="668">
        <f>F25</f>
        <v>100</v>
      </c>
      <c r="T25" s="667" t="s">
        <v>14</v>
      </c>
      <c r="U25" s="668">
        <f>H25</f>
        <v>100</v>
      </c>
      <c r="V25" s="667" t="s">
        <v>14</v>
      </c>
      <c r="W25" s="668">
        <f>J25</f>
        <v>100</v>
      </c>
      <c r="X25" s="1265"/>
      <c r="Y25" s="339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6"/>
      <c r="Q26" s="1263">
        <f t="shared" ref="Q26:Q40" si="11">B26</f>
        <v>111</v>
      </c>
      <c r="R26" s="667" t="s">
        <v>14</v>
      </c>
      <c r="S26" s="668">
        <f>F26</f>
        <v>100</v>
      </c>
      <c r="T26" s="667" t="s">
        <v>14</v>
      </c>
      <c r="U26" s="668">
        <f>H26</f>
        <v>100</v>
      </c>
      <c r="V26" s="667" t="s">
        <v>14</v>
      </c>
      <c r="W26" s="668">
        <f>J26</f>
        <v>100</v>
      </c>
      <c r="X26" s="1265"/>
      <c r="Y26" s="339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6"/>
      <c r="Q27" s="530">
        <f t="shared" si="11"/>
        <v>111</v>
      </c>
      <c r="R27" s="664" t="s">
        <v>14</v>
      </c>
      <c r="S27" s="665">
        <f>F27</f>
        <v>100</v>
      </c>
      <c r="T27" s="664" t="s">
        <v>14</v>
      </c>
      <c r="U27" s="665">
        <f>H27</f>
        <v>100</v>
      </c>
      <c r="V27" s="664" t="s">
        <v>14</v>
      </c>
      <c r="W27" s="665">
        <f>J27</f>
        <v>100</v>
      </c>
      <c r="X27" s="666"/>
      <c r="Y27" s="339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6"/>
      <c r="Q28" s="1263">
        <f t="shared" si="11"/>
        <v>111</v>
      </c>
      <c r="R28" s="667" t="s">
        <v>14</v>
      </c>
      <c r="S28" s="668">
        <f t="shared" ref="S28:S40" si="12">F28</f>
        <v>100</v>
      </c>
      <c r="T28" s="667" t="s">
        <v>14</v>
      </c>
      <c r="U28" s="668">
        <f t="shared" ref="U28:U40" si="13">H28</f>
        <v>100</v>
      </c>
      <c r="V28" s="667" t="s">
        <v>14</v>
      </c>
      <c r="W28" s="668">
        <f t="shared" ref="W28:W40" si="14">J28</f>
        <v>100</v>
      </c>
      <c r="X28" s="1265"/>
      <c r="Y28" s="339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4" t="s">
        <v>1696</v>
      </c>
      <c r="Q29" s="1263" t="str">
        <f t="shared" si="11"/>
        <v>建筑类型</v>
      </c>
      <c r="R29" s="667" t="s">
        <v>14</v>
      </c>
      <c r="S29" s="668">
        <f t="shared" si="12"/>
        <v>100</v>
      </c>
      <c r="T29" s="667" t="s">
        <v>14</v>
      </c>
      <c r="U29" s="668">
        <f t="shared" si="13"/>
        <v>100</v>
      </c>
      <c r="V29" s="667" t="s">
        <v>14</v>
      </c>
      <c r="W29" s="668">
        <f t="shared" si="14"/>
        <v>100</v>
      </c>
      <c r="X29" s="1265"/>
      <c r="Y29" s="340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0"/>
      <c r="Q31" s="1263" t="str">
        <f t="shared" si="11"/>
        <v>建筑结构</v>
      </c>
      <c r="R31" s="667" t="s">
        <v>14</v>
      </c>
      <c r="S31" s="668">
        <f t="shared" si="12"/>
        <v>100</v>
      </c>
      <c r="T31" s="667" t="s">
        <v>14</v>
      </c>
      <c r="U31" s="668">
        <f t="shared" si="13"/>
        <v>100</v>
      </c>
      <c r="V31" s="667" t="s">
        <v>14</v>
      </c>
      <c r="W31" s="668">
        <f t="shared" si="14"/>
        <v>100</v>
      </c>
      <c r="X31" s="1265"/>
      <c r="Y31" s="340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0"/>
      <c r="Q32" s="1263" t="str">
        <f t="shared" si="11"/>
        <v>公共部分装修</v>
      </c>
      <c r="R32" s="667" t="s">
        <v>14</v>
      </c>
      <c r="S32" s="668">
        <f t="shared" si="12"/>
        <v>100</v>
      </c>
      <c r="T32" s="667" t="s">
        <v>14</v>
      </c>
      <c r="U32" s="668">
        <f t="shared" si="13"/>
        <v>100</v>
      </c>
      <c r="V32" s="667" t="s">
        <v>14</v>
      </c>
      <c r="W32" s="668">
        <f t="shared" si="14"/>
        <v>100</v>
      </c>
      <c r="X32" s="1265"/>
      <c r="Y32" s="340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0"/>
      <c r="Q33" s="1263" t="str">
        <f t="shared" si="11"/>
        <v>成新度</v>
      </c>
      <c r="R33" s="667" t="s">
        <v>14</v>
      </c>
      <c r="S33" s="668" t="e">
        <f t="shared" si="12"/>
        <v>#N/A</v>
      </c>
      <c r="T33" s="667" t="s">
        <v>14</v>
      </c>
      <c r="U33" s="668" t="e">
        <f t="shared" si="13"/>
        <v>#N/A</v>
      </c>
      <c r="V33" s="667" t="s">
        <v>14</v>
      </c>
      <c r="W33" s="668" t="e">
        <f t="shared" si="14"/>
        <v>#N/A</v>
      </c>
      <c r="X33" s="1265"/>
      <c r="Y33" s="340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0" t="s">
        <v>1696</v>
      </c>
      <c r="Q35" s="1263" t="str">
        <f t="shared" si="11"/>
        <v>市政基础设施</v>
      </c>
      <c r="R35" s="667" t="s">
        <v>14</v>
      </c>
      <c r="S35" s="668">
        <f t="shared" si="12"/>
        <v>100</v>
      </c>
      <c r="T35" s="667" t="s">
        <v>14</v>
      </c>
      <c r="U35" s="668">
        <f t="shared" si="13"/>
        <v>100</v>
      </c>
      <c r="V35" s="667" t="s">
        <v>14</v>
      </c>
      <c r="W35" s="668">
        <f t="shared" si="14"/>
        <v>100</v>
      </c>
      <c r="X35" s="1265"/>
      <c r="Y35" s="340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0"/>
      <c r="Q36" s="1263" t="str">
        <f t="shared" si="11"/>
        <v>内部装修</v>
      </c>
      <c r="R36" s="667" t="s">
        <v>14</v>
      </c>
      <c r="S36" s="668">
        <f t="shared" si="12"/>
        <v>100</v>
      </c>
      <c r="T36" s="667" t="s">
        <v>14</v>
      </c>
      <c r="U36" s="668">
        <f t="shared" si="13"/>
        <v>100</v>
      </c>
      <c r="V36" s="667" t="s">
        <v>14</v>
      </c>
      <c r="W36" s="668">
        <f t="shared" si="14"/>
        <v>100</v>
      </c>
      <c r="X36" s="1265"/>
      <c r="Y36" s="340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0"/>
      <c r="Q37" s="1263" t="str">
        <f t="shared" si="11"/>
        <v>内部装修状况</v>
      </c>
      <c r="R37" s="667" t="s">
        <v>14</v>
      </c>
      <c r="S37" s="668">
        <f t="shared" si="12"/>
        <v>100</v>
      </c>
      <c r="T37" s="667" t="s">
        <v>14</v>
      </c>
      <c r="U37" s="668">
        <f t="shared" si="13"/>
        <v>100</v>
      </c>
      <c r="V37" s="667" t="s">
        <v>14</v>
      </c>
      <c r="W37" s="668">
        <f t="shared" si="14"/>
        <v>100</v>
      </c>
      <c r="X37" s="1265"/>
      <c r="Y37" s="340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0"/>
      <c r="Q39" s="1263">
        <f t="shared" si="11"/>
        <v>111</v>
      </c>
      <c r="R39" s="667" t="s">
        <v>14</v>
      </c>
      <c r="S39" s="668">
        <f t="shared" si="12"/>
        <v>100</v>
      </c>
      <c r="T39" s="667" t="s">
        <v>14</v>
      </c>
      <c r="U39" s="668">
        <f t="shared" si="13"/>
        <v>100</v>
      </c>
      <c r="V39" s="667" t="s">
        <v>14</v>
      </c>
      <c r="W39" s="668">
        <f t="shared" si="14"/>
        <v>100</v>
      </c>
      <c r="X39" s="1265"/>
      <c r="Y39" s="340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1"/>
      <c r="Q40" s="1263">
        <f t="shared" si="11"/>
        <v>111</v>
      </c>
      <c r="R40" s="667" t="s">
        <v>14</v>
      </c>
      <c r="S40" s="668">
        <f t="shared" si="12"/>
        <v>100</v>
      </c>
      <c r="T40" s="667" t="s">
        <v>14</v>
      </c>
      <c r="U40" s="668">
        <f t="shared" si="13"/>
        <v>100</v>
      </c>
      <c r="V40" s="667" t="s">
        <v>14</v>
      </c>
      <c r="W40" s="668">
        <f t="shared" si="14"/>
        <v>100</v>
      </c>
      <c r="X40" s="1265"/>
      <c r="Y40" s="340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3" t="str">
        <f>A41</f>
        <v>成交单价（元/平方米）</v>
      </c>
      <c r="Q41" s="3393"/>
      <c r="R41" s="3394">
        <f>E41</f>
        <v>0</v>
      </c>
      <c r="S41" s="3394"/>
      <c r="T41" s="3394">
        <f>G41</f>
        <v>0</v>
      </c>
      <c r="U41" s="3394"/>
      <c r="V41" s="3394">
        <f>I41</f>
        <v>0</v>
      </c>
      <c r="W41" s="339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7"/>
      <c r="M5" s="2488"/>
      <c r="N5" s="2488"/>
      <c r="O5" s="2488"/>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7"/>
      <c r="M6" s="2488"/>
      <c r="N6" s="2488"/>
      <c r="O6" s="2488"/>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8" t="s">
        <v>1683</v>
      </c>
      <c r="Q8" s="3429"/>
      <c r="R8" s="664" t="s">
        <v>14</v>
      </c>
      <c r="S8" s="665">
        <f t="shared" si="0"/>
        <v>100</v>
      </c>
      <c r="T8" s="664" t="s">
        <v>14</v>
      </c>
      <c r="U8" s="665">
        <f t="shared" si="1"/>
        <v>100</v>
      </c>
      <c r="V8" s="664" t="s">
        <v>14</v>
      </c>
      <c r="W8" s="665">
        <f t="shared" si="2"/>
        <v>100</v>
      </c>
      <c r="X8" s="666"/>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6"/>
      <c r="Q15" s="1263"/>
      <c r="R15" s="667"/>
      <c r="S15" s="668"/>
      <c r="T15" s="667"/>
      <c r="U15" s="668"/>
      <c r="V15" s="667"/>
      <c r="W15" s="668"/>
      <c r="X15" s="1265"/>
      <c r="Y15" s="339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6"/>
      <c r="Q17" s="1263"/>
      <c r="R17" s="667"/>
      <c r="S17" s="668"/>
      <c r="T17" s="667"/>
      <c r="U17" s="668"/>
      <c r="V17" s="667"/>
      <c r="W17" s="668"/>
      <c r="X17" s="1265"/>
      <c r="Y17" s="339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6"/>
      <c r="Q19" s="1263"/>
      <c r="R19" s="667"/>
      <c r="S19" s="668"/>
      <c r="T19" s="667"/>
      <c r="U19" s="668"/>
      <c r="V19" s="667"/>
      <c r="W19" s="668"/>
      <c r="X19" s="1265"/>
      <c r="Y19" s="339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6"/>
      <c r="Q21" s="1263"/>
      <c r="R21" s="667"/>
      <c r="S21" s="668"/>
      <c r="T21" s="667"/>
      <c r="U21" s="668"/>
      <c r="V21" s="667"/>
      <c r="W21" s="668"/>
      <c r="X21" s="1265"/>
      <c r="Y21" s="339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6"/>
      <c r="Q24" s="1263">
        <f t="shared" ref="Q24:Q36"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0"/>
      <c r="Q28" s="1263" t="str">
        <f t="shared" si="11"/>
        <v>公共部分装修</v>
      </c>
      <c r="R28" s="667" t="s">
        <v>14</v>
      </c>
      <c r="S28" s="668">
        <f t="shared" si="12"/>
        <v>100</v>
      </c>
      <c r="T28" s="667" t="s">
        <v>14</v>
      </c>
      <c r="U28" s="668">
        <f t="shared" si="13"/>
        <v>100</v>
      </c>
      <c r="V28" s="667" t="s">
        <v>14</v>
      </c>
      <c r="W28" s="668">
        <f t="shared" si="14"/>
        <v>100</v>
      </c>
      <c r="X28" s="1265"/>
      <c r="Y28" s="340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0"/>
      <c r="Q29" s="1263" t="str">
        <f t="shared" si="11"/>
        <v>成新率</v>
      </c>
      <c r="R29" s="667" t="s">
        <v>14</v>
      </c>
      <c r="S29" s="668" t="e">
        <f t="shared" si="12"/>
        <v>#N/A</v>
      </c>
      <c r="T29" s="667" t="s">
        <v>14</v>
      </c>
      <c r="U29" s="668" t="e">
        <f t="shared" si="13"/>
        <v>#N/A</v>
      </c>
      <c r="V29" s="667" t="s">
        <v>14</v>
      </c>
      <c r="W29" s="668" t="e">
        <f t="shared" si="14"/>
        <v>#N/A</v>
      </c>
      <c r="X29" s="1265"/>
      <c r="Y29" s="340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0"/>
      <c r="Q30" s="1263" t="str">
        <f t="shared" si="11"/>
        <v>物业等级</v>
      </c>
      <c r="R30" s="667" t="s">
        <v>14</v>
      </c>
      <c r="S30" s="668">
        <f t="shared" si="12"/>
        <v>100</v>
      </c>
      <c r="T30" s="667" t="s">
        <v>14</v>
      </c>
      <c r="U30" s="668">
        <f t="shared" si="13"/>
        <v>100</v>
      </c>
      <c r="V30" s="667" t="s">
        <v>14</v>
      </c>
      <c r="W30" s="668">
        <f t="shared" si="14"/>
        <v>100</v>
      </c>
      <c r="X30" s="1265"/>
      <c r="Y30" s="340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0" t="s">
        <v>1696</v>
      </c>
      <c r="Q32" s="1263" t="str">
        <f t="shared" si="11"/>
        <v>车位类型</v>
      </c>
      <c r="R32" s="667" t="s">
        <v>14</v>
      </c>
      <c r="S32" s="668">
        <f t="shared" si="12"/>
        <v>100</v>
      </c>
      <c r="T32" s="667" t="s">
        <v>14</v>
      </c>
      <c r="U32" s="668">
        <f t="shared" si="13"/>
        <v>100</v>
      </c>
      <c r="V32" s="667" t="s">
        <v>14</v>
      </c>
      <c r="W32" s="668">
        <f t="shared" si="14"/>
        <v>100</v>
      </c>
      <c r="X32" s="1265"/>
      <c r="Y32" s="340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0"/>
      <c r="Q33" s="1263" t="str">
        <f t="shared" si="11"/>
        <v>是否直接入户</v>
      </c>
      <c r="R33" s="667" t="s">
        <v>14</v>
      </c>
      <c r="S33" s="668">
        <f t="shared" si="12"/>
        <v>100</v>
      </c>
      <c r="T33" s="667" t="s">
        <v>14</v>
      </c>
      <c r="U33" s="668">
        <f t="shared" si="13"/>
        <v>100</v>
      </c>
      <c r="V33" s="667" t="s">
        <v>14</v>
      </c>
      <c r="W33" s="668">
        <f t="shared" si="14"/>
        <v>100</v>
      </c>
      <c r="X33" s="1265"/>
      <c r="Y33" s="340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0"/>
      <c r="Q36" s="1263">
        <f t="shared" si="11"/>
        <v>111</v>
      </c>
      <c r="R36" s="667" t="s">
        <v>14</v>
      </c>
      <c r="S36" s="668">
        <f t="shared" si="12"/>
        <v>100</v>
      </c>
      <c r="T36" s="667" t="s">
        <v>14</v>
      </c>
      <c r="U36" s="668">
        <f t="shared" si="13"/>
        <v>100</v>
      </c>
      <c r="V36" s="667" t="s">
        <v>14</v>
      </c>
      <c r="W36" s="668">
        <f t="shared" si="14"/>
        <v>100</v>
      </c>
      <c r="X36" s="1265"/>
      <c r="Y36" s="3400"/>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5"/>
      <c r="M37" s="2488"/>
      <c r="N37" s="2488"/>
      <c r="O37" s="2488"/>
      <c r="P37" s="3393" t="str">
        <f>A37</f>
        <v>成交单价</v>
      </c>
      <c r="Q37" s="3393"/>
      <c r="R37" s="3394">
        <f>E37</f>
        <v>0</v>
      </c>
      <c r="S37" s="3394"/>
      <c r="T37" s="3394">
        <f>G37</f>
        <v>0</v>
      </c>
      <c r="U37" s="3394"/>
      <c r="V37" s="3394">
        <f>I37</f>
        <v>0</v>
      </c>
      <c r="W37" s="339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0" t="str">
        <f>A39</f>
        <v>估价对象XX用房的比较价值（楼面单价，元/平方米）</v>
      </c>
      <c r="Q39" s="3391"/>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7"/>
      <c r="M5" s="2488"/>
      <c r="N5" s="2488"/>
      <c r="O5" s="2488"/>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7"/>
      <c r="M6" s="2488"/>
      <c r="N6" s="2488"/>
      <c r="O6" s="2488"/>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8" t="s">
        <v>1683</v>
      </c>
      <c r="Q8" s="3429"/>
      <c r="R8" s="664" t="s">
        <v>14</v>
      </c>
      <c r="S8" s="665">
        <f t="shared" si="0"/>
        <v>100</v>
      </c>
      <c r="T8" s="664" t="s">
        <v>14</v>
      </c>
      <c r="U8" s="665">
        <f t="shared" si="1"/>
        <v>100</v>
      </c>
      <c r="V8" s="664" t="s">
        <v>14</v>
      </c>
      <c r="W8" s="665">
        <f t="shared" si="2"/>
        <v>100</v>
      </c>
      <c r="X8" s="666"/>
      <c r="Y8" s="3428" t="s">
        <v>1683</v>
      </c>
      <c r="Z8" s="342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6"/>
      <c r="Q15" s="1263"/>
      <c r="R15" s="667"/>
      <c r="S15" s="668"/>
      <c r="T15" s="667"/>
      <c r="U15" s="668"/>
      <c r="V15" s="667"/>
      <c r="W15" s="668"/>
      <c r="X15" s="1265"/>
      <c r="Y15" s="339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6"/>
      <c r="Q17" s="1263"/>
      <c r="R17" s="667"/>
      <c r="S17" s="668"/>
      <c r="T17" s="667"/>
      <c r="U17" s="668"/>
      <c r="V17" s="667"/>
      <c r="W17" s="668"/>
      <c r="X17" s="1265"/>
      <c r="Y17" s="339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6"/>
      <c r="Q19" s="1263"/>
      <c r="R19" s="667"/>
      <c r="S19" s="668"/>
      <c r="T19" s="667"/>
      <c r="U19" s="668"/>
      <c r="V19" s="667"/>
      <c r="W19" s="668"/>
      <c r="X19" s="1265"/>
      <c r="Y19" s="339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6"/>
      <c r="Q21" s="1263"/>
      <c r="R21" s="667"/>
      <c r="S21" s="668"/>
      <c r="T21" s="667"/>
      <c r="U21" s="668"/>
      <c r="V21" s="667"/>
      <c r="W21" s="668"/>
      <c r="X21" s="1265"/>
      <c r="Y21" s="339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6"/>
      <c r="Q24" s="1263">
        <f t="shared" ref="Q24:Q34"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0"/>
      <c r="Q28" s="1263" t="str">
        <f t="shared" si="11"/>
        <v>物业等级</v>
      </c>
      <c r="R28" s="667" t="s">
        <v>14</v>
      </c>
      <c r="S28" s="668">
        <f t="shared" si="12"/>
        <v>100</v>
      </c>
      <c r="T28" s="667" t="s">
        <v>14</v>
      </c>
      <c r="U28" s="668">
        <f t="shared" si="13"/>
        <v>100</v>
      </c>
      <c r="V28" s="667" t="s">
        <v>14</v>
      </c>
      <c r="W28" s="668">
        <f t="shared" si="14"/>
        <v>100</v>
      </c>
      <c r="X28" s="1265"/>
      <c r="Y28" s="340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0"/>
      <c r="Q29" s="1263" t="str">
        <f t="shared" si="11"/>
        <v>有无电梯</v>
      </c>
      <c r="R29" s="667" t="s">
        <v>14</v>
      </c>
      <c r="S29" s="668">
        <f t="shared" si="12"/>
        <v>100</v>
      </c>
      <c r="T29" s="667" t="s">
        <v>14</v>
      </c>
      <c r="U29" s="668">
        <f t="shared" si="13"/>
        <v>100</v>
      </c>
      <c r="V29" s="667" t="s">
        <v>14</v>
      </c>
      <c r="W29" s="668">
        <f t="shared" si="14"/>
        <v>100</v>
      </c>
      <c r="X29" s="1265"/>
      <c r="Y29" s="340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0"/>
      <c r="Q30" s="1263" t="str">
        <f t="shared" si="11"/>
        <v>建筑面积</v>
      </c>
      <c r="R30" s="667" t="s">
        <v>14</v>
      </c>
      <c r="S30" s="668" t="e">
        <f t="shared" si="12"/>
        <v>#N/A</v>
      </c>
      <c r="T30" s="667" t="s">
        <v>14</v>
      </c>
      <c r="U30" s="668" t="e">
        <f t="shared" si="13"/>
        <v>#N/A</v>
      </c>
      <c r="V30" s="667" t="s">
        <v>14</v>
      </c>
      <c r="W30" s="668" t="e">
        <f t="shared" si="14"/>
        <v>#N/A</v>
      </c>
      <c r="X30" s="1265"/>
      <c r="Y30" s="340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0" t="s">
        <v>1696</v>
      </c>
      <c r="Q32" s="1263">
        <f t="shared" si="11"/>
        <v>111</v>
      </c>
      <c r="R32" s="667" t="s">
        <v>14</v>
      </c>
      <c r="S32" s="668">
        <f t="shared" si="12"/>
        <v>100</v>
      </c>
      <c r="T32" s="667" t="s">
        <v>14</v>
      </c>
      <c r="U32" s="668">
        <f t="shared" si="13"/>
        <v>100</v>
      </c>
      <c r="V32" s="667" t="s">
        <v>14</v>
      </c>
      <c r="W32" s="668">
        <f t="shared" si="14"/>
        <v>100</v>
      </c>
      <c r="X32" s="1265"/>
      <c r="Y32" s="340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0"/>
      <c r="Q33" s="1263">
        <f t="shared" si="11"/>
        <v>111</v>
      </c>
      <c r="R33" s="667" t="s">
        <v>14</v>
      </c>
      <c r="S33" s="668">
        <f t="shared" si="12"/>
        <v>100</v>
      </c>
      <c r="T33" s="667" t="s">
        <v>14</v>
      </c>
      <c r="U33" s="668">
        <f t="shared" si="13"/>
        <v>100</v>
      </c>
      <c r="V33" s="667" t="s">
        <v>14</v>
      </c>
      <c r="W33" s="668">
        <f t="shared" si="14"/>
        <v>100</v>
      </c>
      <c r="X33" s="1265"/>
      <c r="Y33" s="340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3" t="str">
        <f>A35</f>
        <v>成交单价（元/平方米）</v>
      </c>
      <c r="Q35" s="3393"/>
      <c r="R35" s="3394">
        <f>E35</f>
        <v>0</v>
      </c>
      <c r="S35" s="3394"/>
      <c r="T35" s="3394">
        <f>G35</f>
        <v>0</v>
      </c>
      <c r="U35" s="3394"/>
      <c r="V35" s="3394">
        <f>I35</f>
        <v>0</v>
      </c>
      <c r="W35" s="339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0" t="str">
        <f>A37</f>
        <v>估价对象XX用房的比较价值（楼面单价，元/平方米）</v>
      </c>
      <c r="Q37" s="3391"/>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7"/>
      <c r="M5" s="2488"/>
      <c r="N5" s="2488"/>
      <c r="O5" s="2488"/>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7"/>
      <c r="M6" s="2488"/>
      <c r="N6" s="2488"/>
      <c r="O6" s="2488"/>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8" t="s">
        <v>1683</v>
      </c>
      <c r="Q8" s="3429"/>
      <c r="R8" s="664" t="s">
        <v>14</v>
      </c>
      <c r="S8" s="665">
        <f t="shared" si="0"/>
        <v>0</v>
      </c>
      <c r="T8" s="664" t="s">
        <v>14</v>
      </c>
      <c r="U8" s="665">
        <f t="shared" si="1"/>
        <v>0</v>
      </c>
      <c r="V8" s="664" t="s">
        <v>14</v>
      </c>
      <c r="W8" s="665">
        <f t="shared" si="2"/>
        <v>0</v>
      </c>
      <c r="X8" s="666"/>
      <c r="Y8" s="3428" t="s">
        <v>1683</v>
      </c>
      <c r="Z8" s="342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3"/>
      <c r="Q10" s="530" t="str">
        <f t="shared" si="6"/>
        <v>土地使用年限（年）</v>
      </c>
      <c r="R10" s="664" t="s">
        <v>14</v>
      </c>
      <c r="S10" s="665" t="e">
        <f t="shared" si="0"/>
        <v>#DIV/0!</v>
      </c>
      <c r="T10" s="664" t="s">
        <v>14</v>
      </c>
      <c r="U10" s="665" t="e">
        <f t="shared" si="1"/>
        <v>#DIV/0!</v>
      </c>
      <c r="V10" s="664" t="s">
        <v>14</v>
      </c>
      <c r="W10" s="665" t="e">
        <f t="shared" si="2"/>
        <v>#DIV/0!</v>
      </c>
      <c r="X10" s="666"/>
      <c r="Y10" s="326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3"/>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5" t="s">
        <v>1691</v>
      </c>
      <c r="Q15" s="1263" t="str">
        <f t="shared" si="6"/>
        <v>居住社区成熟度</v>
      </c>
      <c r="R15" s="667" t="s">
        <v>14</v>
      </c>
      <c r="S15" s="668">
        <f t="shared" si="0"/>
        <v>100</v>
      </c>
      <c r="T15" s="667" t="s">
        <v>14</v>
      </c>
      <c r="U15" s="668">
        <f t="shared" si="1"/>
        <v>100</v>
      </c>
      <c r="V15" s="667" t="s">
        <v>14</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6"/>
      <c r="Q16" s="1263"/>
      <c r="R16" s="667"/>
      <c r="S16" s="668"/>
      <c r="T16" s="667"/>
      <c r="U16" s="668"/>
      <c r="V16" s="667"/>
      <c r="W16" s="668"/>
      <c r="X16" s="1265"/>
      <c r="Y16" s="339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6"/>
      <c r="Q17" s="1263" t="str">
        <f>B17</f>
        <v>商业繁华度</v>
      </c>
      <c r="R17" s="667" t="s">
        <v>14</v>
      </c>
      <c r="S17" s="668">
        <f>F17</f>
        <v>100</v>
      </c>
      <c r="T17" s="667" t="s">
        <v>14</v>
      </c>
      <c r="U17" s="668">
        <f>H17</f>
        <v>100</v>
      </c>
      <c r="V17" s="667" t="s">
        <v>14</v>
      </c>
      <c r="W17" s="668">
        <f>J17</f>
        <v>100</v>
      </c>
      <c r="X17" s="1265"/>
      <c r="Y17" s="339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6"/>
      <c r="Q18" s="1263"/>
      <c r="R18" s="667"/>
      <c r="S18" s="668"/>
      <c r="T18" s="667"/>
      <c r="U18" s="668"/>
      <c r="V18" s="667"/>
      <c r="W18" s="668"/>
      <c r="X18" s="1265"/>
      <c r="Y18" s="339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6"/>
      <c r="Q19" s="1263" t="str">
        <f>B19</f>
        <v>办公集聚程度</v>
      </c>
      <c r="R19" s="667" t="s">
        <v>14</v>
      </c>
      <c r="S19" s="668">
        <f>F19</f>
        <v>100</v>
      </c>
      <c r="T19" s="667" t="s">
        <v>14</v>
      </c>
      <c r="U19" s="668">
        <f>H19</f>
        <v>100</v>
      </c>
      <c r="V19" s="667" t="s">
        <v>14</v>
      </c>
      <c r="W19" s="668">
        <f>J19</f>
        <v>100</v>
      </c>
      <c r="X19" s="1265"/>
      <c r="Y19" s="339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6"/>
      <c r="Q20" s="1263"/>
      <c r="R20" s="667"/>
      <c r="S20" s="668"/>
      <c r="T20" s="667"/>
      <c r="U20" s="668"/>
      <c r="V20" s="667"/>
      <c r="W20" s="668"/>
      <c r="X20" s="1265"/>
      <c r="Y20" s="339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6"/>
      <c r="Q21" s="1263" t="str">
        <f>B21</f>
        <v>交通便捷度</v>
      </c>
      <c r="R21" s="667" t="s">
        <v>14</v>
      </c>
      <c r="S21" s="668">
        <f>F21</f>
        <v>100</v>
      </c>
      <c r="T21" s="667" t="s">
        <v>14</v>
      </c>
      <c r="U21" s="668">
        <f>H21</f>
        <v>100</v>
      </c>
      <c r="V21" s="667" t="s">
        <v>14</v>
      </c>
      <c r="W21" s="668">
        <f>J21</f>
        <v>100</v>
      </c>
      <c r="X21" s="1265"/>
      <c r="Y21" s="339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6"/>
      <c r="Q22" s="1263"/>
      <c r="R22" s="667"/>
      <c r="S22" s="668"/>
      <c r="T22" s="667"/>
      <c r="U22" s="668"/>
      <c r="V22" s="667"/>
      <c r="W22" s="668"/>
      <c r="X22" s="1265"/>
      <c r="Y22" s="339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6"/>
      <c r="Q23" s="1263" t="str">
        <f t="shared" ref="Q23:Q37" si="8">B23</f>
        <v>区域土地利用方向</v>
      </c>
      <c r="R23" s="667" t="s">
        <v>14</v>
      </c>
      <c r="S23" s="668">
        <f>F23</f>
        <v>100</v>
      </c>
      <c r="T23" s="667" t="s">
        <v>14</v>
      </c>
      <c r="U23" s="668">
        <f>H23</f>
        <v>100</v>
      </c>
      <c r="V23" s="667" t="s">
        <v>14</v>
      </c>
      <c r="W23" s="668">
        <f>J23</f>
        <v>100</v>
      </c>
      <c r="X23" s="1265"/>
      <c r="Y23" s="339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6"/>
      <c r="Q24" s="1263"/>
      <c r="R24" s="667"/>
      <c r="S24" s="668"/>
      <c r="T24" s="667"/>
      <c r="U24" s="668"/>
      <c r="V24" s="667"/>
      <c r="W24" s="668"/>
      <c r="X24" s="1265"/>
      <c r="Y24" s="339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6"/>
      <c r="Q25" s="1263" t="str">
        <f t="shared" si="8"/>
        <v>自然及人文环境状况</v>
      </c>
      <c r="R25" s="667" t="s">
        <v>14</v>
      </c>
      <c r="S25" s="668">
        <f>F25</f>
        <v>100</v>
      </c>
      <c r="T25" s="667" t="s">
        <v>14</v>
      </c>
      <c r="U25" s="668">
        <f>H25</f>
        <v>100</v>
      </c>
      <c r="V25" s="667" t="s">
        <v>14</v>
      </c>
      <c r="W25" s="668">
        <f>J25</f>
        <v>100</v>
      </c>
      <c r="X25" s="1265"/>
      <c r="Y25" s="339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6"/>
      <c r="Q26" s="1263"/>
      <c r="R26" s="667"/>
      <c r="S26" s="668"/>
      <c r="T26" s="667"/>
      <c r="U26" s="668"/>
      <c r="V26" s="667"/>
      <c r="W26" s="668"/>
      <c r="X26" s="1265"/>
      <c r="Y26" s="339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6"/>
      <c r="Q28" s="530"/>
      <c r="R28" s="664"/>
      <c r="S28" s="665"/>
      <c r="T28" s="664"/>
      <c r="U28" s="665"/>
      <c r="V28" s="664"/>
      <c r="W28" s="665"/>
      <c r="X28" s="666"/>
      <c r="Y28" s="339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6"/>
      <c r="Q30" s="530"/>
      <c r="R30" s="664"/>
      <c r="S30" s="665"/>
      <c r="T30" s="664"/>
      <c r="U30" s="665"/>
      <c r="V30" s="664"/>
      <c r="W30" s="665"/>
      <c r="X30" s="666"/>
      <c r="Y30" s="339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6"/>
      <c r="Q32" s="1263" t="str">
        <f t="shared" si="8"/>
        <v>毗邻道路的类型与等级</v>
      </c>
      <c r="R32" s="667" t="s">
        <v>14</v>
      </c>
      <c r="S32" s="668">
        <f t="shared" si="10"/>
        <v>100</v>
      </c>
      <c r="T32" s="667" t="s">
        <v>14</v>
      </c>
      <c r="U32" s="668">
        <f t="shared" si="11"/>
        <v>100</v>
      </c>
      <c r="V32" s="667" t="s">
        <v>14</v>
      </c>
      <c r="W32" s="668">
        <f t="shared" si="12"/>
        <v>100</v>
      </c>
      <c r="X32" s="1265"/>
      <c r="Y32" s="339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6"/>
      <c r="Q33" s="1263"/>
      <c r="R33" s="667"/>
      <c r="S33" s="668"/>
      <c r="T33" s="667"/>
      <c r="U33" s="668"/>
      <c r="V33" s="667"/>
      <c r="W33" s="668"/>
      <c r="X33" s="1265"/>
      <c r="Y33" s="339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6"/>
      <c r="Q34" s="1263" t="str">
        <f t="shared" si="8"/>
        <v>土地级别</v>
      </c>
      <c r="R34" s="667" t="s">
        <v>14</v>
      </c>
      <c r="S34" s="668">
        <f t="shared" si="10"/>
        <v>100</v>
      </c>
      <c r="T34" s="667" t="s">
        <v>14</v>
      </c>
      <c r="U34" s="668">
        <f t="shared" si="11"/>
        <v>100</v>
      </c>
      <c r="V34" s="667" t="s">
        <v>14</v>
      </c>
      <c r="W34" s="668">
        <f t="shared" si="12"/>
        <v>100</v>
      </c>
      <c r="X34" s="1265"/>
      <c r="Y34" s="339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6"/>
      <c r="Q35" s="1263">
        <f t="shared" si="8"/>
        <v>111</v>
      </c>
      <c r="R35" s="667" t="s">
        <v>14</v>
      </c>
      <c r="S35" s="668">
        <f t="shared" si="10"/>
        <v>100</v>
      </c>
      <c r="T35" s="667" t="s">
        <v>14</v>
      </c>
      <c r="U35" s="668">
        <f t="shared" si="11"/>
        <v>100</v>
      </c>
      <c r="V35" s="667" t="s">
        <v>14</v>
      </c>
      <c r="W35" s="668">
        <f t="shared" si="12"/>
        <v>100</v>
      </c>
      <c r="X35" s="1265"/>
      <c r="Y35" s="339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4" t="s">
        <v>1696</v>
      </c>
      <c r="Q36" s="1263">
        <f t="shared" si="8"/>
        <v>111</v>
      </c>
      <c r="R36" s="667" t="s">
        <v>14</v>
      </c>
      <c r="S36" s="668">
        <f t="shared" si="10"/>
        <v>100</v>
      </c>
      <c r="T36" s="667" t="s">
        <v>14</v>
      </c>
      <c r="U36" s="668">
        <f t="shared" si="11"/>
        <v>100</v>
      </c>
      <c r="V36" s="667" t="s">
        <v>14</v>
      </c>
      <c r="W36" s="668">
        <f t="shared" si="12"/>
        <v>100</v>
      </c>
      <c r="X36" s="1265"/>
      <c r="Y36" s="340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0"/>
      <c r="Q37" s="1263">
        <f t="shared" si="8"/>
        <v>111</v>
      </c>
      <c r="R37" s="669" t="s">
        <v>14</v>
      </c>
      <c r="S37" s="670">
        <f t="shared" si="10"/>
        <v>100</v>
      </c>
      <c r="T37" s="669" t="s">
        <v>14</v>
      </c>
      <c r="U37" s="670">
        <f t="shared" si="11"/>
        <v>100</v>
      </c>
      <c r="V37" s="669" t="s">
        <v>14</v>
      </c>
      <c r="W37" s="670">
        <f t="shared" si="12"/>
        <v>100</v>
      </c>
      <c r="X37" s="671"/>
      <c r="Y37" s="340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0"/>
      <c r="Q38" s="1263" t="str">
        <f>B38</f>
        <v>宗地面积</v>
      </c>
      <c r="R38" s="667" t="s">
        <v>14</v>
      </c>
      <c r="S38" s="668" t="e">
        <f t="shared" si="10"/>
        <v>#N/A</v>
      </c>
      <c r="T38" s="667" t="s">
        <v>14</v>
      </c>
      <c r="U38" s="668" t="e">
        <f t="shared" si="11"/>
        <v>#N/A</v>
      </c>
      <c r="V38" s="667" t="s">
        <v>14</v>
      </c>
      <c r="W38" s="668" t="e">
        <f t="shared" si="12"/>
        <v>#N/A</v>
      </c>
      <c r="X38" s="1265"/>
      <c r="Y38" s="340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0"/>
      <c r="Q39" s="1263" t="str">
        <f t="shared" ref="Q39:Q45" si="14">B39</f>
        <v>宗地形状</v>
      </c>
      <c r="R39" s="667" t="s">
        <v>14</v>
      </c>
      <c r="S39" s="668">
        <f t="shared" si="10"/>
        <v>100</v>
      </c>
      <c r="T39" s="667" t="s">
        <v>14</v>
      </c>
      <c r="U39" s="668">
        <f t="shared" si="11"/>
        <v>100</v>
      </c>
      <c r="V39" s="667" t="s">
        <v>14</v>
      </c>
      <c r="W39" s="668">
        <f t="shared" si="12"/>
        <v>100</v>
      </c>
      <c r="X39" s="1265"/>
      <c r="Y39" s="340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0"/>
      <c r="Q40" s="1263" t="str">
        <f t="shared" si="14"/>
        <v>临街宽度及深度</v>
      </c>
      <c r="R40" s="667" t="s">
        <v>14</v>
      </c>
      <c r="S40" s="668">
        <f t="shared" si="10"/>
        <v>100</v>
      </c>
      <c r="T40" s="667" t="s">
        <v>14</v>
      </c>
      <c r="U40" s="668">
        <f t="shared" si="11"/>
        <v>100</v>
      </c>
      <c r="V40" s="667" t="s">
        <v>14</v>
      </c>
      <c r="W40" s="668">
        <f t="shared" si="12"/>
        <v>100</v>
      </c>
      <c r="X40" s="1265"/>
      <c r="Y40" s="340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0"/>
      <c r="Q41" s="1263"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0" t="s">
        <v>1696</v>
      </c>
      <c r="Q42" s="1263" t="str">
        <f t="shared" si="14"/>
        <v>工程地质条件</v>
      </c>
      <c r="R42" s="667" t="s">
        <v>14</v>
      </c>
      <c r="S42" s="668">
        <f t="shared" si="10"/>
        <v>100</v>
      </c>
      <c r="T42" s="667" t="s">
        <v>14</v>
      </c>
      <c r="U42" s="668">
        <f t="shared" si="11"/>
        <v>100</v>
      </c>
      <c r="V42" s="667" t="s">
        <v>14</v>
      </c>
      <c r="W42" s="668">
        <f t="shared" si="12"/>
        <v>100</v>
      </c>
      <c r="X42" s="1265"/>
      <c r="Y42" s="340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0"/>
      <c r="Q43" s="1263">
        <f t="shared" si="14"/>
        <v>111</v>
      </c>
      <c r="R43" s="667" t="s">
        <v>14</v>
      </c>
      <c r="S43" s="668">
        <f t="shared" si="10"/>
        <v>100</v>
      </c>
      <c r="T43" s="667" t="s">
        <v>14</v>
      </c>
      <c r="U43" s="668">
        <f t="shared" si="11"/>
        <v>100</v>
      </c>
      <c r="V43" s="667" t="s">
        <v>14</v>
      </c>
      <c r="W43" s="668">
        <f t="shared" si="12"/>
        <v>100</v>
      </c>
      <c r="X43" s="1265"/>
      <c r="Y43" s="340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0"/>
      <c r="Q44" s="1263">
        <f t="shared" si="14"/>
        <v>111</v>
      </c>
      <c r="R44" s="667" t="s">
        <v>14</v>
      </c>
      <c r="S44" s="668">
        <f t="shared" si="10"/>
        <v>100</v>
      </c>
      <c r="T44" s="667" t="s">
        <v>14</v>
      </c>
      <c r="U44" s="668">
        <f t="shared" si="11"/>
        <v>100</v>
      </c>
      <c r="V44" s="667" t="s">
        <v>14</v>
      </c>
      <c r="W44" s="668">
        <f t="shared" si="12"/>
        <v>100</v>
      </c>
      <c r="X44" s="1265"/>
      <c r="Y44" s="340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0"/>
      <c r="Q45" s="1263">
        <f t="shared" si="14"/>
        <v>111</v>
      </c>
      <c r="R45" s="669" t="s">
        <v>14</v>
      </c>
      <c r="S45" s="670">
        <f t="shared" si="10"/>
        <v>100</v>
      </c>
      <c r="T45" s="669" t="s">
        <v>14</v>
      </c>
      <c r="U45" s="670">
        <f t="shared" si="11"/>
        <v>100</v>
      </c>
      <c r="V45" s="669" t="s">
        <v>14</v>
      </c>
      <c r="W45" s="670">
        <f t="shared" si="12"/>
        <v>100</v>
      </c>
      <c r="X45" s="671"/>
      <c r="Y45" s="340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3" t="str">
        <f>A46</f>
        <v>成交单价</v>
      </c>
      <c r="Q46" s="3393"/>
      <c r="R46" s="3394">
        <f>E46</f>
        <v>0</v>
      </c>
      <c r="S46" s="3394"/>
      <c r="T46" s="3394">
        <f>G46</f>
        <v>0</v>
      </c>
      <c r="U46" s="3394"/>
      <c r="V46" s="3394">
        <f>I46</f>
        <v>0</v>
      </c>
      <c r="W46" s="339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3" t="str">
        <f>A47</f>
        <v>比较价值（元/平方米）</v>
      </c>
      <c r="Q47" s="3393"/>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0" t="str">
        <f>A48</f>
        <v>估价对象XX用房的比较价值（楼面单价，元/平方米）</v>
      </c>
      <c r="Q48" s="3391"/>
      <c r="R48" s="3467" t="e">
        <f>ROUND(IF(D47="简单平均",AVERAGE(R47:W47),R47*F47+T47*H47+V47*J47),0)</f>
        <v>#DIV/0!</v>
      </c>
      <c r="S48" s="3467"/>
      <c r="T48" s="3467"/>
      <c r="U48" s="3467"/>
      <c r="V48" s="3467"/>
      <c r="W48" s="346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8" t="s">
        <v>1887</v>
      </c>
      <c r="H55" s="346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4"/>
      <c r="H56" s="339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7"/>
      <c r="M5" s="2488"/>
      <c r="N5" s="2488"/>
      <c r="O5" s="2488"/>
      <c r="P5" s="3414"/>
      <c r="Q5" s="3415"/>
      <c r="R5" s="3420"/>
      <c r="S5" s="3421"/>
      <c r="T5" s="3420"/>
      <c r="U5" s="3421"/>
      <c r="V5" s="3394"/>
      <c r="W5" s="3394"/>
      <c r="X5" s="1265"/>
      <c r="Y5" s="3420"/>
      <c r="Z5" s="3421"/>
      <c r="AA5" s="3406"/>
      <c r="AB5" s="3406"/>
      <c r="AC5" s="3406"/>
    </row>
    <row r="6" spans="1:29" ht="15.75" thickBot="1">
      <c r="A6" s="350"/>
      <c r="B6" s="351"/>
      <c r="C6" s="3469" t="s">
        <v>1919</v>
      </c>
      <c r="D6" s="3470"/>
      <c r="E6" s="3471" t="s">
        <v>1919</v>
      </c>
      <c r="F6" s="3472"/>
      <c r="G6" s="3469" t="s">
        <v>1919</v>
      </c>
      <c r="H6" s="3470"/>
      <c r="I6" s="3469" t="s">
        <v>1919</v>
      </c>
      <c r="J6" s="3470"/>
      <c r="K6" s="537" t="s">
        <v>1678</v>
      </c>
      <c r="L6" s="2487"/>
      <c r="M6" s="2488"/>
      <c r="N6" s="2488"/>
      <c r="O6" s="2488"/>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8" t="s">
        <v>1683</v>
      </c>
      <c r="Q8" s="3429"/>
      <c r="R8" s="664" t="s">
        <v>14</v>
      </c>
      <c r="S8" s="665">
        <f t="shared" si="0"/>
        <v>0</v>
      </c>
      <c r="T8" s="664" t="s">
        <v>14</v>
      </c>
      <c r="U8" s="665">
        <f t="shared" si="1"/>
        <v>0</v>
      </c>
      <c r="V8" s="664" t="s">
        <v>14</v>
      </c>
      <c r="W8" s="665">
        <f t="shared" si="2"/>
        <v>0</v>
      </c>
      <c r="X8" s="666"/>
      <c r="Y8" s="3428" t="s">
        <v>1683</v>
      </c>
      <c r="Z8" s="342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3"/>
      <c r="Q10" s="530" t="str">
        <f t="shared" si="6"/>
        <v>土地使用年限（年）</v>
      </c>
      <c r="R10" s="664" t="s">
        <v>14</v>
      </c>
      <c r="S10" s="665" t="e">
        <f t="shared" si="0"/>
        <v>#DIV/0!</v>
      </c>
      <c r="T10" s="664" t="s">
        <v>14</v>
      </c>
      <c r="U10" s="665" t="e">
        <f t="shared" si="1"/>
        <v>#DIV/0!</v>
      </c>
      <c r="V10" s="664" t="s">
        <v>14</v>
      </c>
      <c r="W10" s="665" t="e">
        <f t="shared" si="2"/>
        <v>#DIV/0!</v>
      </c>
      <c r="X10" s="666"/>
      <c r="Y10" s="326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6"/>
      <c r="Q16" s="1263"/>
      <c r="R16" s="667"/>
      <c r="S16" s="668"/>
      <c r="T16" s="667"/>
      <c r="U16" s="668"/>
      <c r="V16" s="667"/>
      <c r="W16" s="668"/>
      <c r="X16" s="1265"/>
      <c r="Y16" s="339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6"/>
      <c r="Q18" s="1263"/>
      <c r="R18" s="667"/>
      <c r="S18" s="668"/>
      <c r="T18" s="667"/>
      <c r="U18" s="668"/>
      <c r="V18" s="667"/>
      <c r="W18" s="668"/>
      <c r="X18" s="1265"/>
      <c r="Y18" s="339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6"/>
      <c r="Q19" s="1263" t="str">
        <f t="shared" ref="Q19:Q33" si="8">B19</f>
        <v>区域土地利用方向</v>
      </c>
      <c r="R19" s="667" t="s">
        <v>14</v>
      </c>
      <c r="S19" s="668">
        <f>F19</f>
        <v>100</v>
      </c>
      <c r="T19" s="667" t="s">
        <v>14</v>
      </c>
      <c r="U19" s="668">
        <f>H19</f>
        <v>100</v>
      </c>
      <c r="V19" s="667" t="s">
        <v>14</v>
      </c>
      <c r="W19" s="668">
        <f>J19</f>
        <v>100</v>
      </c>
      <c r="X19" s="1265"/>
      <c r="Y19" s="339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6"/>
      <c r="Q20" s="1263"/>
      <c r="R20" s="667"/>
      <c r="S20" s="668"/>
      <c r="T20" s="667"/>
      <c r="U20" s="668"/>
      <c r="V20" s="667"/>
      <c r="W20" s="668"/>
      <c r="X20" s="1265"/>
      <c r="Y20" s="339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6"/>
      <c r="Q21" s="1263" t="str">
        <f t="shared" si="8"/>
        <v>环境状况</v>
      </c>
      <c r="R21" s="667" t="s">
        <v>14</v>
      </c>
      <c r="S21" s="668">
        <f>F21</f>
        <v>100</v>
      </c>
      <c r="T21" s="667" t="s">
        <v>14</v>
      </c>
      <c r="U21" s="668">
        <f>H21</f>
        <v>100</v>
      </c>
      <c r="V21" s="667" t="s">
        <v>14</v>
      </c>
      <c r="W21" s="668">
        <f>J21</f>
        <v>100</v>
      </c>
      <c r="X21" s="1265"/>
      <c r="Y21" s="339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6"/>
      <c r="Q22" s="1263"/>
      <c r="R22" s="667"/>
      <c r="S22" s="668"/>
      <c r="T22" s="667"/>
      <c r="U22" s="668"/>
      <c r="V22" s="667"/>
      <c r="W22" s="668"/>
      <c r="X22" s="1265"/>
      <c r="Y22" s="339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6"/>
      <c r="Q24" s="530"/>
      <c r="R24" s="664"/>
      <c r="S24" s="665"/>
      <c r="T24" s="664"/>
      <c r="U24" s="665"/>
      <c r="V24" s="664"/>
      <c r="W24" s="665"/>
      <c r="X24" s="666"/>
      <c r="Y24" s="339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6"/>
      <c r="Q28" s="1263" t="str">
        <f t="shared" si="8"/>
        <v>毗邻道路的类型与等级</v>
      </c>
      <c r="R28" s="667" t="s">
        <v>14</v>
      </c>
      <c r="S28" s="668">
        <f t="shared" si="10"/>
        <v>100</v>
      </c>
      <c r="T28" s="667" t="s">
        <v>14</v>
      </c>
      <c r="U28" s="668">
        <f t="shared" si="11"/>
        <v>100</v>
      </c>
      <c r="V28" s="667" t="s">
        <v>14</v>
      </c>
      <c r="W28" s="668">
        <f t="shared" si="12"/>
        <v>100</v>
      </c>
      <c r="X28" s="1265"/>
      <c r="Y28" s="339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6"/>
      <c r="Q29" s="1263"/>
      <c r="R29" s="667"/>
      <c r="S29" s="668"/>
      <c r="T29" s="667"/>
      <c r="U29" s="668"/>
      <c r="V29" s="667"/>
      <c r="W29" s="668"/>
      <c r="X29" s="1265"/>
      <c r="Y29" s="339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6"/>
      <c r="Q30" s="1263" t="str">
        <f t="shared" si="8"/>
        <v>土地级别</v>
      </c>
      <c r="R30" s="667" t="s">
        <v>14</v>
      </c>
      <c r="S30" s="668">
        <f t="shared" si="10"/>
        <v>100</v>
      </c>
      <c r="T30" s="667" t="s">
        <v>14</v>
      </c>
      <c r="U30" s="668">
        <f t="shared" si="11"/>
        <v>100</v>
      </c>
      <c r="V30" s="667" t="s">
        <v>14</v>
      </c>
      <c r="W30" s="668">
        <f t="shared" si="12"/>
        <v>100</v>
      </c>
      <c r="X30" s="1265"/>
      <c r="Y30" s="339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6"/>
      <c r="Q31" s="1263">
        <f t="shared" si="8"/>
        <v>111</v>
      </c>
      <c r="R31" s="667" t="s">
        <v>14</v>
      </c>
      <c r="S31" s="668">
        <f t="shared" si="10"/>
        <v>100</v>
      </c>
      <c r="T31" s="667" t="s">
        <v>14</v>
      </c>
      <c r="U31" s="668">
        <f t="shared" si="11"/>
        <v>100</v>
      </c>
      <c r="V31" s="667" t="s">
        <v>14</v>
      </c>
      <c r="W31" s="668">
        <f t="shared" si="12"/>
        <v>100</v>
      </c>
      <c r="X31" s="1265"/>
      <c r="Y31" s="339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4" t="s">
        <v>1696</v>
      </c>
      <c r="Q32" s="1263">
        <f t="shared" si="8"/>
        <v>111</v>
      </c>
      <c r="R32" s="667" t="s">
        <v>14</v>
      </c>
      <c r="S32" s="668">
        <f t="shared" si="10"/>
        <v>100</v>
      </c>
      <c r="T32" s="667" t="s">
        <v>14</v>
      </c>
      <c r="U32" s="668">
        <f t="shared" si="11"/>
        <v>100</v>
      </c>
      <c r="V32" s="667" t="s">
        <v>14</v>
      </c>
      <c r="W32" s="668">
        <f t="shared" si="12"/>
        <v>100</v>
      </c>
      <c r="X32" s="1265"/>
      <c r="Y32" s="340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0"/>
      <c r="Q33" s="1263">
        <f t="shared" si="8"/>
        <v>111</v>
      </c>
      <c r="R33" s="669" t="s">
        <v>14</v>
      </c>
      <c r="S33" s="670">
        <f t="shared" si="10"/>
        <v>100</v>
      </c>
      <c r="T33" s="669" t="s">
        <v>14</v>
      </c>
      <c r="U33" s="670">
        <f t="shared" si="11"/>
        <v>100</v>
      </c>
      <c r="V33" s="669" t="s">
        <v>14</v>
      </c>
      <c r="W33" s="670">
        <f t="shared" si="12"/>
        <v>100</v>
      </c>
      <c r="X33" s="671"/>
      <c r="Y33" s="340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0"/>
      <c r="Q34" s="1263" t="str">
        <f>B34</f>
        <v>宗地面积</v>
      </c>
      <c r="R34" s="667" t="s">
        <v>14</v>
      </c>
      <c r="S34" s="668" t="e">
        <f t="shared" si="10"/>
        <v>#N/A</v>
      </c>
      <c r="T34" s="667" t="s">
        <v>14</v>
      </c>
      <c r="U34" s="668" t="e">
        <f t="shared" si="11"/>
        <v>#N/A</v>
      </c>
      <c r="V34" s="667" t="s">
        <v>14</v>
      </c>
      <c r="W34" s="668" t="e">
        <f t="shared" si="12"/>
        <v>#N/A</v>
      </c>
      <c r="X34" s="1265"/>
      <c r="Y34" s="340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0"/>
      <c r="Q35" s="1263" t="str">
        <f t="shared" ref="Q35:Q40" si="14">B35</f>
        <v>宗地形状</v>
      </c>
      <c r="R35" s="667" t="s">
        <v>14</v>
      </c>
      <c r="S35" s="668">
        <f t="shared" si="10"/>
        <v>100</v>
      </c>
      <c r="T35" s="667" t="s">
        <v>14</v>
      </c>
      <c r="U35" s="668">
        <f t="shared" si="11"/>
        <v>100</v>
      </c>
      <c r="V35" s="667" t="s">
        <v>14</v>
      </c>
      <c r="W35" s="668">
        <f t="shared" si="12"/>
        <v>100</v>
      </c>
      <c r="X35" s="1265"/>
      <c r="Y35" s="340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0"/>
      <c r="Q36" s="1263"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0" t="s">
        <v>1696</v>
      </c>
      <c r="Q37" s="1263" t="str">
        <f t="shared" si="14"/>
        <v>工程地质条件</v>
      </c>
      <c r="R37" s="667" t="s">
        <v>14</v>
      </c>
      <c r="S37" s="668">
        <f t="shared" si="10"/>
        <v>100</v>
      </c>
      <c r="T37" s="667" t="s">
        <v>14</v>
      </c>
      <c r="U37" s="668">
        <f t="shared" si="11"/>
        <v>100</v>
      </c>
      <c r="V37" s="667" t="s">
        <v>14</v>
      </c>
      <c r="W37" s="668">
        <f t="shared" si="12"/>
        <v>100</v>
      </c>
      <c r="X37" s="1265"/>
      <c r="Y37" s="340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0"/>
      <c r="Q38" s="1263">
        <f t="shared" si="14"/>
        <v>111</v>
      </c>
      <c r="R38" s="667" t="s">
        <v>14</v>
      </c>
      <c r="S38" s="668">
        <f t="shared" si="10"/>
        <v>100</v>
      </c>
      <c r="T38" s="667" t="s">
        <v>14</v>
      </c>
      <c r="U38" s="668">
        <f t="shared" si="11"/>
        <v>100</v>
      </c>
      <c r="V38" s="667" t="s">
        <v>14</v>
      </c>
      <c r="W38" s="668">
        <f t="shared" si="12"/>
        <v>100</v>
      </c>
      <c r="X38" s="1265"/>
      <c r="Y38" s="340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0"/>
      <c r="Q39" s="1263">
        <f t="shared" si="14"/>
        <v>111</v>
      </c>
      <c r="R39" s="667" t="s">
        <v>14</v>
      </c>
      <c r="S39" s="668">
        <f t="shared" si="10"/>
        <v>100</v>
      </c>
      <c r="T39" s="667" t="s">
        <v>14</v>
      </c>
      <c r="U39" s="668">
        <f t="shared" si="11"/>
        <v>100</v>
      </c>
      <c r="V39" s="667" t="s">
        <v>14</v>
      </c>
      <c r="W39" s="668">
        <f t="shared" si="12"/>
        <v>100</v>
      </c>
      <c r="X39" s="1265"/>
      <c r="Y39" s="340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0"/>
      <c r="Q40" s="1263">
        <f t="shared" si="14"/>
        <v>111</v>
      </c>
      <c r="R40" s="669" t="s">
        <v>14</v>
      </c>
      <c r="S40" s="670">
        <f t="shared" si="10"/>
        <v>100</v>
      </c>
      <c r="T40" s="669" t="s">
        <v>14</v>
      </c>
      <c r="U40" s="670">
        <f t="shared" si="11"/>
        <v>100</v>
      </c>
      <c r="V40" s="669" t="s">
        <v>14</v>
      </c>
      <c r="W40" s="670">
        <f t="shared" si="12"/>
        <v>100</v>
      </c>
      <c r="X40" s="671"/>
      <c r="Y40" s="340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3" t="str">
        <f>A41</f>
        <v>成交单价</v>
      </c>
      <c r="Q41" s="3393"/>
      <c r="R41" s="3394">
        <f>E41</f>
        <v>0</v>
      </c>
      <c r="S41" s="3394"/>
      <c r="T41" s="3394">
        <f>G41</f>
        <v>0</v>
      </c>
      <c r="U41" s="3394"/>
      <c r="V41" s="3394">
        <f>I41</f>
        <v>0</v>
      </c>
      <c r="W41" s="339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3" t="str">
        <f>A42</f>
        <v>比较价值（元/平方米）</v>
      </c>
      <c r="Q42" s="3393"/>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0" t="str">
        <f>A43</f>
        <v>估价对象XX用房的比较价值（楼面单价，元/平方米）</v>
      </c>
      <c r="Q43" s="3391"/>
      <c r="R43" s="3467" t="e">
        <f>ROUND(IF(D42="简单平均",AVERAGE(R42:W42),R42*F42+T42*H42+V42*J42),0)</f>
        <v>#DIV/0!</v>
      </c>
      <c r="S43" s="3467"/>
      <c r="T43" s="3467"/>
      <c r="U43" s="3467"/>
      <c r="V43" s="3467"/>
      <c r="W43" s="346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8" t="s">
        <v>1887</v>
      </c>
      <c r="H50" s="346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4"/>
      <c r="H51" s="339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6" t="s">
        <v>2084</v>
      </c>
      <c r="D1" s="3477"/>
      <c r="E1" s="3477"/>
      <c r="F1" s="3477"/>
      <c r="G1" s="3477"/>
      <c r="H1" s="3477"/>
      <c r="I1" s="3477"/>
      <c r="J1" s="3477"/>
      <c r="K1" s="3477"/>
      <c r="L1" s="3477"/>
      <c r="M1" s="3477"/>
      <c r="N1" s="3477"/>
      <c r="O1" s="3477"/>
      <c r="P1" s="3477"/>
      <c r="Q1" s="3477"/>
      <c r="R1" s="3477"/>
      <c r="S1" s="347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86"/>
      <c r="B4" s="3487"/>
      <c r="C4" s="3487"/>
      <c r="D4" s="3488"/>
      <c r="E4" s="3488"/>
      <c r="F4" s="3488"/>
      <c r="G4" s="3488"/>
      <c r="H4" s="3488"/>
      <c r="I4" s="3488"/>
      <c r="J4" s="348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83" t="s">
        <v>1960</v>
      </c>
      <c r="X8" s="348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85"/>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8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90" t="s">
        <v>3256</v>
      </c>
      <c r="B20" s="159" t="s">
        <v>1994</v>
      </c>
      <c r="C20" s="3032" t="e">
        <f>ROUND(IF(F21="与级别开发程度一致",0,(G21-E21)/C21),0)</f>
        <v>#DIV/0!</v>
      </c>
      <c r="D20" s="3047" t="s">
        <v>1998</v>
      </c>
      <c r="E20" s="3048"/>
      <c r="F20" s="3496" t="s">
        <v>1995</v>
      </c>
      <c r="G20" s="349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9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45628</v>
      </c>
      <c r="H23" s="3049" t="s">
        <v>3258</v>
      </c>
      <c r="I23" s="3050" t="str">
        <f>IF(H23="季度增幅（自定义）",SUMIF(N25:N28,E2,O25:O28),"")</f>
        <v/>
      </c>
      <c r="J23" s="3142" t="s">
        <v>3257</v>
      </c>
      <c r="K23" s="1061"/>
      <c r="L23" s="1897" t="s">
        <v>2004</v>
      </c>
      <c r="M23" s="1241">
        <f>ROUND(SUMIF(地价!B2:G2,E2,地价!B16:G16),0)</f>
        <v>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5"/>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92" t="s">
        <v>3296</v>
      </c>
      <c r="B103" s="3492"/>
      <c r="C103" s="3492"/>
      <c r="D103" s="3492"/>
      <c r="E103" s="3492"/>
      <c r="F103" s="3492"/>
      <c r="G103" s="3492"/>
      <c r="H103" s="3492"/>
      <c r="I103" s="3492"/>
      <c r="J103" s="3492"/>
      <c r="K103" s="1667"/>
      <c r="L103" s="1667"/>
      <c r="M103" s="1667"/>
      <c r="N103" s="1667"/>
    </row>
    <row r="104" spans="1:14">
      <c r="A104" s="3493" t="s">
        <v>3297</v>
      </c>
      <c r="B104" s="3493" t="s">
        <v>3298</v>
      </c>
      <c r="C104" s="3091" t="s">
        <v>3299</v>
      </c>
      <c r="D104" s="3092"/>
      <c r="E104" s="3092"/>
      <c r="F104" s="3092"/>
      <c r="G104" s="3092"/>
      <c r="H104" s="3092"/>
      <c r="I104" s="3092"/>
      <c r="J104" s="3093"/>
      <c r="K104" s="3094"/>
      <c r="L104" s="3094"/>
      <c r="M104" s="3094"/>
      <c r="N104" s="3094"/>
    </row>
    <row r="105" spans="1:14">
      <c r="A105" s="3493"/>
      <c r="B105" s="3493"/>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79"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8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8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8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8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80"/>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8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82" t="s">
        <v>3313</v>
      </c>
      <c r="B113" s="3482"/>
      <c r="C113" s="3482"/>
      <c r="D113" s="3482"/>
      <c r="E113" s="3482"/>
      <c r="F113" s="3482"/>
      <c r="G113" s="3482"/>
      <c r="H113" s="3482"/>
      <c r="I113" s="3482"/>
      <c r="J113" s="348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507" t="s">
        <v>2609</v>
      </c>
      <c r="B20" s="3502" t="s">
        <v>2630</v>
      </c>
      <c r="C20" s="2843" t="s">
        <v>2441</v>
      </c>
      <c r="D20" s="2844"/>
      <c r="E20" s="2845">
        <v>1</v>
      </c>
      <c r="F20" s="2846" t="s">
        <v>2442</v>
      </c>
      <c r="G20" s="2846"/>
    </row>
    <row r="21" spans="1:13" ht="19.5" customHeight="1">
      <c r="A21" s="3508"/>
      <c r="B21" s="3501"/>
      <c r="C21" s="2847" t="s">
        <v>2443</v>
      </c>
      <c r="D21" s="2848"/>
      <c r="E21" s="2849">
        <v>1</v>
      </c>
      <c r="F21" s="2846" t="s">
        <v>2444</v>
      </c>
      <c r="G21" s="2846"/>
    </row>
    <row r="22" spans="1:13" ht="19.5" customHeight="1">
      <c r="A22" s="3508"/>
      <c r="B22" s="3501"/>
      <c r="C22" s="2847" t="s">
        <v>2445</v>
      </c>
      <c r="D22" s="2848"/>
      <c r="E22" s="2849">
        <v>0.9</v>
      </c>
      <c r="F22" s="2846" t="s">
        <v>2446</v>
      </c>
      <c r="G22" s="2846"/>
    </row>
    <row r="23" spans="1:13" ht="19.5" customHeight="1">
      <c r="A23" s="3508"/>
      <c r="B23" s="3501"/>
      <c r="C23" s="2847" t="s">
        <v>2447</v>
      </c>
      <c r="D23" s="2848"/>
      <c r="E23" s="2849">
        <v>0.9</v>
      </c>
      <c r="F23" s="2846" t="s">
        <v>2448</v>
      </c>
      <c r="G23" s="2846"/>
    </row>
    <row r="24" spans="1:13" ht="19.5" customHeight="1">
      <c r="A24" s="3508"/>
      <c r="B24" s="3501"/>
      <c r="C24" s="2847" t="s">
        <v>2449</v>
      </c>
      <c r="D24" s="2848"/>
      <c r="E24" s="2849">
        <v>0.8</v>
      </c>
      <c r="F24" s="2846" t="s">
        <v>2450</v>
      </c>
      <c r="G24" s="2846"/>
    </row>
    <row r="25" spans="1:13" ht="19.5" customHeight="1" thickBot="1">
      <c r="A25" s="3509"/>
      <c r="B25" s="3503"/>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504" t="s">
        <v>2633</v>
      </c>
      <c r="B27" s="3502" t="s">
        <v>2614</v>
      </c>
      <c r="C27" s="2843" t="s">
        <v>2454</v>
      </c>
      <c r="D27" s="2844"/>
      <c r="E27" s="2845">
        <v>1</v>
      </c>
      <c r="F27" s="2846" t="s">
        <v>2455</v>
      </c>
      <c r="G27" s="2846"/>
    </row>
    <row r="28" spans="1:13" ht="19.5" customHeight="1">
      <c r="A28" s="3505"/>
      <c r="B28" s="3501"/>
      <c r="C28" s="2847" t="s">
        <v>2456</v>
      </c>
      <c r="D28" s="2848"/>
      <c r="E28" s="2849">
        <v>1</v>
      </c>
      <c r="F28" s="2846" t="s">
        <v>2457</v>
      </c>
      <c r="G28" s="2846"/>
    </row>
    <row r="29" spans="1:13" ht="19.5" customHeight="1">
      <c r="A29" s="3505"/>
      <c r="B29" s="3501"/>
      <c r="C29" s="2847" t="s">
        <v>2458</v>
      </c>
      <c r="D29" s="2848"/>
      <c r="E29" s="2849">
        <v>0.8</v>
      </c>
      <c r="F29" s="2846" t="s">
        <v>2459</v>
      </c>
      <c r="G29" s="2846"/>
    </row>
    <row r="30" spans="1:13" ht="19.5" customHeight="1">
      <c r="A30" s="3505"/>
      <c r="B30" s="3501"/>
      <c r="C30" s="2847" t="s">
        <v>2460</v>
      </c>
      <c r="D30" s="2848"/>
      <c r="E30" s="2849">
        <v>0.8</v>
      </c>
      <c r="F30" s="2846" t="s">
        <v>2461</v>
      </c>
      <c r="G30" s="2846"/>
    </row>
    <row r="31" spans="1:13" ht="19.5" customHeight="1">
      <c r="A31" s="3505"/>
      <c r="B31" s="3501"/>
      <c r="C31" s="2847" t="s">
        <v>2462</v>
      </c>
      <c r="D31" s="2848"/>
      <c r="E31" s="2849">
        <v>0.8</v>
      </c>
      <c r="F31" s="2846" t="s">
        <v>2463</v>
      </c>
      <c r="G31" s="2846"/>
    </row>
    <row r="32" spans="1:13" ht="19.5" customHeight="1">
      <c r="A32" s="3505"/>
      <c r="B32" s="3501"/>
      <c r="C32" s="2847" t="s">
        <v>2464</v>
      </c>
      <c r="D32" s="2848"/>
      <c r="E32" s="2849">
        <v>0.7</v>
      </c>
      <c r="F32" s="2846" t="s">
        <v>2465</v>
      </c>
      <c r="G32" s="2846"/>
    </row>
    <row r="33" spans="1:7" ht="19.5" customHeight="1">
      <c r="A33" s="3505"/>
      <c r="B33" s="3501"/>
      <c r="C33" s="2847" t="s">
        <v>2466</v>
      </c>
      <c r="D33" s="2848"/>
      <c r="E33" s="2849">
        <v>0.8</v>
      </c>
      <c r="F33" s="2846" t="s">
        <v>2467</v>
      </c>
      <c r="G33" s="2846"/>
    </row>
    <row r="34" spans="1:7" ht="19.5" customHeight="1">
      <c r="A34" s="3505"/>
      <c r="B34" s="3501"/>
      <c r="C34" s="2847" t="s">
        <v>2468</v>
      </c>
      <c r="D34" s="2848"/>
      <c r="E34" s="2849">
        <v>0.6</v>
      </c>
      <c r="F34" s="2846" t="s">
        <v>2469</v>
      </c>
      <c r="G34" s="2846"/>
    </row>
    <row r="35" spans="1:7" ht="19.5" customHeight="1">
      <c r="A35" s="3505"/>
      <c r="B35" s="3501"/>
      <c r="C35" s="2847" t="s">
        <v>2470</v>
      </c>
      <c r="D35" s="2848"/>
      <c r="E35" s="2849">
        <v>0.2</v>
      </c>
      <c r="F35" s="2846" t="s">
        <v>2471</v>
      </c>
      <c r="G35" s="2846"/>
    </row>
    <row r="36" spans="1:7" ht="19.5" customHeight="1">
      <c r="A36" s="3505"/>
      <c r="B36" s="3501"/>
      <c r="C36" s="2847" t="s">
        <v>2472</v>
      </c>
      <c r="D36" s="2848"/>
      <c r="E36" s="2849">
        <v>0.2</v>
      </c>
      <c r="F36" s="2846" t="s">
        <v>2473</v>
      </c>
      <c r="G36" s="2846"/>
    </row>
    <row r="37" spans="1:7" ht="19.5" customHeight="1">
      <c r="A37" s="3505"/>
      <c r="B37" s="3499" t="s">
        <v>2634</v>
      </c>
      <c r="C37" s="2847" t="s">
        <v>2474</v>
      </c>
      <c r="D37" s="2848"/>
      <c r="E37" s="2849">
        <v>0.6</v>
      </c>
      <c r="F37" s="2846" t="s">
        <v>2475</v>
      </c>
      <c r="G37" s="2846"/>
    </row>
    <row r="38" spans="1:7" ht="19.5" customHeight="1">
      <c r="A38" s="3505"/>
      <c r="B38" s="3501"/>
      <c r="C38" s="2847" t="s">
        <v>2476</v>
      </c>
      <c r="D38" s="2848"/>
      <c r="E38" s="2849">
        <v>0.6</v>
      </c>
      <c r="F38" s="2846" t="s">
        <v>2477</v>
      </c>
      <c r="G38" s="2846"/>
    </row>
    <row r="39" spans="1:7" ht="19.5" customHeight="1" thickBot="1">
      <c r="A39" s="3506"/>
      <c r="B39" s="3503"/>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507" t="s">
        <v>2612</v>
      </c>
      <c r="B41" s="3502" t="s">
        <v>2636</v>
      </c>
      <c r="C41" s="2843" t="s">
        <v>2481</v>
      </c>
      <c r="D41" s="2844"/>
      <c r="E41" s="2845">
        <v>1</v>
      </c>
      <c r="F41" s="2846" t="s">
        <v>2482</v>
      </c>
      <c r="G41" s="2846"/>
    </row>
    <row r="42" spans="1:7" ht="19.5" customHeight="1">
      <c r="A42" s="3508"/>
      <c r="B42" s="3501"/>
      <c r="C42" s="2847" t="s">
        <v>2483</v>
      </c>
      <c r="D42" s="2848"/>
      <c r="E42" s="2849">
        <v>1</v>
      </c>
      <c r="F42" s="2846" t="s">
        <v>2484</v>
      </c>
      <c r="G42" s="2846"/>
    </row>
    <row r="43" spans="1:7" ht="19.5" customHeight="1">
      <c r="A43" s="3508"/>
      <c r="B43" s="3500"/>
      <c r="C43" s="2847" t="s">
        <v>2485</v>
      </c>
      <c r="D43" s="2848"/>
      <c r="E43" s="2849">
        <v>1.5</v>
      </c>
      <c r="F43" s="2846" t="s">
        <v>2486</v>
      </c>
      <c r="G43" s="2846"/>
    </row>
    <row r="44" spans="1:7" ht="19.5" customHeight="1">
      <c r="A44" s="3508"/>
      <c r="B44" s="2858" t="s">
        <v>2637</v>
      </c>
      <c r="C44" s="2847" t="s">
        <v>2638</v>
      </c>
      <c r="D44" s="2848"/>
      <c r="E44" s="2849">
        <v>2</v>
      </c>
      <c r="F44" s="2846" t="s">
        <v>2487</v>
      </c>
      <c r="G44" s="2846"/>
    </row>
    <row r="45" spans="1:7" ht="19.5" customHeight="1">
      <c r="A45" s="3508"/>
      <c r="B45" s="3499" t="s">
        <v>2639</v>
      </c>
      <c r="C45" s="2847" t="s">
        <v>2488</v>
      </c>
      <c r="D45" s="2848"/>
      <c r="E45" s="2849">
        <v>1</v>
      </c>
      <c r="F45" s="2846" t="s">
        <v>2489</v>
      </c>
      <c r="G45" s="2846"/>
    </row>
    <row r="46" spans="1:7" ht="19.5" customHeight="1">
      <c r="A46" s="3508"/>
      <c r="B46" s="3501"/>
      <c r="C46" s="2847" t="s">
        <v>2490</v>
      </c>
      <c r="D46" s="2848"/>
      <c r="E46" s="2849">
        <v>1</v>
      </c>
      <c r="F46" s="2846" t="s">
        <v>2491</v>
      </c>
      <c r="G46" s="2846"/>
    </row>
    <row r="47" spans="1:7" ht="19.5" customHeight="1">
      <c r="A47" s="3508"/>
      <c r="B47" s="3501"/>
      <c r="C47" s="2847" t="s">
        <v>2492</v>
      </c>
      <c r="D47" s="2848"/>
      <c r="E47" s="2849">
        <v>1</v>
      </c>
      <c r="F47" s="2846" t="s">
        <v>2493</v>
      </c>
      <c r="G47" s="2846"/>
    </row>
    <row r="48" spans="1:7" ht="19.5" customHeight="1">
      <c r="A48" s="3508"/>
      <c r="B48" s="3501"/>
      <c r="C48" s="2847" t="s">
        <v>2494</v>
      </c>
      <c r="D48" s="2848"/>
      <c r="E48" s="2849">
        <v>1</v>
      </c>
      <c r="F48" s="2846" t="s">
        <v>2495</v>
      </c>
      <c r="G48" s="2846"/>
    </row>
    <row r="49" spans="1:7" ht="19.5" customHeight="1">
      <c r="A49" s="3508"/>
      <c r="B49" s="3501"/>
      <c r="C49" s="2847" t="s">
        <v>2496</v>
      </c>
      <c r="D49" s="2848"/>
      <c r="E49" s="2849">
        <v>1</v>
      </c>
      <c r="F49" s="2846" t="s">
        <v>2497</v>
      </c>
      <c r="G49" s="2846"/>
    </row>
    <row r="50" spans="1:7" ht="19.5" customHeight="1">
      <c r="A50" s="3508"/>
      <c r="B50" s="3501"/>
      <c r="C50" s="2847" t="s">
        <v>2498</v>
      </c>
      <c r="D50" s="2848"/>
      <c r="E50" s="2849">
        <v>1</v>
      </c>
      <c r="F50" s="2846" t="s">
        <v>2499</v>
      </c>
      <c r="G50" s="2846"/>
    </row>
    <row r="51" spans="1:7" ht="19.5" customHeight="1" thickBot="1">
      <c r="A51" s="3509"/>
      <c r="B51" s="3503"/>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99" t="s">
        <v>2653</v>
      </c>
      <c r="C73" s="2832" t="s">
        <v>2654</v>
      </c>
      <c r="D73" s="2832" t="s">
        <v>2655</v>
      </c>
      <c r="E73" s="2858">
        <v>0.2</v>
      </c>
      <c r="F73" s="2858">
        <v>25</v>
      </c>
    </row>
    <row r="74" spans="1:7" ht="24">
      <c r="A74" s="2858">
        <v>2</v>
      </c>
      <c r="B74" s="3501"/>
      <c r="C74" s="2832" t="s">
        <v>2656</v>
      </c>
      <c r="D74" s="2832" t="s">
        <v>2657</v>
      </c>
      <c r="E74" s="2858">
        <v>0.2</v>
      </c>
      <c r="F74" s="2858">
        <v>25</v>
      </c>
    </row>
    <row r="75" spans="1:7" ht="24">
      <c r="A75" s="2858">
        <v>3</v>
      </c>
      <c r="B75" s="3501"/>
      <c r="C75" s="2832" t="s">
        <v>2658</v>
      </c>
      <c r="D75" s="2832" t="s">
        <v>2659</v>
      </c>
      <c r="E75" s="2858">
        <v>0.2</v>
      </c>
      <c r="F75" s="2858">
        <v>25</v>
      </c>
    </row>
    <row r="76" spans="1:7" ht="13.5">
      <c r="A76" s="2858">
        <v>4</v>
      </c>
      <c r="B76" s="3501"/>
      <c r="C76" s="2832" t="s">
        <v>2660</v>
      </c>
      <c r="D76" s="2832" t="s">
        <v>2661</v>
      </c>
      <c r="E76" s="2858">
        <v>0.15</v>
      </c>
      <c r="F76" s="2858">
        <v>20</v>
      </c>
    </row>
    <row r="77" spans="1:7" ht="24">
      <c r="A77" s="2858">
        <v>5</v>
      </c>
      <c r="B77" s="3501"/>
      <c r="C77" s="2832" t="s">
        <v>2662</v>
      </c>
      <c r="D77" s="2832" t="s">
        <v>2663</v>
      </c>
      <c r="E77" s="2858">
        <v>0.15</v>
      </c>
      <c r="F77" s="2858">
        <v>20</v>
      </c>
    </row>
    <row r="78" spans="1:7" ht="24">
      <c r="A78" s="2858">
        <v>6</v>
      </c>
      <c r="B78" s="3501"/>
      <c r="C78" s="2832" t="s">
        <v>2664</v>
      </c>
      <c r="D78" s="2832" t="s">
        <v>2665</v>
      </c>
      <c r="E78" s="2858">
        <v>0.15</v>
      </c>
      <c r="F78" s="2858">
        <v>20</v>
      </c>
    </row>
    <row r="79" spans="1:7" ht="24">
      <c r="A79" s="2858">
        <v>7</v>
      </c>
      <c r="B79" s="3501"/>
      <c r="C79" s="2832" t="s">
        <v>2666</v>
      </c>
      <c r="D79" s="2832" t="s">
        <v>2667</v>
      </c>
      <c r="E79" s="2858">
        <v>0.15</v>
      </c>
      <c r="F79" s="2858">
        <v>20</v>
      </c>
    </row>
    <row r="80" spans="1:7" ht="24">
      <c r="A80" s="2858">
        <v>8</v>
      </c>
      <c r="B80" s="3501"/>
      <c r="C80" s="2832" t="s">
        <v>2668</v>
      </c>
      <c r="D80" s="2832" t="s">
        <v>2669</v>
      </c>
      <c r="E80" s="2858">
        <v>0.1</v>
      </c>
      <c r="F80" s="2858">
        <v>15</v>
      </c>
    </row>
    <row r="81" spans="1:6" ht="24">
      <c r="A81" s="2858">
        <v>9</v>
      </c>
      <c r="B81" s="3501"/>
      <c r="C81" s="2832" t="s">
        <v>2670</v>
      </c>
      <c r="D81" s="2832" t="s">
        <v>2671</v>
      </c>
      <c r="E81" s="2858">
        <v>0.1</v>
      </c>
      <c r="F81" s="2858">
        <v>15</v>
      </c>
    </row>
    <row r="82" spans="1:6" ht="24">
      <c r="A82" s="2858">
        <v>10</v>
      </c>
      <c r="B82" s="3501"/>
      <c r="C82" s="2832" t="s">
        <v>2672</v>
      </c>
      <c r="D82" s="2832" t="s">
        <v>2673</v>
      </c>
      <c r="E82" s="2858">
        <v>0.1</v>
      </c>
      <c r="F82" s="2858">
        <v>15</v>
      </c>
    </row>
    <row r="83" spans="1:6" ht="24">
      <c r="A83" s="2858">
        <v>11</v>
      </c>
      <c r="B83" s="3501"/>
      <c r="C83" s="2832" t="s">
        <v>2674</v>
      </c>
      <c r="D83" s="2832" t="s">
        <v>2675</v>
      </c>
      <c r="E83" s="2858">
        <v>0.1</v>
      </c>
      <c r="F83" s="2858">
        <v>15</v>
      </c>
    </row>
    <row r="84" spans="1:6" ht="24">
      <c r="A84" s="2858">
        <v>12</v>
      </c>
      <c r="B84" s="3501"/>
      <c r="C84" s="2832" t="s">
        <v>2676</v>
      </c>
      <c r="D84" s="2832" t="s">
        <v>2677</v>
      </c>
      <c r="E84" s="2858">
        <v>0.1</v>
      </c>
      <c r="F84" s="2858">
        <v>15</v>
      </c>
    </row>
    <row r="85" spans="1:6" ht="13.5">
      <c r="A85" s="2858">
        <v>13</v>
      </c>
      <c r="B85" s="3501"/>
      <c r="C85" s="2832" t="s">
        <v>2678</v>
      </c>
      <c r="D85" s="2832" t="s">
        <v>2679</v>
      </c>
      <c r="E85" s="2858">
        <v>0.1</v>
      </c>
      <c r="F85" s="2858">
        <v>15</v>
      </c>
    </row>
    <row r="86" spans="1:6" ht="13.5">
      <c r="A86" s="2858">
        <v>14</v>
      </c>
      <c r="B86" s="3501"/>
      <c r="C86" s="2832" t="s">
        <v>2680</v>
      </c>
      <c r="D86" s="2832" t="s">
        <v>2681</v>
      </c>
      <c r="E86" s="2858">
        <v>0.1</v>
      </c>
      <c r="F86" s="2858">
        <v>15</v>
      </c>
    </row>
    <row r="87" spans="1:6" ht="13.5">
      <c r="A87" s="2858">
        <v>15</v>
      </c>
      <c r="B87" s="3501"/>
      <c r="C87" s="2832" t="s">
        <v>2682</v>
      </c>
      <c r="D87" s="2832" t="s">
        <v>2683</v>
      </c>
      <c r="E87" s="2858">
        <v>0.1</v>
      </c>
      <c r="F87" s="2858">
        <v>15</v>
      </c>
    </row>
    <row r="88" spans="1:6" ht="24">
      <c r="A88" s="2858">
        <v>16</v>
      </c>
      <c r="B88" s="3501"/>
      <c r="C88" s="2832" t="s">
        <v>2684</v>
      </c>
      <c r="D88" s="2832" t="s">
        <v>2685</v>
      </c>
      <c r="E88" s="2858">
        <v>0.1</v>
      </c>
      <c r="F88" s="2858">
        <v>15</v>
      </c>
    </row>
    <row r="89" spans="1:6" ht="24">
      <c r="A89" s="2858">
        <v>17</v>
      </c>
      <c r="B89" s="3500"/>
      <c r="C89" s="2832" t="s">
        <v>2686</v>
      </c>
      <c r="D89" s="2832" t="s">
        <v>2687</v>
      </c>
      <c r="E89" s="2858">
        <v>0.1</v>
      </c>
      <c r="F89" s="2858">
        <v>15</v>
      </c>
    </row>
    <row r="90" spans="1:6" ht="13.5">
      <c r="A90" s="2858">
        <v>18</v>
      </c>
      <c r="B90" s="3499" t="s">
        <v>2688</v>
      </c>
      <c r="C90" s="2832" t="s">
        <v>2689</v>
      </c>
      <c r="D90" s="2832" t="s">
        <v>2690</v>
      </c>
      <c r="E90" s="2858">
        <v>0.2</v>
      </c>
      <c r="F90" s="2858">
        <v>25</v>
      </c>
    </row>
    <row r="91" spans="1:6" ht="24">
      <c r="A91" s="2858">
        <v>19</v>
      </c>
      <c r="B91" s="3501"/>
      <c r="C91" s="2832" t="s">
        <v>2691</v>
      </c>
      <c r="D91" s="2832" t="s">
        <v>2692</v>
      </c>
      <c r="E91" s="2858">
        <v>0.2</v>
      </c>
      <c r="F91" s="2858">
        <v>25</v>
      </c>
    </row>
    <row r="92" spans="1:6" ht="13.5">
      <c r="A92" s="2858">
        <v>20</v>
      </c>
      <c r="B92" s="3501"/>
      <c r="C92" s="2832" t="s">
        <v>2693</v>
      </c>
      <c r="D92" s="2832" t="s">
        <v>2694</v>
      </c>
      <c r="E92" s="2858">
        <v>0.15</v>
      </c>
      <c r="F92" s="2858">
        <v>20</v>
      </c>
    </row>
    <row r="93" spans="1:6" ht="13.5">
      <c r="A93" s="2858">
        <v>21</v>
      </c>
      <c r="B93" s="3501"/>
      <c r="C93" s="2832" t="s">
        <v>2695</v>
      </c>
      <c r="D93" s="2832" t="s">
        <v>2696</v>
      </c>
      <c r="E93" s="2858">
        <v>0.15</v>
      </c>
      <c r="F93" s="2858">
        <v>20</v>
      </c>
    </row>
    <row r="94" spans="1:6" ht="13.5">
      <c r="A94" s="2858">
        <v>22</v>
      </c>
      <c r="B94" s="3501"/>
      <c r="C94" s="2832" t="s">
        <v>2697</v>
      </c>
      <c r="D94" s="2832" t="s">
        <v>2698</v>
      </c>
      <c r="E94" s="2858">
        <v>0.15</v>
      </c>
      <c r="F94" s="2858">
        <v>20</v>
      </c>
    </row>
    <row r="95" spans="1:6" ht="36">
      <c r="A95" s="2858">
        <v>23</v>
      </c>
      <c r="B95" s="3501"/>
      <c r="C95" s="2832" t="s">
        <v>2699</v>
      </c>
      <c r="D95" s="2832" t="s">
        <v>2700</v>
      </c>
      <c r="E95" s="2858">
        <v>0.15</v>
      </c>
      <c r="F95" s="2858">
        <v>20</v>
      </c>
    </row>
    <row r="96" spans="1:6" ht="13.5">
      <c r="A96" s="2858">
        <v>24</v>
      </c>
      <c r="B96" s="3501"/>
      <c r="C96" s="2832" t="s">
        <v>2701</v>
      </c>
      <c r="D96" s="2832" t="s">
        <v>2702</v>
      </c>
      <c r="E96" s="2858">
        <v>0.1</v>
      </c>
      <c r="F96" s="2858">
        <v>15</v>
      </c>
    </row>
    <row r="97" spans="1:6" ht="13.5">
      <c r="A97" s="2858">
        <v>25</v>
      </c>
      <c r="B97" s="3501"/>
      <c r="C97" s="2832" t="s">
        <v>2703</v>
      </c>
      <c r="D97" s="2832" t="s">
        <v>2704</v>
      </c>
      <c r="E97" s="2858">
        <v>0.1</v>
      </c>
      <c r="F97" s="2858">
        <v>15</v>
      </c>
    </row>
    <row r="98" spans="1:6" ht="24">
      <c r="A98" s="2858">
        <v>26</v>
      </c>
      <c r="B98" s="3501"/>
      <c r="C98" s="2832" t="s">
        <v>2705</v>
      </c>
      <c r="D98" s="2832" t="s">
        <v>2706</v>
      </c>
      <c r="E98" s="2858">
        <v>0.1</v>
      </c>
      <c r="F98" s="2858">
        <v>15</v>
      </c>
    </row>
    <row r="99" spans="1:6" ht="24">
      <c r="A99" s="2858">
        <v>27</v>
      </c>
      <c r="B99" s="3501"/>
      <c r="C99" s="2832" t="s">
        <v>2707</v>
      </c>
      <c r="D99" s="2832" t="s">
        <v>2708</v>
      </c>
      <c r="E99" s="2858">
        <v>0.1</v>
      </c>
      <c r="F99" s="2858">
        <v>15</v>
      </c>
    </row>
    <row r="100" spans="1:6" ht="13.5">
      <c r="A100" s="2858">
        <v>28</v>
      </c>
      <c r="B100" s="3501"/>
      <c r="C100" s="2832" t="s">
        <v>2709</v>
      </c>
      <c r="D100" s="2832" t="s">
        <v>2710</v>
      </c>
      <c r="E100" s="2858">
        <v>0.1</v>
      </c>
      <c r="F100" s="2858">
        <v>15</v>
      </c>
    </row>
    <row r="101" spans="1:6" ht="13.5">
      <c r="A101" s="2858">
        <v>29</v>
      </c>
      <c r="B101" s="3501"/>
      <c r="C101" s="2832" t="s">
        <v>2711</v>
      </c>
      <c r="D101" s="2832" t="s">
        <v>2712</v>
      </c>
      <c r="E101" s="2858">
        <v>0.1</v>
      </c>
      <c r="F101" s="2858">
        <v>15</v>
      </c>
    </row>
    <row r="102" spans="1:6" ht="13.5">
      <c r="A102" s="2858">
        <v>30</v>
      </c>
      <c r="B102" s="3501"/>
      <c r="C102" s="2832" t="s">
        <v>2713</v>
      </c>
      <c r="D102" s="2832" t="s">
        <v>2714</v>
      </c>
      <c r="E102" s="2858">
        <v>0.1</v>
      </c>
      <c r="F102" s="2858">
        <v>15</v>
      </c>
    </row>
    <row r="103" spans="1:6" ht="24">
      <c r="A103" s="2858">
        <v>31</v>
      </c>
      <c r="B103" s="3501"/>
      <c r="C103" s="2832" t="s">
        <v>2715</v>
      </c>
      <c r="D103" s="2832" t="s">
        <v>2716</v>
      </c>
      <c r="E103" s="2858">
        <v>0.1</v>
      </c>
      <c r="F103" s="2858">
        <v>15</v>
      </c>
    </row>
    <row r="104" spans="1:6" ht="24">
      <c r="A104" s="2858">
        <v>32</v>
      </c>
      <c r="B104" s="3501"/>
      <c r="C104" s="2832" t="s">
        <v>2717</v>
      </c>
      <c r="D104" s="2832" t="s">
        <v>2718</v>
      </c>
      <c r="E104" s="2858">
        <v>0.1</v>
      </c>
      <c r="F104" s="2858">
        <v>15</v>
      </c>
    </row>
    <row r="105" spans="1:6" ht="24">
      <c r="A105" s="2858">
        <v>33</v>
      </c>
      <c r="B105" s="3501"/>
      <c r="C105" s="2832" t="s">
        <v>2719</v>
      </c>
      <c r="D105" s="2832" t="s">
        <v>2720</v>
      </c>
      <c r="E105" s="2858">
        <v>0.1</v>
      </c>
      <c r="F105" s="2858">
        <v>15</v>
      </c>
    </row>
    <row r="106" spans="1:6" ht="24">
      <c r="A106" s="2858">
        <v>34</v>
      </c>
      <c r="B106" s="3500"/>
      <c r="C106" s="2832" t="s">
        <v>2721</v>
      </c>
      <c r="D106" s="2832" t="s">
        <v>2722</v>
      </c>
      <c r="E106" s="2858">
        <v>0.1</v>
      </c>
      <c r="F106" s="2858">
        <v>15</v>
      </c>
    </row>
    <row r="107" spans="1:6" ht="24">
      <c r="A107" s="2858">
        <v>35</v>
      </c>
      <c r="B107" s="3499" t="s">
        <v>2723</v>
      </c>
      <c r="C107" s="2858" t="s">
        <v>2724</v>
      </c>
      <c r="D107" s="2832" t="s">
        <v>2725</v>
      </c>
      <c r="E107" s="2858">
        <v>0.15</v>
      </c>
      <c r="F107" s="2858">
        <v>20</v>
      </c>
    </row>
    <row r="108" spans="1:6" ht="13.5">
      <c r="A108" s="2858">
        <v>36</v>
      </c>
      <c r="B108" s="3501"/>
      <c r="C108" s="2858" t="s">
        <v>2726</v>
      </c>
      <c r="D108" s="2832" t="s">
        <v>2727</v>
      </c>
      <c r="E108" s="2858">
        <v>0.15</v>
      </c>
      <c r="F108" s="2858">
        <v>20</v>
      </c>
    </row>
    <row r="109" spans="1:6" ht="13.5">
      <c r="A109" s="2858">
        <v>37</v>
      </c>
      <c r="B109" s="3501"/>
      <c r="C109" s="2858" t="s">
        <v>2728</v>
      </c>
      <c r="D109" s="2832" t="s">
        <v>2729</v>
      </c>
      <c r="E109" s="2858">
        <v>0.15</v>
      </c>
      <c r="F109" s="2858">
        <v>20</v>
      </c>
    </row>
    <row r="110" spans="1:6" ht="13.5">
      <c r="A110" s="2858">
        <v>38</v>
      </c>
      <c r="B110" s="3501"/>
      <c r="C110" s="2858" t="s">
        <v>2730</v>
      </c>
      <c r="D110" s="2832" t="s">
        <v>2731</v>
      </c>
      <c r="E110" s="2858">
        <v>0.1</v>
      </c>
      <c r="F110" s="2858">
        <v>15</v>
      </c>
    </row>
    <row r="111" spans="1:6" ht="24">
      <c r="A111" s="2858">
        <v>39</v>
      </c>
      <c r="B111" s="3501"/>
      <c r="C111" s="2858" t="s">
        <v>2732</v>
      </c>
      <c r="D111" s="2832" t="s">
        <v>2733</v>
      </c>
      <c r="E111" s="2858">
        <v>0.1</v>
      </c>
      <c r="F111" s="2858">
        <v>15</v>
      </c>
    </row>
    <row r="112" spans="1:6" ht="24">
      <c r="A112" s="2858">
        <v>40</v>
      </c>
      <c r="B112" s="3500"/>
      <c r="C112" s="2858" t="s">
        <v>2734</v>
      </c>
      <c r="D112" s="2832" t="s">
        <v>2735</v>
      </c>
      <c r="E112" s="2858">
        <v>0.1</v>
      </c>
      <c r="F112" s="2858">
        <v>15</v>
      </c>
    </row>
    <row r="113" spans="1:6" ht="13.5">
      <c r="A113" s="2858">
        <v>41</v>
      </c>
      <c r="B113" s="3498" t="s">
        <v>2736</v>
      </c>
      <c r="C113" s="2858" t="s">
        <v>2737</v>
      </c>
      <c r="D113" s="2832" t="s">
        <v>2738</v>
      </c>
      <c r="E113" s="2858">
        <v>0.1</v>
      </c>
      <c r="F113" s="2858">
        <v>15</v>
      </c>
    </row>
    <row r="114" spans="1:6" ht="13.5">
      <c r="A114" s="2858">
        <v>42</v>
      </c>
      <c r="B114" s="3498"/>
      <c r="C114" s="2858" t="s">
        <v>2739</v>
      </c>
      <c r="D114" s="2832" t="s">
        <v>2740</v>
      </c>
      <c r="E114" s="2858">
        <v>0.1</v>
      </c>
      <c r="F114" s="2858">
        <v>15</v>
      </c>
    </row>
    <row r="115" spans="1:6" ht="24">
      <c r="A115" s="2858">
        <v>43</v>
      </c>
      <c r="B115" s="3498"/>
      <c r="C115" s="2858" t="s">
        <v>2741</v>
      </c>
      <c r="D115" s="2832" t="s">
        <v>2742</v>
      </c>
      <c r="E115" s="2858">
        <v>0.1</v>
      </c>
      <c r="F115" s="2858">
        <v>15</v>
      </c>
    </row>
    <row r="116" spans="1:6" ht="13.5">
      <c r="A116" s="2858">
        <v>44</v>
      </c>
      <c r="B116" s="3499" t="s">
        <v>2743</v>
      </c>
      <c r="C116" s="2858" t="s">
        <v>2744</v>
      </c>
      <c r="D116" s="2832" t="s">
        <v>2745</v>
      </c>
      <c r="E116" s="2858">
        <v>0.1</v>
      </c>
      <c r="F116" s="2858">
        <v>15</v>
      </c>
    </row>
    <row r="117" spans="1:6" ht="24">
      <c r="A117" s="2858">
        <v>45</v>
      </c>
      <c r="B117" s="3500"/>
      <c r="C117" s="2832" t="s">
        <v>2746</v>
      </c>
      <c r="D117" s="2832" t="s">
        <v>2747</v>
      </c>
      <c r="E117" s="2858">
        <v>0.1</v>
      </c>
      <c r="F117" s="2858">
        <v>15</v>
      </c>
    </row>
    <row r="118" spans="1:6" ht="24">
      <c r="A118" s="2858">
        <v>46</v>
      </c>
      <c r="B118" s="3499" t="s">
        <v>2748</v>
      </c>
      <c r="C118" s="2858" t="s">
        <v>2749</v>
      </c>
      <c r="D118" s="2832" t="s">
        <v>2750</v>
      </c>
      <c r="E118" s="2858">
        <v>0.1</v>
      </c>
      <c r="F118" s="2858">
        <v>15</v>
      </c>
    </row>
    <row r="119" spans="1:6" ht="24">
      <c r="A119" s="2858">
        <v>47</v>
      </c>
      <c r="B119" s="3500"/>
      <c r="C119" s="2858" t="s">
        <v>2751</v>
      </c>
      <c r="D119" s="2832" t="s">
        <v>2752</v>
      </c>
      <c r="E119" s="2858">
        <v>0.1</v>
      </c>
      <c r="F119" s="2858">
        <v>15</v>
      </c>
    </row>
    <row r="120" spans="1:6" ht="13.5">
      <c r="A120" s="2858">
        <v>48</v>
      </c>
      <c r="B120" s="3499" t="s">
        <v>2753</v>
      </c>
      <c r="C120" s="2858" t="s">
        <v>2754</v>
      </c>
      <c r="D120" s="2832" t="s">
        <v>2755</v>
      </c>
      <c r="E120" s="2858">
        <v>0.1</v>
      </c>
      <c r="F120" s="2858">
        <v>15</v>
      </c>
    </row>
    <row r="121" spans="1:6" ht="13.5">
      <c r="A121" s="2858">
        <v>49</v>
      </c>
      <c r="B121" s="3500"/>
      <c r="C121" s="2858" t="s">
        <v>2756</v>
      </c>
      <c r="D121" s="2832" t="s">
        <v>2757</v>
      </c>
      <c r="E121" s="2858">
        <v>0.1</v>
      </c>
      <c r="F121" s="2858">
        <v>15</v>
      </c>
    </row>
    <row r="122" spans="1:6" ht="24">
      <c r="A122" s="2858">
        <v>50</v>
      </c>
      <c r="B122" s="3498" t="s">
        <v>2758</v>
      </c>
      <c r="C122" s="2858" t="s">
        <v>2759</v>
      </c>
      <c r="D122" s="2832" t="s">
        <v>2760</v>
      </c>
      <c r="E122" s="2858">
        <v>0.1</v>
      </c>
      <c r="F122" s="2858">
        <v>15</v>
      </c>
    </row>
    <row r="123" spans="1:6" ht="24">
      <c r="A123" s="2858">
        <v>51</v>
      </c>
      <c r="B123" s="3498"/>
      <c r="C123" s="2858" t="s">
        <v>2761</v>
      </c>
      <c r="D123" s="2832" t="s">
        <v>2762</v>
      </c>
      <c r="E123" s="2858">
        <v>0.1</v>
      </c>
      <c r="F123" s="2858">
        <v>15</v>
      </c>
    </row>
    <row r="124" spans="1:6" ht="24">
      <c r="A124" s="2858">
        <v>52</v>
      </c>
      <c r="B124" s="3498" t="s">
        <v>2763</v>
      </c>
      <c r="C124" s="2858" t="s">
        <v>2764</v>
      </c>
      <c r="D124" s="2832" t="s">
        <v>2765</v>
      </c>
      <c r="E124" s="2858">
        <v>0.1</v>
      </c>
      <c r="F124" s="2858">
        <v>15</v>
      </c>
    </row>
    <row r="125" spans="1:6" ht="24">
      <c r="A125" s="2858">
        <v>53</v>
      </c>
      <c r="B125" s="3498"/>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98" t="s">
        <v>2771</v>
      </c>
      <c r="C127" s="2858" t="s">
        <v>2772</v>
      </c>
      <c r="D127" s="2832" t="s">
        <v>2773</v>
      </c>
      <c r="E127" s="2858">
        <v>0.1</v>
      </c>
      <c r="F127" s="2858">
        <v>15</v>
      </c>
    </row>
    <row r="128" spans="1:6" ht="13.5">
      <c r="A128" s="2858">
        <v>56</v>
      </c>
      <c r="B128" s="3498"/>
      <c r="C128" s="2858" t="s">
        <v>2774</v>
      </c>
      <c r="D128" s="2832" t="s">
        <v>2775</v>
      </c>
      <c r="E128" s="2858">
        <v>0.1</v>
      </c>
      <c r="F128" s="2858">
        <v>15</v>
      </c>
    </row>
    <row r="129" spans="1:6" ht="24">
      <c r="A129" s="2858">
        <v>57</v>
      </c>
      <c r="B129" s="3498"/>
      <c r="C129" s="2858" t="s">
        <v>2776</v>
      </c>
      <c r="D129" s="2832" t="s">
        <v>2777</v>
      </c>
      <c r="E129" s="2858">
        <v>0.1</v>
      </c>
      <c r="F129" s="2858">
        <v>15</v>
      </c>
    </row>
    <row r="130" spans="1:6" ht="24">
      <c r="A130" s="2858">
        <v>58</v>
      </c>
      <c r="B130" s="3498" t="s">
        <v>2778</v>
      </c>
      <c r="C130" s="2858" t="s">
        <v>2779</v>
      </c>
      <c r="D130" s="2832" t="s">
        <v>2780</v>
      </c>
      <c r="E130" s="2858">
        <v>0.1</v>
      </c>
      <c r="F130" s="2858">
        <v>15</v>
      </c>
    </row>
    <row r="131" spans="1:6" ht="13.5">
      <c r="A131" s="2858">
        <v>59</v>
      </c>
      <c r="B131" s="3498"/>
      <c r="C131" s="2858" t="s">
        <v>2781</v>
      </c>
      <c r="D131" s="2832" t="s">
        <v>2782</v>
      </c>
      <c r="E131" s="2858">
        <v>0.1</v>
      </c>
      <c r="F131" s="2858">
        <v>15</v>
      </c>
    </row>
    <row r="132" spans="1:6" ht="13.5">
      <c r="A132" s="2858">
        <v>60</v>
      </c>
      <c r="B132" s="3499" t="s">
        <v>2783</v>
      </c>
      <c r="C132" s="2858" t="s">
        <v>2784</v>
      </c>
      <c r="D132" s="2832" t="s">
        <v>2785</v>
      </c>
      <c r="E132" s="2858">
        <v>0.1</v>
      </c>
      <c r="F132" s="2858">
        <v>15</v>
      </c>
    </row>
    <row r="133" spans="1:6" ht="13.5">
      <c r="A133" s="2858">
        <v>61</v>
      </c>
      <c r="B133" s="3500"/>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98" t="s">
        <v>2791</v>
      </c>
      <c r="C135" s="2858" t="s">
        <v>2792</v>
      </c>
      <c r="D135" s="2832" t="s">
        <v>2793</v>
      </c>
      <c r="E135" s="2858">
        <v>0.1</v>
      </c>
      <c r="F135" s="2858">
        <v>15</v>
      </c>
    </row>
    <row r="136" spans="1:6" ht="13.5">
      <c r="A136" s="2858">
        <v>64</v>
      </c>
      <c r="B136" s="3498"/>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1"/>
      <c r="B4" s="3183" t="s">
        <v>917</v>
      </c>
      <c r="C4" s="3183"/>
      <c r="D4" s="3183"/>
      <c r="E4" s="1391"/>
    </row>
    <row r="5" spans="1:5" ht="16.5" thickTop="1">
      <c r="B5" s="3181" t="s">
        <v>909</v>
      </c>
      <c r="C5" s="1392" t="s">
        <v>910</v>
      </c>
      <c r="D5" s="797" t="e">
        <f ca="1">结果表!H101</f>
        <v>#REF!</v>
      </c>
    </row>
    <row r="6" spans="1:5" ht="15.75">
      <c r="B6" s="3181"/>
      <c r="C6" s="1392" t="s">
        <v>911</v>
      </c>
      <c r="D6" s="797" t="e">
        <f ca="1">NUMBERSTRING(INT(D5*10000),2)&amp;"元整"</f>
        <v>#REF!</v>
      </c>
    </row>
    <row r="7" spans="1:5" ht="15.75">
      <c r="B7" s="3186"/>
      <c r="C7" s="1393" t="s">
        <v>912</v>
      </c>
      <c r="D7" s="798" t="e">
        <f ca="1">结果表!H102</f>
        <v>#REF!</v>
      </c>
    </row>
    <row r="8" spans="1:5" ht="15.75">
      <c r="B8" s="3187" t="str">
        <f>结果表!E103</f>
        <v>2.估价师知悉的法定优先受偿款</v>
      </c>
      <c r="C8" s="1394" t="s">
        <v>913</v>
      </c>
      <c r="D8" s="798">
        <f>结果表!H103</f>
        <v>0</v>
      </c>
    </row>
    <row r="9" spans="1:5" ht="15.75">
      <c r="B9" s="318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0" t="str">
        <f>结果表!E107</f>
        <v>3.房地产抵押价值</v>
      </c>
      <c r="C13" s="1397" t="s">
        <v>910</v>
      </c>
      <c r="D13" s="800" t="e">
        <f ca="1">结果表!H107</f>
        <v>#REF!</v>
      </c>
    </row>
    <row r="14" spans="1:5" ht="15.75">
      <c r="B14" s="3181"/>
      <c r="C14" s="1392" t="s">
        <v>911</v>
      </c>
      <c r="D14" s="797" t="e">
        <f ca="1">NUMBERSTRING(INT(D13*10000),2)&amp;"元整"</f>
        <v>#REF!</v>
      </c>
    </row>
    <row r="15" spans="1:5" ht="15">
      <c r="B15" s="3186"/>
      <c r="C15" s="1393" t="s">
        <v>921</v>
      </c>
      <c r="D15" s="806" t="e">
        <f ca="1">结果表!H108</f>
        <v>#REF!</v>
      </c>
    </row>
    <row r="16" spans="1:5" ht="15">
      <c r="B16" s="3187" t="str">
        <f>结果表!E109</f>
        <v>——</v>
      </c>
      <c r="C16" s="1397" t="s">
        <v>922</v>
      </c>
      <c r="D16" s="1398" t="str">
        <f>结果表!H109</f>
        <v>——</v>
      </c>
    </row>
    <row r="17" spans="1:5" ht="15.75">
      <c r="B17" s="3188"/>
      <c r="C17" s="1392" t="s">
        <v>923</v>
      </c>
      <c r="D17" s="797" t="e">
        <f>NUMBERSTRING(INT(D16*10000),2)&amp;"元整"</f>
        <v>#VALUE!</v>
      </c>
    </row>
    <row r="18" spans="1:5" ht="15">
      <c r="B18" s="3189"/>
      <c r="C18" s="1393" t="s">
        <v>912</v>
      </c>
      <c r="D18" s="806" t="str">
        <f>结果表!H110</f>
        <v>——</v>
      </c>
    </row>
    <row r="19" spans="1:5" ht="15.75">
      <c r="B19" s="3180" t="str">
        <f>结果表!E111</f>
        <v>——</v>
      </c>
      <c r="C19" s="1397" t="s">
        <v>910</v>
      </c>
      <c r="D19" s="798" t="str">
        <f>结果表!H111</f>
        <v>——</v>
      </c>
    </row>
    <row r="20" spans="1:5" ht="15.75">
      <c r="B20" s="3181"/>
      <c r="C20" s="1392" t="s">
        <v>923</v>
      </c>
      <c r="D20" s="797" t="e">
        <f>NUMBERSTRING(INT(D19*10000),2)&amp;"元整"</f>
        <v>#VALUE!</v>
      </c>
    </row>
    <row r="21" spans="1:5" ht="15.75" thickBot="1">
      <c r="B21" s="318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61" t="s">
        <v>94</v>
      </c>
    </row>
    <row r="43" spans="1:7" ht="13.5" customHeight="1">
      <c r="A43" s="734" t="s">
        <v>347</v>
      </c>
      <c r="B43" s="207" t="s">
        <v>426</v>
      </c>
      <c r="C43" s="230" t="e">
        <f ca="1">ROUND(IF('数据-取费表'!B22&lt;=1,C39*F22*'数据-取费表'!B21/2,C39*(POWER((1+F22),'数据-取费表'!B21/2)-1)),0)</f>
        <v>#VALUE!</v>
      </c>
      <c r="D43" s="230"/>
      <c r="E43" s="230"/>
      <c r="F43" s="231"/>
      <c r="G43" s="3362"/>
    </row>
    <row r="44" spans="1:7" ht="13.5" customHeight="1">
      <c r="A44" s="734" t="s">
        <v>348</v>
      </c>
      <c r="B44" s="207" t="s">
        <v>428</v>
      </c>
      <c r="C44" s="230" t="e">
        <f ca="1">ROUND(IF('数据-取费表'!B22&lt;=1,C40*F22*'数据-取费表'!B21/2,C40*(POWER((1+F22),'数据-取费表'!B21/2)-1)),4)</f>
        <v>#VALUE!</v>
      </c>
      <c r="D44" s="230"/>
      <c r="E44" s="230"/>
      <c r="F44" s="231"/>
      <c r="G44" s="3363"/>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2" t="s">
        <v>2841</v>
      </c>
      <c r="B1" s="3512"/>
      <c r="C1" s="3512"/>
      <c r="D1" s="3512"/>
      <c r="E1" s="3512"/>
      <c r="F1" s="3512"/>
      <c r="G1" s="3513"/>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510"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511"/>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4" t="s">
        <v>3183</v>
      </c>
      <c r="B1" s="3514"/>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515" t="s">
        <v>3234</v>
      </c>
      <c r="B1" s="3515"/>
      <c r="C1" s="3515"/>
      <c r="D1" s="3515"/>
      <c r="E1" s="3515"/>
      <c r="F1" s="3516"/>
    </row>
    <row r="2" spans="1:6" ht="14.25">
      <c r="A2" s="3003" t="s">
        <v>3235</v>
      </c>
    </row>
    <row r="3" spans="1:6" ht="14.25">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45628</v>
      </c>
      <c r="B1" s="2930" t="s">
        <v>3383</v>
      </c>
      <c r="C1" s="2931"/>
      <c r="D1" s="2931"/>
      <c r="E1" s="2931"/>
      <c r="F1" s="2931"/>
      <c r="G1" s="2931"/>
      <c r="H1" s="2931"/>
      <c r="I1" s="2931"/>
      <c r="J1" s="2897"/>
      <c r="K1" s="2931" t="s">
        <v>454</v>
      </c>
      <c r="L1" s="2931"/>
      <c r="M1" s="2931"/>
      <c r="N1" s="2931"/>
      <c r="O1" s="2931"/>
      <c r="P1" s="2931"/>
      <c r="Q1" s="2897"/>
      <c r="R1" s="3517" t="s">
        <v>456</v>
      </c>
      <c r="S1" s="3518"/>
      <c r="T1" s="3518"/>
      <c r="U1" s="3518"/>
      <c r="V1" s="3518"/>
      <c r="W1" s="3518"/>
      <c r="X1" s="2897"/>
      <c r="Y1" s="3517" t="s">
        <v>457</v>
      </c>
      <c r="Z1" s="3518"/>
      <c r="AA1" s="3518"/>
      <c r="AB1" s="3518"/>
      <c r="AC1" s="3518"/>
      <c r="AD1" s="3518"/>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3386</v>
      </c>
    </row>
    <row r="24" spans="1:30">
      <c r="I24" s="1405" t="s">
        <v>2827</v>
      </c>
    </row>
    <row r="26" spans="1:30" s="2009" customFormat="1" ht="12.75">
      <c r="B26" s="2930" t="s">
        <v>3384</v>
      </c>
      <c r="C26" s="2931"/>
      <c r="D26" s="2931"/>
      <c r="E26" s="2931"/>
      <c r="F26" s="2931"/>
      <c r="G26" s="2931"/>
      <c r="H26" s="2931"/>
      <c r="I26" s="2931"/>
      <c r="J26" s="2897"/>
      <c r="K26" s="2931" t="s">
        <v>2828</v>
      </c>
      <c r="L26" s="2931"/>
      <c r="M26" s="2931"/>
      <c r="N26" s="2931"/>
      <c r="O26" s="2931"/>
      <c r="P26" s="2931"/>
      <c r="Q26" s="2897"/>
      <c r="R26" s="3517" t="s">
        <v>2829</v>
      </c>
      <c r="S26" s="3518"/>
      <c r="T26" s="3518"/>
      <c r="U26" s="3518"/>
      <c r="V26" s="3518"/>
      <c r="W26" s="3518"/>
      <c r="X26" s="2897"/>
      <c r="Y26" s="3517" t="s">
        <v>2830</v>
      </c>
      <c r="Z26" s="3518"/>
      <c r="AA26" s="3518"/>
      <c r="AB26" s="3518"/>
      <c r="AC26" s="3518"/>
      <c r="AD26" s="3518"/>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45628</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3"/>
      <c r="B3" s="3193"/>
      <c r="C3" s="3193"/>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3" t="s">
        <v>927</v>
      </c>
      <c r="B5" s="3193"/>
      <c r="C5" s="3193"/>
      <c r="D5" s="3193" t="e">
        <f ca="1">结果表!D119</f>
        <v>#REF!</v>
      </c>
      <c r="E5" s="3193"/>
      <c r="F5" s="3193" t="e">
        <f ca="1">结果表!F119</f>
        <v>#REF!</v>
      </c>
      <c r="G5" s="3193"/>
      <c r="H5" s="3193" t="e">
        <f ca="1">结果表!H119</f>
        <v>#REF!</v>
      </c>
      <c r="I5" s="3193"/>
    </row>
    <row r="6" spans="1:9" ht="15.75">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75">
      <c r="A8" s="3192" t="str">
        <f>结果表!A122</f>
        <v>房地产抵押价值</v>
      </c>
      <c r="B8" s="3192"/>
      <c r="C8" s="3192"/>
      <c r="D8" s="3192" t="e">
        <f ca="1">结果表!D122</f>
        <v>#REF!</v>
      </c>
      <c r="E8" s="3192"/>
      <c r="F8" s="3192"/>
      <c r="G8" s="3192"/>
      <c r="H8" s="3192"/>
      <c r="I8" s="3192"/>
    </row>
    <row r="9" spans="1:9" ht="15">
      <c r="A9" s="3193" t="s">
        <v>927</v>
      </c>
      <c r="B9" s="3193"/>
      <c r="C9" s="3193"/>
      <c r="D9" s="3193" t="e">
        <f ca="1">结果表!D123</f>
        <v>#REF!</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5" t="s">
        <v>949</v>
      </c>
      <c r="B1" s="3205"/>
      <c r="C1" s="3205"/>
      <c r="D1" s="3205"/>
    </row>
    <row r="2" spans="1:4" ht="18">
      <c r="A2" s="3206" t="s">
        <v>933</v>
      </c>
      <c r="B2" s="3206"/>
      <c r="C2" s="3206"/>
      <c r="D2" s="32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7"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4"/>
      <c r="C12" s="3204"/>
      <c r="D12" s="3204"/>
    </row>
    <row r="13" spans="1:4" ht="30" customHeight="1">
      <c r="A13" s="3199" t="str">
        <f>IF(项目基本情况!B8="抵押","3.抵押双方在办理抵押登记手续时，应使用本公司出具的正式《房地产评估报告》，特提醒报告使用者注意。","——")</f>
        <v>——</v>
      </c>
      <c r="B13" s="3204"/>
      <c r="C13" s="3204"/>
      <c r="D13" s="3204"/>
    </row>
    <row r="14" spans="1:4" ht="15.75" customHeight="1">
      <c r="A14" s="3199" t="str">
        <f>IF(项目基本情况!B8="抵押","4.本次评估估价师所知悉的法定优先受偿款情况说明如下：","——")</f>
        <v>——</v>
      </c>
      <c r="B14" s="3204"/>
      <c r="C14" s="3204"/>
      <c r="D14" s="3204"/>
    </row>
    <row r="15" spans="1:4" ht="42" customHeight="1">
      <c r="A15" s="3199" t="str">
        <f>IF(项目基本情况!B8="抵押","（1）"&amp;CONCATENATE(项目基本情况!L20,项目基本情况!L21,项目基本情况!L22),"——")</f>
        <v>——</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3" t="s">
        <v>956</v>
      </c>
      <c r="B15" s="3208" t="s">
        <v>109</v>
      </c>
      <c r="C15" s="3209"/>
    </row>
    <row r="16" spans="1:7" ht="13.5">
      <c r="A16" s="3214"/>
      <c r="B16" s="3208" t="s">
        <v>42</v>
      </c>
      <c r="C16" s="3209"/>
    </row>
    <row r="17" spans="1:3" ht="13.5">
      <c r="A17" s="3214"/>
      <c r="B17" s="3211" t="s">
        <v>957</v>
      </c>
      <c r="C17" s="1429" t="s">
        <v>956</v>
      </c>
    </row>
    <row r="18" spans="1:3" ht="13.5">
      <c r="A18" s="3214"/>
      <c r="B18" s="3211"/>
      <c r="C18" s="1429" t="s">
        <v>958</v>
      </c>
    </row>
    <row r="19" spans="1:3" ht="13.5">
      <c r="A19" s="3214"/>
      <c r="B19" s="3211"/>
      <c r="C19" s="1429" t="s">
        <v>959</v>
      </c>
    </row>
    <row r="20" spans="1:3" ht="13.5">
      <c r="A20" s="3215"/>
      <c r="B20" s="3210" t="s">
        <v>960</v>
      </c>
      <c r="C20" s="3209"/>
    </row>
    <row r="21" spans="1:3" ht="13.5">
      <c r="A21" s="1430" t="s">
        <v>961</v>
      </c>
      <c r="B21" s="1431"/>
      <c r="C21" s="1432"/>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9" t="s">
        <v>967</v>
      </c>
    </row>
    <row r="26" spans="1:3" ht="13.5">
      <c r="A26" s="3212"/>
      <c r="B26" s="3211"/>
      <c r="C26" s="1429" t="s">
        <v>968</v>
      </c>
    </row>
    <row r="27" spans="1:3" ht="13.5">
      <c r="A27" s="3212"/>
      <c r="B27" s="3211"/>
      <c r="C27" s="1429" t="s">
        <v>969</v>
      </c>
    </row>
    <row r="28" spans="1:3" ht="13.5">
      <c r="A28" s="3212"/>
      <c r="B28" s="3211"/>
      <c r="C28" s="1429" t="s">
        <v>970</v>
      </c>
    </row>
    <row r="29" spans="1:3" ht="13.5">
      <c r="A29" s="3212"/>
      <c r="B29" s="3211"/>
      <c r="C29" s="1429" t="s">
        <v>971</v>
      </c>
    </row>
    <row r="30" spans="1:3" ht="13.5">
      <c r="A30" s="3212"/>
      <c r="B30" s="3211"/>
      <c r="C30" s="1429" t="s">
        <v>972</v>
      </c>
    </row>
    <row r="31" spans="1:3" ht="13.5">
      <c r="A31" s="3212"/>
      <c r="B31" s="3211"/>
      <c r="C31" s="1429" t="s">
        <v>973</v>
      </c>
    </row>
    <row r="32" spans="1:3" ht="13.5">
      <c r="A32" s="3212"/>
      <c r="B32" s="3211"/>
      <c r="C32" s="1429" t="s">
        <v>974</v>
      </c>
    </row>
    <row r="33" spans="1:3" ht="13.5">
      <c r="A33" s="3212"/>
      <c r="B33" s="321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45632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面积及结果</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2024-12-06T08:22:29Z</dcterms:modified>
</cp:coreProperties>
</file>