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0-红松园研发用房\"/>
    </mc:Choice>
  </mc:AlternateContent>
  <xr:revisionPtr revIDLastSave="0" documentId="13_ncr:1_{946DA341-BF70-4E4D-9086-46E6B0727717}" xr6:coauthVersionLast="47" xr6:coauthVersionMax="47" xr10:uidLastSave="{00000000-0000-0000-0000-000000000000}"/>
  <bookViews>
    <workbookView xWindow="-108" yWindow="-108" windowWidth="23256" windowHeight="12576"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9" i="81" l="1"/>
  <c r="K8" i="83"/>
  <c r="K7" i="83"/>
  <c r="D128" i="34"/>
  <c r="E128" i="34" s="1"/>
  <c r="F128" i="34" s="1"/>
  <c r="G128" i="34" s="1"/>
  <c r="L14" i="1"/>
  <c r="E39" i="6"/>
  <c r="F39" i="6"/>
  <c r="I48" i="34"/>
  <c r="G48" i="34"/>
  <c r="E48" i="34"/>
  <c r="D67" i="34"/>
  <c r="E67" i="34" s="1"/>
  <c r="F67" i="34" s="1"/>
  <c r="C29" i="34"/>
  <c r="J49" i="15" l="1"/>
  <c r="G14" i="81"/>
  <c r="D14" i="81"/>
  <c r="C14" i="81"/>
  <c r="C13" i="81"/>
  <c r="I9" i="81"/>
  <c r="H6" i="81"/>
  <c r="I6" i="81" s="1"/>
  <c r="G9" i="81" s="1"/>
  <c r="F6" i="81"/>
  <c r="D6" i="81"/>
  <c r="D9" i="81" s="1"/>
  <c r="I5" i="81"/>
  <c r="I4" i="81"/>
  <c r="D1" i="81" s="1"/>
  <c r="K15" i="3"/>
  <c r="D13" i="81" l="1"/>
  <c r="G15" i="81" s="1"/>
  <c r="D40" i="43"/>
  <c r="F9" i="81"/>
  <c r="E9" i="81"/>
  <c r="D42" i="43" s="1"/>
  <c r="I7" i="81"/>
  <c r="N19" i="1" l="1"/>
  <c r="N21" i="1" s="1"/>
  <c r="B21" i="1"/>
  <c r="N6" i="1" l="1"/>
  <c r="G14" i="73"/>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J40" i="34"/>
  <c r="AC40" i="34" s="1"/>
  <c r="H38" i="34"/>
  <c r="AB38" i="34" s="1"/>
  <c r="J36" i="34"/>
  <c r="W36" i="34" s="1"/>
  <c r="H25" i="34"/>
  <c r="AB25" i="34" s="1"/>
  <c r="J25" i="34"/>
  <c r="AC25"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S14" i="34"/>
  <c r="H14" i="34"/>
  <c r="AB14" i="34" s="1"/>
  <c r="H30" i="34"/>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C36" i="34"/>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U43" i="34"/>
  <c r="AC42" i="34"/>
  <c r="AB35" i="34"/>
  <c r="U39"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F34" i="67"/>
  <c r="F62" i="67" s="1"/>
  <c r="M20" i="67"/>
  <c r="F34" i="15"/>
  <c r="F62" i="15" s="1"/>
  <c r="G13" i="3"/>
  <c r="BA13" i="3"/>
  <c r="BL17" i="3"/>
  <c r="BL13" i="3"/>
  <c r="J56" i="9"/>
  <c r="J57" i="9" s="1"/>
  <c r="J59" i="9" s="1"/>
  <c r="J61" i="9" s="1"/>
  <c r="A24" i="51"/>
  <c r="B18" i="72" s="1"/>
  <c r="E5" i="6"/>
  <c r="E32" i="6"/>
  <c r="E19" i="69"/>
  <c r="E19" i="68"/>
  <c r="E19" i="11"/>
  <c r="G22" i="68"/>
  <c r="G26" i="12"/>
  <c r="C6" i="43"/>
  <c r="B19" i="53"/>
  <c r="B37" i="72" s="1"/>
  <c r="C7" i="39"/>
  <c r="C67" i="39" s="1"/>
  <c r="C7" i="40"/>
  <c r="C63" i="40"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6" i="34"/>
  <c r="AC14" i="34"/>
  <c r="U30" i="34"/>
  <c r="AB30" i="34"/>
  <c r="AA8" i="34"/>
  <c r="S8" i="34"/>
  <c r="AA46" i="34"/>
  <c r="U14" i="34"/>
  <c r="AC43" i="34"/>
  <c r="W43"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E10" i="76"/>
  <c r="F4" i="73"/>
  <c r="E2" i="68"/>
  <c r="B11" i="76"/>
  <c r="B7" i="76"/>
  <c r="E13" i="76"/>
  <c r="B10" i="76"/>
  <c r="F5" i="73"/>
  <c r="F6" i="73"/>
  <c r="E12" i="76"/>
  <c r="E8" i="76"/>
  <c r="B13" i="76"/>
  <c r="B8" i="76"/>
  <c r="E9" i="76"/>
  <c r="E11" i="76"/>
  <c r="B9" i="76"/>
  <c r="F20" i="31"/>
  <c r="D6" i="73"/>
  <c r="B12" i="76"/>
  <c r="F3" i="73"/>
  <c r="F7" i="73"/>
  <c r="AO13" i="1"/>
  <c r="E2" i="69"/>
  <c r="AA33" i="34" l="1"/>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30" i="6" s="1"/>
  <c r="G505" i="3"/>
  <c r="BA498" i="3"/>
  <c r="G497" i="3"/>
  <c r="G496" i="3"/>
  <c r="BL495" i="3"/>
  <c r="BA495" i="3"/>
  <c r="J17" i="34"/>
  <c r="W17" i="34" s="1"/>
  <c r="H17" i="34"/>
  <c r="U17" i="34" s="1"/>
  <c r="F12" i="36"/>
  <c r="S38" i="39"/>
  <c r="W28" i="36"/>
  <c r="G19" i="6"/>
  <c r="G27" i="6" s="1"/>
  <c r="D19" i="81"/>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D18" i="81"/>
  <c r="F19" i="6"/>
  <c r="E19" i="6" s="1"/>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5"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E11" i="6" s="1"/>
  <c r="E60" i="39" s="1"/>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B45" i="34"/>
  <c r="AA40" i="34"/>
  <c r="AA16" i="35"/>
  <c r="S24" i="35"/>
  <c r="AB28" i="36"/>
  <c r="S31" i="40"/>
  <c r="AC11" i="33"/>
  <c r="W38" i="33"/>
  <c r="S27" i="33"/>
  <c r="U28" i="34"/>
  <c r="S43" i="34"/>
  <c r="W41" i="34"/>
  <c r="U23" i="37"/>
  <c r="AA33" i="35"/>
  <c r="U25" i="39"/>
  <c r="AC36" i="40"/>
  <c r="AZ14" i="3"/>
  <c r="AB23" i="35"/>
  <c r="U35" i="21"/>
  <c r="BN5" i="3"/>
  <c r="G29" i="6" s="1"/>
  <c r="AC5" i="3"/>
  <c r="BM5" i="3"/>
  <c r="AZ16" i="3"/>
  <c r="AZ327"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J26" i="43" s="1"/>
  <c r="L19" i="6"/>
  <c r="L27" i="6" s="1"/>
  <c r="T13" i="1"/>
  <c r="C58" i="21"/>
  <c r="D58" i="21" s="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M26" i="67"/>
  <c r="F37" i="67"/>
  <c r="L48" i="67"/>
  <c r="M29" i="15"/>
  <c r="F16" i="15"/>
  <c r="D3" i="73"/>
  <c r="M8" i="15"/>
  <c r="D9" i="68"/>
  <c r="F7" i="15"/>
  <c r="M8" i="67"/>
  <c r="C76" i="67"/>
  <c r="M9" i="15"/>
  <c r="D7" i="73"/>
  <c r="M9" i="67"/>
  <c r="F43" i="67"/>
  <c r="M26" i="15"/>
  <c r="M24" i="15"/>
  <c r="L47" i="67"/>
  <c r="F42" i="15"/>
  <c r="F8" i="67"/>
  <c r="M24" i="67"/>
  <c r="F8" i="15"/>
  <c r="F9" i="67"/>
  <c r="M23" i="67"/>
  <c r="L47" i="15"/>
  <c r="M28" i="15"/>
  <c r="F6" i="15"/>
  <c r="C76" i="15"/>
  <c r="F40" i="67"/>
  <c r="F42" i="67"/>
  <c r="F7" i="67"/>
  <c r="F40" i="15"/>
  <c r="J15" i="15"/>
  <c r="M6" i="67"/>
  <c r="M6" i="15"/>
  <c r="F13" i="67"/>
  <c r="F13" i="15"/>
  <c r="F37" i="15"/>
  <c r="F6" i="67"/>
  <c r="F36" i="15"/>
  <c r="F26" i="15"/>
  <c r="L48" i="15"/>
  <c r="J15" i="67"/>
  <c r="F36" i="67"/>
  <c r="F26" i="67"/>
  <c r="M23" i="15"/>
  <c r="F38" i="15"/>
  <c r="F16" i="67"/>
  <c r="F38" i="67"/>
  <c r="M29" i="67"/>
  <c r="D4" i="73"/>
  <c r="M22" i="15"/>
  <c r="D5" i="73"/>
  <c r="F9" i="15"/>
  <c r="M22" i="67"/>
  <c r="M28" i="67"/>
  <c r="F43" i="15"/>
  <c r="U19" i="34" l="1"/>
  <c r="W33" i="34"/>
  <c r="AA45" i="34"/>
  <c r="AB37" i="34"/>
  <c r="AC17" i="34"/>
  <c r="S23" i="34"/>
  <c r="U15" i="34"/>
  <c r="W15" i="34"/>
  <c r="AP6" i="1"/>
  <c r="C36" i="69" s="1"/>
  <c r="M6" i="1"/>
  <c r="O6" i="1" s="1"/>
  <c r="G31" i="6"/>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D20" i="81"/>
  <c r="E20" i="8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E144" i="3"/>
  <c r="E197" i="3"/>
  <c r="E223" i="3"/>
  <c r="E299" i="3"/>
  <c r="E416" i="3"/>
  <c r="E520" i="3"/>
  <c r="E126" i="3"/>
  <c r="E272" i="3"/>
  <c r="E238" i="3"/>
  <c r="E581" i="3"/>
  <c r="E114" i="3"/>
  <c r="E72" i="3"/>
  <c r="E210" i="3"/>
  <c r="E380" i="3"/>
  <c r="E216" i="3"/>
  <c r="E227" i="3"/>
  <c r="E368" i="3"/>
  <c r="E217" i="3"/>
  <c r="E445" i="3"/>
  <c r="AA26" i="37"/>
  <c r="S26" i="37"/>
  <c r="BA5" i="3"/>
  <c r="E27" i="6" s="1"/>
  <c r="K26" i="6" s="1"/>
  <c r="M26" i="6" s="1"/>
  <c r="I26" i="6" s="1"/>
  <c r="S26" i="6" s="1"/>
  <c r="AZ5" i="3"/>
  <c r="E240"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C36" i="68"/>
  <c r="F27" i="68"/>
  <c r="G1" i="73"/>
  <c r="C16" i="67"/>
  <c r="E172" i="3" l="1"/>
  <c r="E545" i="3"/>
  <c r="E111" i="3"/>
  <c r="E558" i="3"/>
  <c r="E98" i="3"/>
  <c r="E116" i="3"/>
  <c r="E33" i="3"/>
  <c r="P65" i="71"/>
  <c r="P66" i="71"/>
  <c r="T32" i="71"/>
  <c r="D32" i="71"/>
  <c r="G35" i="6"/>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15"/>
  <c r="AE6" i="1"/>
  <c r="F41" i="67"/>
  <c r="M27" i="67"/>
  <c r="G54" i="34" l="1"/>
  <c r="H54" i="34" s="1"/>
  <c r="R50" i="34"/>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C14" i="67"/>
  <c r="D10" i="68"/>
  <c r="F41" i="15"/>
  <c r="C17" i="15"/>
  <c r="C17" i="67"/>
  <c r="B14" i="74" l="1"/>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7" i="74" l="1"/>
  <c r="D8"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C19" i="9"/>
  <c r="AO10" i="1"/>
  <c r="AO9" i="1"/>
  <c r="AO8" i="1"/>
  <c r="AO12" i="1"/>
  <c r="AO11"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D8" i="52" l="1"/>
  <c r="C95" i="9"/>
  <c r="C96" i="9" s="1"/>
  <c r="E96" i="9" s="1"/>
  <c r="E97" i="9" s="1"/>
  <c r="C6" i="74"/>
  <c r="L63" i="9"/>
  <c r="M63" i="9" s="1"/>
  <c r="L64" i="9"/>
  <c r="M64" i="9" s="1"/>
  <c r="L67" i="9"/>
  <c r="M67" i="9" s="1"/>
  <c r="C81" i="9"/>
  <c r="L66" i="9"/>
  <c r="M66" i="9" s="1"/>
  <c r="L68" i="9"/>
  <c r="M68" i="9" s="1"/>
  <c r="C97" i="9"/>
  <c r="D58" i="9" s="1"/>
  <c r="D56" i="9" s="1"/>
  <c r="M54" i="9" s="1"/>
  <c r="N57" i="9" s="1"/>
  <c r="M69" i="9" l="1"/>
  <c r="N69" i="9" s="1"/>
  <c r="N58" i="9"/>
  <c r="P57" i="9"/>
  <c r="N59" i="9"/>
  <c r="N61" i="9" l="1"/>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00000000-0006-0000-2A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00000000-0006-0000-2A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00000000-0006-0000-2A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<sst xmlns="http://schemas.openxmlformats.org/spreadsheetml/2006/main" count="8033" uniqueCount="3549">
  <si>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</si>
  <si>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</si>
  <si>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</si>
  <si>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</si>
  <si>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</si>
  <si>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</si>
  <si>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</si>
  <si>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</si>
  <si>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</si>
  <si>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</si>
  <si>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</si>
  <si>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</si>
  <si>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</si>
  <si>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</si>
  <si>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</si>
  <si>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</si>
  <si>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</si>
  <si>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</si>
  <si>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</si>
  <si>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</si>
  <si>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</si>
  <si>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</si>
  <si>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</si>
  <si>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</si>
  <si>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</si>
  <si>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</si>
  <si>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</si>
  <si>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</si>
  <si>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</si>
  <si>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</si>
  <si>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</si>
  <si>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</si>
  <si>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</si>
  <si>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</si>
  <si>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</si>
  <si>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</si>
  <si>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</si>
  <si>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</si>
  <si>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</si>
  <si>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</si>
  <si>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</si>
  <si>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</si>
  <si>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</si>
  <si>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</si>
  <si>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</si>
  <si>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</si>
  <si>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</si>
  <si>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</si>
  <si>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</si>
  <si>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</si>
  <si>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</si>
  <si>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</si>
  <si>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</si>
  <si>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</si>
  <si>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</si>
  <si>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</si>
  <si>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</si>
  <si>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</si>
  <si>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</si>
  <si>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</si>
  <si>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</si>
  <si>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</si>
  <si>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</si>
  <si>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</si>
  <si>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</si>
  <si>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</si>
  <si>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</si>
  <si>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</si>
  <si>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</si>
  <si>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</si>
  <si>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</si>
  <si>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</si>
  <si>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</si>
  <si>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</si>
  <si>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</si>
  <si>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</si>
  <si>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</si>
  <si>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</si>
  <si>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</si>
  <si>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</si>
  <si>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</si>
  <si>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</si>
  <si>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</si>
  <si>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</si>
  <si>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</si>
  <si>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</si>
  <si>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</si>
  <si>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</si>
  <si>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</si>
  <si>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</si>
  <si>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</si>
  <si>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</si>
  <si>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</si>
  <si>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</si>
  <si>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</si>
  <si>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</si>
  <si>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</si>
  <si>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</si>
  <si>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</si>
  <si>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</si>
  <si>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</si>
  <si>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</si>
  <si>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</si>
  <si>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</si>
  <si>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</si>
  <si>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</si>
  <si>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</si>
  <si>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</si>
  <si>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</si>
  <si>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</si>
  <si>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</si>
  <si>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</si>
  <si>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</si>
  <si>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</si>
  <si>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</si>
  <si>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</si>
  <si>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</si>
  <si>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</si>
  <si>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</si>
  <si>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</si>
  <si>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</si>
  <si>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</si>
  <si>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</si>
  <si>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</si>
  <si>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</si>
  <si>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</si>
  <si>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</si>
  <si>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</si>
  <si>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</si>
  <si>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</si>
  <si>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</si>
  <si>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</si>
  <si>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</si>
  <si>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</si>
  <si>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</si>
  <si>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</si>
  <si>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</si>
  <si>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</si>
  <si>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</si>
  <si>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</si>
  <si>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</si>
  <si>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</si>
  <si>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</si>
  <si>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</si>
  <si>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</si>
  <si>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</si>
  <si>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</si>
  <si>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</si>
  <si>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</si>
  <si>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</si>
  <si>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</si>
  <si>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</si>
  <si>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</si>
  <si>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</si>
  <si>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</si>
  <si>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</si>
  <si>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</si>
  <si>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</si>
  <si>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</si>
  <si>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</si>
  <si>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</si>
  <si>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</si>
  <si>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</si>
  <si>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</si>
  <si>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</si>
  <si>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</si>
  <si>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</si>
  <si>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</si>
  <si>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</si>
  <si>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</si>
  <si>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</si>
  <si>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</si>
  <si>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</si>
  <si>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</si>
  <si>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</si>
  <si>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</si>
  <si>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</si>
  <si>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</si>
  <si>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</si>
  <si>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</si>
  <si>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</si>
  <si>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</si>
  <si>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</si>
  <si>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</si>
  <si>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</si>
  <si>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</si>
  <si>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</si>
  <si>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</si>
  <si>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</si>
  <si>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</si>
  <si>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</si>
  <si>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</si>
  <si>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</si>
  <si>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</si>
  <si>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</si>
  <si>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</si>
  <si>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</si>
  <si>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</si>
  <si>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</si>
  <si>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</si>
  <si>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</si>
  <si>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</si>
  <si>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</si>
  <si>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</si>
  <si>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</si>
  <si>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</si>
  <si>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</si>
  <si>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</si>
  <si>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</si>
  <si>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</si>
  <si>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</si>
  <si>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</si>
  <si>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</si>
  <si>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</si>
  <si>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</si>
  <si>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</si>
  <si>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</si>
  <si>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</si>
  <si>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</si>
  <si>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</si>
  <si>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</si>
  <si>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</si>
  <si>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</si>
  <si>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</si>
  <si>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</si>
  <si>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</si>
  <si>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</si>
  <si>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</si>
  <si>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</si>
  <si>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</si>
  <si>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</si>
  <si>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</si>
  <si>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</si>
  <si>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</si>
  <si>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</si>
  <si>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</si>
  <si>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</si>
  <si>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</si>
  <si>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</si>
  <si>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</si>
  <si>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</si>
  <si>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</si>
  <si>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</si>
  <si>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</si>
  <si>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</si>
  <si>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</si>
  <si>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</si>
  <si>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</si>
  <si>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</si>
  <si>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</si>
  <si>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</si>
  <si>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</si>
  <si>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</si>
  <si>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</si>
  <si>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</si>
  <si>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</si>
  <si>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</si>
  <si>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</si>
  <si>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</si>
  <si>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</si>
  <si>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</si>
  <si>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</si>
  <si>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</si>
  <si>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</si>
  <si>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</si>
  <si>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</si>
  <si>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</si>
  <si>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</si>
  <si>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</si>
  <si>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</si>
  <si>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</si>
  <si>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</si>
  <si>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</si>
  <si>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</si>
  <si>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</si>
  <si>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</si>
  <si>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</si>
  <si>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</si>
  <si>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</si>
  <si>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</si>
  <si>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</si>
  <si>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</si>
  <si>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</si>
  <si>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</si>
  <si>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</si>
  <si>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</si>
  <si>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</si>
  <si>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</si>
  <si>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</si>
  <si>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</si>
  <si>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</si>
  <si>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</si>
  <si>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</si>
  <si>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</si>
  <si>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</si>
  <si>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</si>
  <si>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</si>
  <si>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</si>
  <si>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</si>
  <si>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</si>
  <si>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</si>
  <si>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</si>
  <si>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</si>
  <si>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</si>
  <si>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</si>
  <si>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</si>
  <si>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</si>
  <si>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</si>
  <si>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</si>
  <si>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</si>
  <si>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</si>
  <si>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</si>
  <si>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</si>
  <si>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</si>
  <si>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</si>
  <si>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</si>
  <si>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</si>
  <si>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</si>
  <si>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</si>
  <si>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</si>
  <si>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</si>
  <si>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</si>
  <si>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</si>
  <si>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</si>
  <si>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</si>
  <si>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</si>
  <si>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</si>
  <si>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</si>
  <si>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</si>
  <si>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</si>
  <si>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</si>
  <si>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</si>
  <si>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</si>
  <si>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</si>
  <si>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</si>
  <si>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</si>
  <si>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</si>
  <si>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</si>
  <si>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</si>
  <si>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</si>
  <si>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</si>
  <si>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</si>
  <si>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</si>
  <si>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</si>
  <si>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</si>
  <si>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</si>
  <si>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</si>
  <si>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</si>
  <si>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</si>
  <si>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</si>
  <si>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</si>
  <si>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</si>
  <si>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</si>
  <si>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</si>
  <si>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</si>
  <si>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</si>
  <si>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</si>
  <si>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</si>
  <si>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</si>
  <si>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</si>
  <si>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</si>
  <si>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</si>
  <si>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</si>
  <si>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</si>
  <si>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</si>
  <si>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</si>
  <si>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</si>
  <si>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</si>
  <si>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</si>
  <si>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</si>
  <si>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</si>
  <si>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</si>
  <si>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</si>
  <si>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</si>
  <si>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</si>
  <si>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</si>
  <si>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</si>
  <si>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</si>
  <si>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</si>
  <si>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</si>
  <si>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</si>
  <si>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</si>
  <si>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</si>
  <si>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</si>
  <si>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</si>
  <si>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</si>
  <si>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</si>
  <si>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</si>
  <si>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</si>
  <si>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</si>
  <si>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</si>
  <si>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</si>
  <si>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</si>
  <si>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</si>
  <si>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</si>
  <si>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</si>
  <si>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</si>
  <si>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</si>
  <si>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</si>
  <si>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</si>
  <si>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</si>
  <si>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</si>
  <si>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</si>
  <si>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</si>
  <si>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</si>
  <si>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</si>
  <si>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</si>
  <si>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</si>
  <si>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</si>
  <si>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</si>
  <si>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</si>
  <si>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</si>
  <si>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</si>
  <si>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</si>
  <si>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</si>
  <si>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</si>
  <si>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</si>
  <si>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</si>
  <si>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</si>
  <si>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</si>
  <si>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</si>
  <si>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</si>
  <si>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</si>
  <si>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</si>
  <si>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</si>
  <si>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</si>
  <si>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</si>
  <si>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</si>
  <si>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</si>
  <si>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</si>
  <si>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</si>
  <si>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</si>
  <si>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</si>
  <si>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</si>
  <si>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</si>
  <si>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</si>
  <si>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</si>
  <si>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</si>
  <si>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</si>
  <si>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</si>
  <si>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</si>
  <si>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</si>
  <si>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</si>
  <si>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</si>
  <si>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</si>
  <si>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</si>
  <si>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</si>
  <si>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</si>
  <si>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</si>
  <si>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</si>
  <si>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</si>
  <si>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</si>
  <si>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</si>
  <si>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</si>
  <si>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</si>
  <si>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</si>
  <si>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</si>
  <si>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</si>
  <si>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</si>
  <si>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</si>
  <si>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</si>
  <si>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</si>
  <si>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</si>
  <si>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</si>
  <si>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</si>
  <si>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</si>
  <si>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</si>
  <si>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</si>
  <si>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</si>
  <si>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</si>
  <si>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</si>
  <si>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</si>
  <si>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</si>
  <si>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</si>
  <si>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</si>
  <si>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</si>
  <si>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</si>
  <si>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</si>
  <si>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</si>
  <si>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</si>
  <si>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</si>
  <si>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</si>
  <si>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</si>
  <si>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</si>
  <si>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</si>
  <si>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</si>
  <si>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</si>
  <si>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</si>
  <si>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</si>
  <si>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</si>
  <si>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</si>
  <si>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</si>
  <si>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</si>
  <si>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</si>
  <si>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</si>
  <si>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</si>
  <si>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</si>
  <si>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</si>
  <si>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</si>
  <si>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</si>
  <si>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</si>
  <si>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</si>
  <si>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</si>
  <si>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</si>
  <si>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</si>
  <si>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</si>
  <si>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</si>
  <si>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</si>
  <si>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</si>
  <si>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</si>
  <si>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</si>
  <si>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</si>
  <si>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</si>
  <si>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</si>
  <si>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</si>
  <si>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</si>
  <si>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</si>
  <si>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</si>
  <si>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</si>
  <si>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</si>
  <si>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</si>
  <si>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</si>
  <si>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</si>
  <si>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</si>
  <si>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</si>
  <si>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</si>
  <si>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</si>
  <si>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</si>
  <si>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</si>
  <si>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</si>
  <si>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</si>
  <si>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</si>
  <si>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</si>
  <si>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</si>
  <si>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</si>
  <si>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</si>
  <si>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</si>
  <si>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</si>
  <si>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</si>
  <si>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</si>
  <si>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</si>
  <si>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</si>
  <si>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</si>
  <si>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</si>
  <si>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</si>
  <si>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</si>
  <si>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</si>
  <si>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</si>
  <si>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</si>
  <si>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</si>
  <si>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</si>
  <si>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</si>
  <si>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</si>
  <si>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</si>
  <si>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</si>
  <si>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</si>
  <si>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</si>
  <si>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</si>
  <si>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</si>
  <si>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</si>
  <si>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</si>
  <si>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</si>
  <si>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</si>
  <si>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</si>
  <si>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</si>
  <si>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</si>
  <si>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</si>
  <si>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</si>
  <si>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</si>
  <si>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</si>
  <si>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</si>
  <si>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</si>
  <si>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</si>
  <si>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</si>
  <si>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</si>
  <si>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</si>
  <si>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</si>
  <si>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</si>
  <si>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</si>
  <si>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</si>
  <si>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</si>
  <si>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</si>
  <si>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</si>
  <si>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</si>
  <si>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</si>
  <si>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</si>
  <si>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</si>
  <si>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</si>
  <si>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</si>
  <si>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</si>
  <si>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</si>
  <si>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</si>
  <si>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</si>
  <si>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</si>
  <si>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</si>
  <si>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</si>
  <si>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</si>
  <si>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</si>
  <si>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</si>
  <si>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</si>
  <si>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</si>
  <si>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</si>
  <si>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</si>
  <si>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</si>
  <si>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</si>
  <si>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</si>
  <si>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</si>
  <si>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</si>
  <si>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</si>
  <si>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</si>
  <si>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</si>
  <si>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</si>
  <si>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</si>
  <si>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</si>
  <si>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</si>
  <si>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</si>
  <si>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</si>
  <si>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</si>
  <si>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</si>
  <si>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</si>
  <si>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</si>
  <si>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</si>
  <si>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</si>
  <si>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</si>
  <si>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</si>
  <si>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</si>
  <si>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</si>
  <si>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</si>
  <si>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</si>
  <si>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</si>
  <si>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</si>
  <si>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</si>
  <si>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</si>
  <si>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</si>
  <si>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</si>
  <si>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</si>
  <si>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</si>
  <si>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</si>
  <si>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</si>
  <si>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</si>
  <si>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</si>
  <si>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</si>
  <si>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</si>
  <si>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</si>
  <si>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</si>
  <si>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</si>
  <si>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</si>
  <si>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</si>
  <si>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</si>
  <si>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</si>
  <si>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</si>
  <si>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</si>
  <si>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</si>
  <si>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</si>
  <si>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</si>
  <si>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</si>
  <si>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</si>
  <si>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</si>
  <si>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</si>
  <si>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</si>
  <si>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</si>
  <si>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</si>
  <si>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</si>
  <si>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</si>
  <si>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</si>
  <si>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</si>
  <si>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</si>
  <si>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</si>
  <si>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</si>
  <si>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</si>
  <si>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</si>
  <si>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</si>
  <si>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</si>
  <si>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</si>
  <si>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</si>
  <si>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</si>
  <si>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</si>
  <si>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</si>
  <si>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</si>
  <si>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</si>
  <si>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</si>
  <si>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</si>
  <si>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</si>
  <si>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</si>
  <si>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</si>
  <si>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</si>
  <si>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</si>
  <si>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</si>
  <si>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</si>
  <si>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</si>
  <si>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</si>
  <si>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</si>
  <si>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</si>
  <si>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</si>
  <si>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</si>
  <si>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</si>
  <si>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</si>
  <si>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</si>
  <si>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</si>
  <si>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</si>
  <si>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</si>
  <si>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</si>
  <si>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</si>
  <si>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</si>
  <si>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</si>
  <si>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</si>
  <si>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</si>
  <si>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</si>
  <si>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</si>
  <si>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</si>
  <si>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</si>
  <si>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</si>
  <si>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</si>
  <si>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</si>
  <si>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</si>
  <si>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</si>
  <si>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</si>
  <si>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</si>
  <si>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</si>
  <si>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</si>
  <si>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</si>
  <si>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</si>
  <si>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</si>
  <si>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</si>
  <si>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</si>
  <si>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</si>
  <si>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</si>
  <si>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</si>
  <si>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</si>
  <si>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</si>
  <si>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</si>
  <si>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</si>
  <si>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</si>
  <si>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</si>
  <si>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</si>
  <si>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</si>
  <si>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</si>
  <si>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</si>
  <si>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</si>
  <si>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</si>
  <si>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</si>
  <si>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</si>
  <si>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</si>
  <si>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</si>
  <si>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</si>
  <si>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</si>
  <si>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</si>
  <si>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</si>
  <si>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</si>
  <si>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</si>
  <si>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</si>
  <si>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</si>
  <si>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</si>
  <si>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</si>
  <si>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</si>
  <si>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</si>
  <si>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</si>
  <si>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</si>
  <si>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</si>
  <si>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</si>
  <si>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</si>
  <si>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</si>
  <si>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</si>
  <si>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</si>
  <si>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</si>
  <si>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</si>
  <si>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</si>
  <si>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</si>
  <si>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</si>
  <si>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</si>
  <si>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</si>
  <si>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</si>
  <si>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</si>
  <si>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</si>
  <si>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</si>
  <si>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</si>
  <si>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</si>
  <si>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</si>
  <si>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</si>
  <si>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</si>
  <si>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</si>
  <si>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</si>
  <si>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</si>
  <si>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</si>
  <si>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</si>
  <si>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</si>
  <si>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</si>
  <si>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</si>
  <si>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</si>
  <si>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</si>
  <si>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</si>
  <si>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</si>
  <si>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</si>
  <si>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</si>
  <si>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</si>
  <si>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</si>
  <si>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</si>
  <si>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</si>
  <si>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</si>
  <si>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</si>
  <si>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</si>
  <si>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</si>
  <si>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</si>
  <si>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</si>
  <si>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</si>
  <si>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</si>
  <si>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</si>
  <si>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</si>
  <si>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</si>
  <si>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</si>
  <si>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</si>
  <si>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</si>
  <si>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</si>
  <si>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</si>
  <si>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</si>
  <si>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</si>
  <si>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</si>
  <si>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</si>
  <si>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</si>
  <si>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</si>
  <si>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</si>
  <si>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</si>
  <si>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</si>
  <si>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</si>
  <si>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</si>
  <si>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</si>
  <si>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</si>
  <si>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</si>
  <si>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</si>
  <si>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</si>
  <si>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</si>
  <si>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</si>
  <si>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</si>
  <si>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</si>
  <si>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</si>
  <si>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</si>
  <si>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</si>
  <si>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</si>
  <si>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</si>
  <si>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</si>
  <si>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</si>
  <si>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</si>
  <si>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</si>
  <si>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</si>
  <si>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</si>
  <si>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</si>
  <si>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</si>
  <si>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</si>
  <si>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</si>
  <si>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</si>
  <si>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</si>
  <si>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</si>
  <si>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</si>
  <si>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</si>
  <si>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</si>
  <si>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</si>
  <si>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</si>
  <si>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</si>
  <si>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</si>
  <si>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</si>
  <si>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</si>
  <si>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</si>
  <si>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</si>
  <si>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</si>
  <si>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</si>
  <si>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</si>
  <si>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</si>
  <si>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</si>
  <si>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</si>
  <si>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</si>
  <si>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</si>
  <si>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</si>
  <si>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</si>
  <si>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</si>
  <si>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</si>
  <si>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</si>
  <si>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</si>
  <si>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</si>
  <si>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</si>
  <si>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</si>
  <si>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</si>
  <si>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</si>
  <si>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</si>
  <si>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</si>
  <si>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</si>
  <si>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</si>
  <si>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</si>
  <si>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</si>
  <si>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</si>
  <si>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</si>
  <si>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</si>
  <si>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</si>
  <si>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</si>
  <si>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</si>
  <si>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</si>
  <si>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</si>
  <si>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</si>
  <si>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</si>
  <si>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</si>
  <si>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</si>
  <si>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</si>
  <si>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</si>
  <si>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</si>
  <si>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</si>
  <si>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</si>
  <si>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</si>
  <si>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</si>
  <si>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</si>
  <si>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</si>
  <si>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</si>
  <si>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</si>
  <si>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</si>
  <si>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</si>
  <si>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</si>
  <si>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</si>
  <si>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</si>
  <si>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</si>
  <si>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</si>
  <si>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</si>
  <si>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</si>
  <si>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</si>
  <si>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</si>
  <si>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</si>
  <si>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</si>
  <si>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</si>
  <si>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</si>
  <si>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</si>
  <si>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</si>
  <si>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</si>
  <si>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</si>
  <si>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</si>
  <si>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</si>
  <si>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</si>
  <si>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</si>
  <si>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</si>
  <si>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</si>
  <si>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</si>
  <si>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</si>
  <si>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</si>
  <si>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</si>
  <si>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</si>
  <si>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</si>
  <si>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</si>
  <si>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</si>
  <si>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</si>
  <si>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</si>
  <si>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</si>
  <si>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</si>
  <si>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</si>
  <si>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</si>
  <si>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</si>
  <si>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</si>
  <si>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</si>
  <si>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</si>
  <si>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</si>
  <si>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</si>
  <si>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</si>
  <si>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</si>
  <si>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</si>
  <si>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</si>
  <si>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</si>
  <si>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</si>
  <si>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</si>
  <si>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</si>
  <si>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</si>
  <si>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</si>
  <si>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</si>
  <si>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</si>
  <si>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</si>
  <si>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</si>
  <si>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</si>
  <si>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</si>
  <si>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</si>
  <si>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</si>
  <si>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</si>
  <si>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</si>
  <si>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</si>
  <si>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</si>
  <si>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</si>
  <si>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</si>
  <si>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</si>
  <si>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</si>
  <si>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</si>
  <si>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</si>
  <si>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</si>
  <si>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</si>
  <si>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</si>
  <si>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</si>
  <si>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</si>
  <si>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</si>
  <si>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</si>
  <si>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</si>
  <si>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</si>
  <si>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</si>
  <si>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</si>
  <si>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</si>
  <si>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</si>
  <si>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</si>
  <si>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</si>
  <si>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</si>
  <si>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</si>
  <si>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</si>
  <si>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</si>
  <si>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</si>
  <si>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</si>
  <si>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</si>
  <si>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</si>
  <si>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</si>
  <si>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</si>
  <si>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</si>
  <si>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</si>
  <si>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</si>
  <si>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</si>
  <si>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</si>
  <si>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</si>
  <si>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</si>
  <si>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</si>
  <si>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</si>
  <si>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</si>
  <si>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</si>
  <si>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</si>
  <si>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</si>
  <si>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</si>
  <si>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</si>
  <si>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</si>
  <si>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</si>
  <si>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</si>
  <si>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</si>
  <si>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</si>
  <si>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</si>
  <si>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</si>
  <si>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</si>
  <si>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</si>
  <si>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</si>
  <si>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</si>
  <si>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</si>
  <si>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</si>
  <si>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</si>
  <si>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</si>
  <si>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</si>
  <si>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</si>
  <si>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</si>
  <si>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</si>
  <si>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</si>
  <si>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</si>
  <si>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</si>
  <si>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</si>
  <si>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</si>
  <si>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</si>
  <si>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</si>
  <si>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</si>
  <si>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</si>
  <si>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</si>
  <si>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</si>
  <si>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</si>
  <si>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</si>
  <si>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</si>
  <si>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</si>
  <si>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</si>
  <si>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</si>
  <si>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</si>
  <si>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</si>
  <si>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</si>
  <si>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</si>
  <si>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</si>
  <si>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</si>
  <si>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</si>
  <si>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</si>
  <si>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</si>
  <si>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</si>
  <si>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</si>
  <si>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</si>
  <si>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</si>
  <si>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</si>
  <si>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</si>
  <si>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</si>
  <si>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</si>
  <si>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</si>
  <si>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</si>
  <si>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</si>
  <si>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</si>
  <si>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</si>
  <si>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</si>
  <si>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</si>
  <si>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</si>
  <si>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</si>
  <si>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</si>
  <si>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</si>
  <si>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</si>
  <si>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</si>
  <si>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</si>
  <si>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</si>
  <si>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</si>
  <si>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</si>
  <si>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</si>
  <si>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</si>
  <si>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</si>
  <si>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</si>
  <si>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</si>
  <si>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</si>
  <si>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</si>
  <si>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</si>
  <si>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</si>
  <si>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</si>
  <si>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</si>
  <si>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</si>
  <si>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</si>
  <si>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</si>
  <si>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</si>
  <si>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</si>
  <si>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</si>
  <si>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</si>
  <si>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</si>
  <si>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</si>
  <si>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</si>
  <si>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</si>
  <si>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</si>
  <si>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</si>
  <si>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</si>
  <si>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</si>
  <si>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</si>
  <si>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</si>
  <si>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</si>
  <si>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</si>
  <si>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</si>
  <si>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</si>
  <si>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</si>
  <si>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</si>
  <si>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</si>
  <si>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</si>
  <si>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</si>
  <si>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</si>
  <si>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</si>
  <si>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</si>
  <si>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</si>
  <si>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</si>
  <si>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</si>
  <si>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</si>
  <si>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</si>
  <si>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</si>
  <si>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</si>
  <si>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</si>
  <si>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</si>
  <si>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</si>
  <si>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</si>
  <si>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</si>
  <si>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</si>
  <si>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</si>
  <si>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</si>
  <si>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</si>
  <si>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</si>
  <si>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</si>
  <si>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</si>
  <si>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</si>
  <si>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</si>
  <si>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</si>
  <si>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</si>
  <si>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</si>
  <si>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</si>
  <si>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</si>
  <si>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</si>
  <si>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</si>
  <si>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</si>
  <si>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</si>
  <si>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</si>
  <si>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</si>
  <si>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</si>
  <si>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</si>
  <si>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</si>
  <si>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</si>
  <si>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</si>
  <si>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</si>
  <si>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</si>
  <si>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</si>
  <si>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</si>
  <si>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</si>
  <si>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</si>
  <si>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</si>
  <si>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</si>
  <si>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</si>
  <si>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</si>
  <si>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</si>
  <si>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</si>
  <si>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</si>
  <si>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</si>
  <si>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</si>
  <si>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</si>
  <si>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</si>
  <si>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</si>
  <si>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</si>
  <si>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</si>
  <si>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</si>
  <si>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</si>
  <si>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</si>
  <si>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</si>
  <si>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</si>
  <si>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</si>
  <si>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</si>
  <si>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</si>
  <si>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</si>
  <si>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</si>
  <si>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</si>
  <si>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</si>
  <si>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</si>
  <si>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</si>
  <si>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</si>
  <si>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</si>
  <si>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</si>
  <si>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</si>
  <si>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</si>
  <si>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</si>
  <si>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</si>
  <si>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</si>
  <si>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</si>
  <si>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</si>
  <si>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</si>
  <si>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</si>
  <si>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</si>
  <si>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</si>
  <si>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</si>
  <si>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</si>
  <si>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</si>
  <si>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</si>
  <si>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</si>
  <si>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</si>
  <si>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</si>
  <si>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</si>
  <si>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</si>
  <si>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</si>
  <si>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</si>
  <si>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</si>
  <si>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</si>
  <si>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</si>
  <si>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</si>
  <si>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</si>
  <si>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</si>
  <si>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</si>
  <si>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</si>
  <si>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</si>
  <si>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</si>
  <si>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</si>
  <si>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</si>
  <si>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</si>
  <si>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</si>
  <si>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</si>
  <si>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</si>
  <si>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</si>
  <si>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</si>
  <si>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</si>
  <si>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</si>
  <si>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</si>
  <si>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</si>
  <si>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</si>
  <si>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</si>
  <si>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</si>
  <si>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</si>
  <si>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</si>
  <si>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</si>
  <si>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</si>
  <si>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</si>
  <si>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</si>
  <si>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</si>
  <si>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</si>
  <si>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</si>
  <si>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</si>
  <si>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</si>
  <si>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</si>
  <si>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</si>
  <si>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</si>
  <si>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</si>
  <si>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</si>
  <si>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</si>
  <si>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</si>
  <si>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</si>
  <si>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</si>
  <si>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</si>
  <si>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</si>
  <si>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</si>
  <si>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</si>
  <si>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</si>
  <si>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</si>
  <si>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</si>
  <si>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</si>
  <si>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</si>
  <si>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</si>
  <si>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</si>
  <si>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</si>
  <si>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</si>
  <si>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</si>
  <si>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</si>
  <si>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</si>
  <si>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</si>
  <si>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</si>
  <si>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</si>
  <si>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</si>
  <si>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</si>
  <si>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</si>
  <si>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</si>
  <si>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</si>
  <si>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</si>
  <si>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</si>
  <si>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</si>
  <si>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</si>
  <si>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</si>
  <si>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</si>
  <si>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</si>
  <si>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</si>
  <si>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</si>
  <si>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</si>
  <si>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</si>
  <si>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</si>
  <si>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</si>
  <si>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</si>
  <si>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</si>
  <si>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</si>
  <si>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</si>
  <si>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</si>
  <si>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</si>
  <si>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</si>
  <si>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</si>
  <si>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</si>
  <si>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</si>
  <si>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</si>
  <si>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</si>
  <si>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</si>
  <si>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</si>
  <si>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</si>
  <si>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</si>
  <si>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</si>
  <si>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</si>
  <si>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</si>
  <si>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</si>
  <si>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</si>
  <si>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</si>
  <si>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</si>
  <si>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</si>
  <si>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</si>
  <si>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</si>
  <si>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</si>
  <si>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</si>
  <si>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</si>
  <si>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</si>
  <si>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</si>
  <si>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</si>
  <si>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</si>
  <si>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</si>
  <si>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</si>
  <si>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</si>
  <si>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</si>
  <si>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</si>
  <si>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</si>
  <si>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</si>
  <si>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</si>
  <si>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</si>
  <si>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</si>
  <si>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</si>
  <si>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</si>
  <si>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</si>
  <si>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</si>
  <si>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</si>
  <si>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</si>
  <si>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</si>
  <si>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</si>
  <si>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</si>
  <si>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</si>
  <si>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</si>
  <si>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</si>
  <si>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</si>
  <si>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</si>
  <si>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</si>
  <si>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</si>
  <si>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</si>
  <si>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</si>
  <si>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</si>
  <si>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</si>
  <si>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</si>
  <si>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</si>
  <si>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</si>
  <si>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</si>
  <si>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</si>
  <si>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</si>
  <si>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</si>
  <si>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</si>
  <si>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</si>
  <si>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</si>
  <si>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</si>
  <si>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</si>
  <si>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</si>
  <si>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</si>
  <si>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</si>
  <si>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</si>
  <si>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</si>
  <si>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</si>
  <si>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</si>
  <si>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</si>
  <si>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</si>
  <si>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</si>
  <si>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</si>
  <si>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</si>
  <si>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</si>
  <si>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</si>
  <si>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</si>
  <si>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</si>
  <si>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</si>
  <si>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</si>
  <si>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</si>
  <si>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</si>
  <si>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</si>
  <si>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</si>
  <si>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</si>
  <si>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</si>
  <si>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</si>
  <si>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</si>
  <si>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</si>
  <si>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</si>
  <si>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</si>
  <si>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</si>
  <si>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</si>
  <si>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</si>
  <si>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</si>
  <si>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</si>
  <si>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</si>
  <si>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</si>
  <si>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</si>
  <si>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</si>
  <si>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</si>
  <si>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</si>
  <si>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</si>
  <si>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</si>
  <si>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</si>
  <si>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</si>
  <si>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</si>
  <si>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</si>
  <si>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</si>
  <si>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</si>
  <si>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</si>
  <si>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</si>
  <si>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</si>
  <si>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</si>
  <si>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</si>
  <si>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</si>
  <si>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</si>
  <si>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</si>
  <si>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</si>
  <si>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</si>
  <si>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</si>
  <si>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</si>
  <si>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</si>
  <si>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</si>
  <si>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</si>
  <si>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</si>
  <si>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</si>
  <si>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</si>
  <si>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</si>
  <si>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</si>
  <si>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</si>
  <si>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</si>
  <si>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</si>
  <si>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</si>
  <si>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</si>
  <si>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</si>
  <si>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</si>
  <si>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</si>
  <si>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</si>
  <si>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</si>
  <si>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</si>
  <si>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</si>
  <si>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</si>
  <si>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</si>
  <si>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</si>
  <si>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</si>
  <si>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</si>
  <si>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</si>
  <si>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</si>
  <si>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</si>
  <si>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</si>
  <si>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</si>
  <si>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</si>
  <si>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</si>
  <si>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</si>
  <si>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</si>
  <si>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</si>
  <si>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</si>
  <si>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</si>
  <si>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</si>
  <si>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</si>
  <si>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</si>
  <si>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</si>
  <si>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</si>
  <si>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</si>
  <si>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</si>
  <si>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</si>
  <si>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</si>
  <si>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</si>
  <si>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</si>
  <si>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</si>
  <si>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</si>
  <si>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</si>
  <si>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</si>
  <si>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</si>
  <si>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</si>
  <si>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</si>
  <si>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</si>
  <si>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</si>
  <si>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</si>
  <si>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</si>
  <si>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</si>
  <si>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</si>
  <si>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</si>
  <si>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</si>
  <si>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</si>
  <si>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</si>
  <si>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</si>
  <si>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</si>
  <si>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</si>
  <si>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</si>
  <si>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</si>
  <si>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</si>
  <si>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</si>
  <si>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</si>
  <si>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</si>
  <si>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</si>
  <si>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</si>
  <si>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</si>
  <si>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</si>
  <si>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</si>
  <si>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</si>
  <si>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</si>
  <si>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</si>
  <si>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</si>
  <si>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</si>
  <si>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</si>
  <si>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</si>
  <si>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</si>
  <si>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</si>
  <si>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</si>
  <si>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</si>
  <si>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</si>
  <si>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</si>
  <si>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</si>
  <si>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</si>
  <si>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</si>
  <si>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</si>
  <si>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</si>
  <si>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</si>
  <si>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</si>
  <si>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</si>
  <si>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</si>
  <si>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</si>
  <si>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</si>
  <si>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</si>
  <si>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</si>
  <si>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</si>
  <si>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</si>
  <si>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</si>
  <si>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</si>
  <si>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</si>
  <si>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</si>
  <si>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</si>
  <si>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</si>
  <si>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</si>
  <si>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</si>
  <si>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</si>
  <si>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</si>
  <si>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</si>
  <si>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</si>
  <si>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</si>
  <si>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</si>
  <si>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</si>
  <si>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</si>
  <si>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</si>
  <si>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</si>
  <si>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</si>
  <si>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</si>
  <si>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</si>
  <si>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</si>
  <si>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</si>
  <si>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</si>
  <si>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</si>
  <si>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</si>
  <si>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</si>
  <si>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</si>
  <si>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</si>
  <si>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</si>
  <si>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</si>
  <si>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</si>
  <si>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</si>
  <si>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</si>
  <si>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</si>
  <si>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</si>
  <si>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</si>
  <si>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</si>
  <si>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</si>
  <si>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</si>
  <si>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</si>
  <si>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</si>
  <si>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</si>
  <si>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</si>
  <si>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</si>
  <si>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</si>
  <si>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</si>
  <si>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</si>
  <si>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</si>
  <si>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</si>
  <si>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</si>
  <si>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</si>
  <si>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</si>
  <si>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</si>
  <si>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</si>
  <si>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</si>
  <si>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</si>
  <si>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</si>
  <si>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</si>
  <si>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</si>
  <si>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</si>
  <si>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</si>
  <si>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</si>
  <si>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</si>
  <si>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</si>
  <si>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</si>
  <si>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</si>
  <si>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</si>
  <si>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</si>
  <si>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</si>
  <si>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</si>
  <si>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</si>
  <si>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</si>
  <si>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</si>
  <si>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</si>
  <si>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</si>
  <si>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</si>
  <si>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</si>
  <si>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</si>
  <si>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</si>
  <si>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</si>
  <si>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</si>
  <si>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</si>
  <si>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</si>
  <si>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</si>
  <si>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</si>
  <si>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</si>
  <si>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</si>
  <si>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</si>
  <si>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</si>
  <si>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</si>
  <si>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</si>
  <si>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</si>
  <si>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</si>
  <si>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</si>
  <si>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</si>
  <si>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</si>
  <si>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</si>
  <si>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</si>
  <si>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</si>
  <si>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</si>
  <si>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</si>
  <si>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</si>
  <si>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</si>
  <si>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</si>
  <si>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</si>
  <si>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</si>
  <si>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</si>
  <si>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</si>
  <si>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</si>
  <si>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</si>
  <si>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</si>
  <si>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</si>
  <si>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</si>
  <si>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</si>
  <si>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</si>
  <si>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</si>
  <si>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</si>
  <si>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</si>
  <si>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</si>
  <si>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</si>
  <si>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</si>
  <si>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</si>
  <si>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</si>
  <si>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</si>
  <si>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</si>
  <si>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</si>
  <si>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</si>
  <si>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</si>
  <si>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</si>
  <si>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</si>
  <si>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</si>
  <si>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</si>
  <si>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</si>
  <si>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</si>
  <si>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</si>
  <si>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</si>
  <si>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</si>
  <si>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</si>
  <si>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</si>
  <si>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</si>
  <si>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</si>
  <si>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</si>
  <si>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</si>
  <si>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</si>
  <si>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</si>
  <si>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</si>
  <si>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</si>
  <si>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</si>
  <si>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</si>
  <si>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</si>
  <si>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</si>
  <si>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</si>
  <si>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</si>
  <si>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</si>
  <si>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</si>
  <si>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</si>
  <si>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</si>
  <si>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</si>
  <si>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</si>
  <si>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</si>
  <si>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</si>
  <si>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</si>
  <si>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</si>
  <si>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</si>
  <si>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</si>
  <si>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</si>
  <si>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</si>
  <si>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</si>
  <si>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</si>
  <si>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</si>
  <si>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</si>
  <si>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</si>
  <si>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</si>
  <si>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</si>
  <si>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</si>
  <si>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</si>
  <si>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</si>
  <si>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</si>
  <si>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</si>
  <si>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</si>
  <si>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</si>
  <si>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</si>
  <si>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</si>
  <si>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</si>
  <si>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</si>
  <si>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</si>
  <si>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</si>
  <si>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</si>
  <si>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</si>
  <si>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</si>
  <si>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</si>
  <si>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</si>
  <si>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</si>
  <si>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</si>
  <si>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</si>
  <si>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</si>
  <si>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</si>
  <si>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</si>
  <si>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</si>
  <si>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</si>
  <si>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</si>
  <si>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</si>
  <si>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</si>
  <si>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</si>
  <si>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</si>
  <si>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</si>
  <si>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</si>
  <si>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</si>
  <si>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</si>
  <si>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</si>
  <si>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</si>
  <si>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</si>
  <si>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</si>
  <si>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</si>
  <si>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</si>
  <si>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</si>
  <si>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</si>
  <si>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</si>
  <si>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</si>
  <si>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</si>
  <si>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</si>
  <si>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</si>
  <si>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</si>
  <si>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</si>
  <si>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</si>
  <si>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</si>
  <si>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</si>
  <si>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</si>
  <si>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</si>
  <si>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</si>
  <si>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</si>
  <si>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</si>
  <si>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</si>
  <si>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</si>
  <si>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</si>
  <si>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</si>
  <si>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</si>
  <si>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</si>
  <si>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</si>
  <si>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</si>
  <si>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</si>
  <si>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</si>
  <si>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</si>
  <si>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</si>
  <si>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</si>
  <si>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</si>
  <si>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</si>
  <si>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</si>
  <si>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</si>
  <si>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</si>
  <si>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</si>
  <si>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</si>
  <si>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</si>
  <si>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</si>
  <si>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</si>
  <si>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</si>
  <si>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</si>
  <si>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</si>
  <si>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</si>
  <si>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</si>
  <si>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</si>
  <si>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</si>
  <si>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</si>
  <si>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</si>
  <si>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</si>
  <si>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</si>
  <si>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</si>
  <si>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</si>
  <si>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</si>
  <si>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</si>
  <si>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</si>
  <si>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</si>
  <si>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</si>
  <si>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</si>
  <si>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</si>
  <si>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</si>
  <si>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</si>
  <si>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</si>
  <si>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</si>
  <si>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</si>
  <si>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</si>
  <si>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</si>
  <si>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</si>
  <si>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</si>
  <si>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</si>
  <si>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</si>
  <si>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</si>
  <si>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</si>
  <si>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</si>
  <si>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</si>
  <si>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</si>
  <si>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</si>
  <si>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</si>
  <si>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</si>
  <si>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</si>
  <si>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</si>
  <si>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</si>
  <si>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</si>
  <si>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</si>
  <si>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</si>
  <si>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</si>
  <si>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</si>
  <si>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</si>
  <si>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</si>
  <si>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</si>
  <si>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</si>
  <si>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</si>
  <si>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</si>
  <si>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</si>
  <si>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</si>
  <si>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</si>
  <si>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</si>
  <si>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</si>
  <si>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</si>
  <si>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</si>
  <si>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</si>
  <si>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</si>
  <si>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</si>
  <si>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</si>
  <si>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</si>
  <si>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</si>
  <si>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</si>
  <si>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</si>
  <si>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</si>
  <si>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</si>
  <si>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</si>
  <si>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</si>
  <si>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</si>
  <si>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</si>
  <si>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</si>
  <si>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</si>
  <si>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</si>
  <si>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</si>
  <si>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</si>
  <si>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</si>
  <si>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</si>
  <si>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</si>
  <si>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</si>
  <si>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</si>
  <si>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</si>
  <si>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</si>
  <si>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</si>
  <si>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</si>
  <si>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</si>
  <si>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</si>
  <si>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</si>
  <si>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</si>
  <si>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</si>
  <si>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</si>
  <si>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</si>
  <si>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</si>
  <si>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</si>
  <si>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</si>
  <si>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</si>
  <si>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</si>
  <si>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</si>
  <si>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</si>
  <si>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</si>
  <si>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</si>
  <si>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</si>
  <si>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</si>
  <si>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</si>
  <si>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</si>
  <si>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</si>
  <si>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</si>
  <si>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</si>
  <si>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</si>
  <si>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</si>
  <si>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</si>
  <si>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</si>
  <si>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</si>
  <si>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</si>
  <si>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</si>
  <si>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</si>
  <si>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</si>
  <si>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</si>
  <si>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</si>
  <si>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</si>
  <si>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</si>
  <si>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</si>
  <si>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</si>
  <si>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</si>
  <si>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</si>
  <si>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</si>
  <si>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</si>
  <si>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</si>
  <si>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</si>
  <si>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</si>
  <si>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</si>
  <si>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</si>
  <si>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</si>
  <si>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</si>
  <si>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</si>
  <si>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</si>
  <si>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</si>
  <si>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</si>
  <si>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</si>
  <si>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</si>
  <si>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</si>
  <si>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</si>
  <si>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</si>
  <si>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</si>
  <si>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</si>
  <si>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</si>
  <si>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</si>
  <si>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</si>
  <si>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</si>
  <si>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</si>
  <si>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</si>
  <si>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</si>
  <si>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</si>
  <si>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</si>
  <si>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</si>
  <si>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</si>
  <si>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</si>
  <si>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</si>
  <si>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</si>
  <si>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</si>
  <si>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</si>
  <si>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</si>
  <si>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</si>
  <si>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</si>
  <si>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</si>
  <si>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</si>
  <si>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</si>
  <si>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</si>
  <si>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</si>
  <si>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</si>
  <si>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</si>
  <si>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</si>
  <si>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</si>
  <si>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</si>
  <si>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</si>
  <si>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</si>
  <si>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</si>
  <si>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</si>
  <si>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</si>
  <si>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</si>
  <si>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</si>
  <si>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</si>
  <si>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</si>
  <si>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</si>
  <si>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</si>
  <si>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</si>
  <si>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</si>
  <si>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</si>
  <si>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</si>
  <si>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</si>
  <si>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</si>
  <si>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</si>
  <si>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</si>
  <si>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</si>
  <si>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</si>
  <si>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</si>
  <si>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</si>
  <si>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</si>
  <si>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</si>
  <si>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</si>
  <si>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</si>
  <si>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</si>
  <si>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</si>
  <si>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</si>
  <si>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</si>
  <si>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</si>
  <si>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</si>
  <si>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</si>
  <si>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</si>
  <si>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</si>
  <si>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</si>
  <si>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</si>
  <si>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</si>
  <si>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</si>
  <si>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</si>
  <si>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</si>
  <si>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</si>
  <si>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</si>
  <si>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</si>
  <si>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</si>
  <si>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</si>
  <si>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</si>
  <si>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</si>
  <si>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</si>
  <si>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</si>
  <si>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</si>
  <si>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</si>
  <si>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</si>
  <si>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</si>
  <si>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</si>
  <si>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</si>
  <si>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</si>
  <si>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</si>
  <si>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</si>
  <si>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</si>
  <si>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</si>
  <si>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</si>
  <si>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</si>
  <si>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</si>
  <si>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</si>
  <si>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</si>
  <si>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</si>
  <si>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</si>
  <si>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</si>
  <si>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</si>
  <si>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</si>
  <si>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</si>
  <si>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</si>
  <si>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</si>
  <si>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</si>
  <si>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</si>
  <si>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</si>
  <si>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</si>
  <si>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</si>
  <si>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</si>
  <si>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</si>
  <si>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</si>
  <si>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</si>
  <si>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</si>
  <si>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</si>
  <si>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</si>
  <si>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</si>
  <si>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</si>
  <si>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</si>
  <si>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</si>
  <si>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</si>
  <si>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</si>
  <si>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</si>
  <si>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</si>
  <si>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</si>
  <si>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</si>
  <si>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</si>
  <si>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</si>
  <si>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</si>
  <si>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</si>
  <si>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</si>
  <si>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</si>
  <si>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</si>
  <si>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</si>
  <si>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</si>
  <si>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</si>
  <si>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</si>
  <si>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</si>
  <si>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</si>
  <si>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</si>
  <si>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</si>
  <si>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</si>
  <si>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</si>
  <si>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</si>
  <si>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</si>
  <si>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</si>
  <si>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</si>
  <si>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</si>
  <si>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</si>
  <si>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</si>
  <si>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</si>
  <si>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</si>
  <si>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</si>
  <si>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</si>
  <si>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</si>
  <si>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</si>
  <si>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</si>
  <si>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</si>
  <si>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</si>
  <si>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</si>
  <si>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</si>
  <si>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</si>
  <si>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</si>
  <si>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</si>
  <si>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</si>
  <si>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</si>
  <si>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</si>
  <si>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</si>
  <si>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</si>
  <si>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</si>
  <si>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</si>
  <si>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</si>
  <si>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</si>
  <si>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</si>
  <si>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</si>
  <si>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</si>
  <si>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</si>
  <si>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</si>
  <si>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</si>
  <si>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</si>
  <si>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</si>
  <si>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</si>
  <si>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</si>
  <si>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</si>
  <si>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</si>
  <si>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</si>
  <si>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</si>
  <si>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</si>
  <si>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</si>
  <si>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</si>
  <si>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</si>
  <si>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</si>
  <si>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</si>
  <si>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</si>
  <si>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</si>
  <si>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</si>
  <si>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</si>
  <si>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</si>
  <si>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</si>
  <si>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</si>
  <si>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</si>
  <si>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</si>
  <si>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</si>
  <si>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</si>
  <si>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</si>
  <si>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</si>
  <si>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</si>
  <si>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</si>
  <si>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</si>
  <si>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</si>
  <si>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</si>
  <si>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</si>
  <si>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</si>
  <si>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</si>
  <si>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</si>
  <si>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</si>
  <si>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</si>
  <si>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</si>
  <si>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</si>
  <si>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</si>
  <si>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</si>
  <si>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</si>
  <si>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</si>
  <si>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</si>
  <si>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</si>
  <si>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</si>
  <si>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</si>
  <si>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</si>
  <si>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</si>
  <si>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</si>
  <si>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</si>
  <si>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</si>
  <si>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</si>
  <si>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</si>
  <si>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</si>
  <si>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</si>
  <si>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</si>
  <si>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</si>
  <si>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</si>
  <si>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</si>
  <si>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</si>
  <si>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</si>
  <si>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</si>
  <si>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</si>
  <si>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</si>
  <si>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</si>
  <si>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</si>
  <si>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</si>
  <si>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</si>
  <si>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</si>
  <si>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</si>
  <si>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</si>
  <si>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</si>
  <si>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</si>
  <si>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</si>
  <si>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</si>
  <si>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</si>
  <si>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</si>
  <si>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</si>
  <si>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</si>
  <si>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</si>
  <si>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</si>
  <si>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</si>
  <si>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</si>
  <si>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</si>
  <si>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</si>
  <si>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</si>
  <si>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</si>
  <si>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</si>
  <si>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</si>
  <si>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</si>
  <si>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</si>
  <si>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</si>
  <si>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</si>
  <si>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</si>
  <si>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</si>
  <si>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</si>
  <si>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</si>
  <si>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</si>
  <si>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</si>
  <si>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</si>
  <si>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</si>
  <si>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</si>
  <si>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</si>
  <si>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</si>
  <si>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</si>
  <si>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</si>
  <si>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</si>
  <si>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</si>
  <si>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</si>
  <si>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</si>
  <si>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</si>
  <si>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</si>
  <si>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</si>
  <si>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</si>
  <si>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</si>
  <si>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</si>
  <si>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</si>
  <si>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</si>
  <si>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</si>
  <si>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</si>
  <si>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</si>
  <si>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</si>
  <si>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</si>
  <si>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</si>
  <si>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</si>
  <si>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</si>
  <si>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</si>
  <si>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</si>
  <si>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</si>
  <si>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</si>
  <si>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</si>
  <si>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</si>
  <si>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</si>
  <si>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</si>
  <si>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</si>
  <si>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</si>
  <si>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</si>
  <si>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</si>
  <si>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</si>
  <si>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</si>
  <si>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</si>
  <si>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</si>
  <si>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</si>
  <si>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</si>
  <si>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</si>
  <si>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</si>
  <si>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</si>
  <si>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</si>
  <si>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</si>
  <si>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</si>
  <si>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</si>
  <si>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</si>
  <si>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</si>
  <si>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</si>
  <si>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</si>
  <si>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</si>
  <si>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</si>
  <si>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</si>
  <si>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</si>
  <si>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</si>
  <si>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</si>
  <si>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</si>
  <si>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</si>
  <si>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</si>
  <si>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</si>
  <si>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</si>
  <si>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</si>
  <si>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</si>
  <si>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</si>
  <si>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</si>
  <si>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</si>
  <si>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</si>
  <si>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</si>
  <si>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</si>
  <si>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</si>
  <si>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</si>
  <si>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</si>
  <si>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</si>
  <si>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</si>
  <si>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</si>
  <si>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</si>
  <si>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</si>
  <si>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</si>
  <si>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</si>
  <si>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</si>
  <si>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</si>
  <si>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</si>
  <si>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</si>
  <si>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</si>
  <si>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</si>
  <si>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</si>
  <si>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</si>
  <si>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</si>
  <si>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</si>
  <si>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</si>
  <si>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</si>
  <si>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</si>
  <si>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</si>
  <si>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</si>
  <si>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</si>
  <si>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</si>
  <si>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</si>
  <si>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</si>
  <si>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</si>
  <si>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</si>
  <si>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</si>
  <si>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</si>
  <si>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</si>
  <si>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</si>
  <si>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</si>
  <si>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</si>
  <si>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</si>
  <si>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</si>
  <si>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</si>
  <si>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</si>
  <si>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</si>
  <si>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</si>
  <si>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</si>
  <si>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</si>
  <si>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</si>
  <si>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</si>
  <si>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</si>
  <si>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</si>
  <si>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</si>
  <si>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</si>
  <si>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</si>
  <si>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</si>
  <si>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</si>
  <si>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</si>
  <si>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</si>
  <si>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</si>
  <si>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</si>
  <si>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</si>
  <si>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</si>
  <si>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</si>
  <si>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</si>
  <si>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</si>
  <si>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</si>
  <si>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</si>
  <si>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</si>
  <si>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</si>
  <si>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</si>
  <si>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</si>
  <si>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</si>
  <si>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</si>
  <si>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</si>
  <si>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</si>
  <si>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</si>
  <si>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</si>
  <si>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</si>
  <si>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</si>
  <si>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</si>
  <si>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</si>
  <si>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</si>
  <si>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</si>
  <si>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</si>
  <si>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</si>
  <si>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</si>
  <si>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</si>
  <si>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</si>
  <si>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</si>
  <si>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</si>
  <si>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</si>
  <si>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</si>
  <si>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</si>
  <si>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</si>
  <si>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</si>
  <si>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</si>
  <si>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</si>
  <si>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</si>
  <si>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</si>
  <si>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</si>
  <si>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</si>
  <si>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</si>
  <si>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</si>
  <si>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</si>
  <si>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</si>
  <si>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</si>
  <si>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</si>
  <si>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</si>
  <si>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</si>
  <si>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</si>
  <si>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</si>
  <si>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</si>
  <si>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</si>
  <si>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</si>
  <si>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</si>
  <si>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</si>
  <si>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</si>
  <si>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</si>
  <si>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</si>
  <si>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</si>
  <si>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</si>
  <si>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</si>
  <si>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</si>
  <si>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</si>
  <si>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</si>
  <si>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</si>
  <si>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</si>
  <si>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</si>
  <si>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</si>
  <si>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</si>
  <si>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</si>
  <si>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</si>
  <si>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</si>
  <si>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</si>
  <si>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</si>
  <si>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</si>
  <si>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</si>
  <si>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</si>
  <si>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</si>
  <si>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</si>
  <si>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</si>
  <si>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</si>
  <si>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</si>
  <si>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</si>
  <si>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</si>
  <si>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</si>
  <si>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</si>
  <si>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</si>
  <si>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</si>
  <si>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</si>
  <si>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</si>
  <si>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</si>
  <si>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</si>
  <si>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</si>
  <si>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</si>
  <si>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</si>
  <si>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</si>
  <si>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</si>
  <si>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</si>
  <si>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</si>
  <si>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</si>
  <si>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</si>
  <si>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</si>
  <si>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</si>
  <si>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</si>
  <si>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</si>
  <si>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</si>
  <si>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</si>
  <si>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</si>
  <si>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</si>
  <si>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</si>
  <si>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</si>
  <si>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</si>
  <si>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</si>
  <si>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</si>
  <si>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</si>
  <si>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</si>
  <si>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</si>
  <si>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</si>
  <si>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</si>
  <si>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</si>
  <si>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</si>
  <si>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</si>
  <si>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</si>
  <si>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</si>
  <si>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</si>
  <si>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</si>
  <si>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</si>
  <si>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</si>
  <si>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</si>
  <si>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</si>
  <si>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</si>
  <si>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</si>
  <si>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</si>
  <si>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</si>
  <si>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</si>
  <si>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</si>
  <si>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</si>
  <si>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</si>
  <si>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</si>
  <si>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</si>
  <si>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</si>
  <si>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</si>
  <si>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</si>
  <si>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</si>
  <si>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</si>
  <si>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</si>
  <si>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</si>
  <si>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</si>
  <si>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</si>
  <si>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</si>
  <si>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</si>
  <si>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</si>
  <si>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</si>
  <si>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</si>
  <si>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</si>
  <si>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</si>
  <si>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</si>
  <si>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</si>
  <si>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</si>
  <si>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</si>
  <si>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</si>
  <si>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</si>
  <si>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</si>
  <si>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</si>
  <si>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</si>
  <si>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</si>
  <si>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</si>
  <si>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</si>
  <si>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</si>
  <si>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</si>
  <si>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</si>
  <si>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</si>
  <si>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</si>
  <si>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</si>
  <si>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</si>
  <si>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</si>
  <si>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</si>
  <si>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</si>
  <si>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</si>
  <si>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</si>
  <si>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</si>
  <si>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</si>
  <si>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</si>
  <si>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</si>
  <si>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</si>
  <si>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</si>
  <si>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</si>
  <si>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</si>
  <si>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</si>
  <si>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</si>
  <si>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</si>
  <si>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</si>
  <si>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</si>
  <si>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</si>
  <si>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</si>
  <si>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</si>
  <si>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</si>
  <si>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</si>
  <si>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</si>
  <si>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</si>
  <si>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</si>
  <si>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</si>
  <si>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</si>
  <si>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</si>
  <si>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</si>
  <si>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</si>
  <si>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</si>
  <si>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</si>
  <si>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</si>
  <si>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</si>
  <si>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</si>
  <si>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</si>
  <si>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</si>
  <si>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</si>
  <si>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</si>
  <si>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</si>
  <si>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</si>
  <si>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</si>
  <si>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</si>
  <si>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</si>
  <si>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</si>
  <si>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</si>
  <si>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</si>
  <si>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</si>
  <si>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</si>
  <si>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</si>
  <si>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</si>
  <si>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</si>
  <si>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</si>
  <si>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</si>
  <si>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</si>
  <si>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</si>
  <si>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</si>
  <si>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</si>
  <si>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</si>
  <si>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</si>
  <si>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</si>
  <si>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</si>
  <si>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</si>
  <si>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</si>
  <si>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</si>
  <si>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</si>
  <si>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</si>
  <si>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</si>
  <si>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</si>
  <si>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</si>
  <si>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</si>
  <si>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</si>
  <si>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</si>
  <si>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</si>
  <si>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</si>
  <si>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</si>
  <si>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</si>
  <si>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</si>
  <si>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</si>
  <si>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</si>
  <si>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</si>
  <si>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</si>
  <si>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</si>
  <si>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</si>
  <si>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</si>
  <si>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</si>
  <si>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</si>
  <si>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</si>
  <si>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</si>
  <si>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</si>
  <si>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</si>
  <si>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</si>
  <si>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</si>
  <si>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</si>
  <si>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</si>
  <si>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</si>
  <si>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</si>
  <si>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</si>
  <si>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</si>
  <si>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</si>
  <si>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</si>
  <si>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</si>
  <si>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</si>
  <si>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</si>
  <si>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</si>
  <si>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</si>
  <si>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</si>
  <si>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</si>
  <si>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</si>
  <si>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</si>
  <si>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</si>
  <si>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</si>
  <si>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</si>
  <si>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</si>
  <si>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</si>
  <si>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</si>
  <si>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</si>
  <si>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</si>
  <si>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</si>
  <si>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</si>
  <si>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</si>
  <si>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</si>
  <si>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</si>
  <si>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</si>
  <si>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</si>
  <si>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</si>
  <si>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</si>
  <si>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</si>
  <si>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</si>
  <si>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</si>
  <si>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</si>
  <si>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</si>
  <si>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</si>
  <si>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</si>
  <si>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</si>
  <si>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</si>
  <si>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</si>
  <si>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</si>
  <si>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</si>
  <si>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</si>
  <si>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</si>
  <si>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</si>
  <si>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</si>
  <si>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</si>
  <si>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</si>
  <si>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</si>
  <si>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</si>
  <si>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</si>
  <si>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</si>
  <si>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</si>
  <si>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</si>
  <si>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</si>
  <si>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</si>
  <si>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</si>
  <si>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</si>
  <si>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</si>
  <si>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</si>
  <si>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</si>
  <si>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</si>
  <si>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</si>
  <si>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</si>
  <si>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</si>
  <si>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</si>
  <si>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</si>
  <si>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</si>
  <si>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</si>
  <si>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</si>
  <si>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</si>
  <si>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</si>
  <si>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</si>
  <si>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</si>
  <si>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</si>
  <si>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</si>
  <si>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</si>
  <si>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</si>
  <si>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</si>
  <si>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</si>
  <si>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</si>
  <si>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</si>
  <si>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</si>
  <si>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</si>
  <si>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</si>
  <si>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</si>
  <si>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</si>
  <si>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</si>
  <si>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</si>
  <si>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</si>
  <si>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</si>
  <si>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</si>
  <si>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</si>
  <si>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</si>
  <si>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</si>
  <si>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</si>
  <si>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</si>
  <si>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</si>
  <si>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</si>
  <si>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</si>
  <si>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</si>
  <si>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</si>
  <si>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</si>
  <si>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</si>
  <si>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</si>
  <si>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</si>
  <si>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</si>
  <si>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</si>
  <si>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</si>
  <si>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</si>
  <si>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</si>
  <si>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</si>
  <si>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</si>
  <si>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</si>
  <si>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</si>
  <si>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</si>
  <si>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</si>
  <si>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</si>
  <si>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</si>
  <si>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</si>
  <si>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</si>
  <si>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</si>
  <si>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</si>
  <si>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</si>
  <si>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</si>
  <si>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</si>
  <si>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</si>
  <si>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</si>
  <si>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</si>
  <si>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</si>
  <si>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</si>
  <si>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</si>
  <si>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</si>
  <si>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</si>
  <si>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</si>
  <si>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</si>
  <si>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</si>
  <si>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</si>
  <si>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</si>
  <si>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</si>
  <si>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</si>
  <si>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</si>
  <si>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</si>
  <si>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</si>
  <si>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</si>
  <si>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</si>
  <si>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</si>
  <si>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</si>
  <si>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</si>
  <si>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</si>
  <si>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</si>
  <si>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</si>
  <si>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</si>
  <si>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</si>
  <si>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</si>
  <si>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</si>
  <si>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</si>
  <si>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</si>
  <si>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</si>
  <si>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</si>
  <si>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</si>
  <si>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</si>
  <si>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</si>
  <si>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</si>
  <si>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</si>
  <si>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</si>
  <si>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</si>
  <si>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</si>
  <si>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</si>
  <si>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</si>
  <si>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</si>
  <si>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</si>
  <si>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</si>
  <si>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</si>
  <si>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</si>
  <si>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</si>
  <si>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</si>
  <si>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</si>
  <si>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</si>
  <si>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</si>
  <si>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</si>
  <si>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</si>
  <si>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</si>
  <si>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</si>
  <si>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</si>
  <si>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</si>
  <si>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</si>
  <si>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</si>
  <si>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</si>
  <si>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</si>
  <si>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</si>
  <si>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</si>
  <si>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</si>
  <si>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</si>
  <si>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</si>
  <si>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</si>
  <si>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</si>
  <si>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</si>
  <si>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</si>
  <si>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</si>
  <si>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</si>
  <si>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</si>
  <si>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</si>
  <si>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</si>
  <si>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</si>
  <si>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</si>
  <si>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</si>
  <si>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</si>
  <si>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</si>
  <si>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</si>
  <si>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</si>
  <si>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</si>
  <si>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</si>
  <si>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</si>
  <si>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</si>
  <si>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</si>
  <si>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</si>
  <si>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</si>
  <si>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</si>
  <si>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</si>
  <si>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</si>
  <si>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</si>
  <si>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</si>
  <si>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</si>
  <si>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</si>
  <si>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</si>
  <si>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</si>
  <si>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</si>
  <si>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</si>
  <si>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</si>
  <si>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</si>
  <si>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</si>
  <si>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</si>
  <si>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</si>
  <si>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</si>
  <si>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</si>
  <si>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</si>
  <si>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</si>
  <si>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</si>
  <si>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</si>
  <si>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</si>
  <si>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</si>
  <si>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</si>
  <si>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</si>
  <si>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</si>
  <si>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</si>
  <si>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</si>
  <si>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</si>
  <si>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</si>
  <si>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</si>
  <si>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</si>
  <si>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</si>
  <si>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</si>
  <si>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</si>
  <si>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</si>
  <si>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</si>
  <si>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</si>
  <si>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</si>
  <si>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</si>
  <si>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</si>
  <si>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</si>
  <si>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</si>
  <si>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</si>
  <si>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</si>
  <si>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</si>
  <si>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</si>
  <si>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</si>
  <si>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</si>
  <si>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</si>
  <si>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</si>
  <si>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</si>
  <si>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</si>
  <si>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</si>
  <si>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</si>
  <si>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</si>
  <si>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</si>
  <si>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</si>
  <si>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</si>
  <si>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</si>
  <si>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</si>
  <si>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</si>
  <si>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</si>
  <si>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</si>
  <si>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</si>
  <si>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</si>
  <si>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</si>
  <si>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</si>
  <si>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</si>
  <si>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</si>
  <si>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</si>
  <si>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</si>
  <si>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</si>
  <si>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</si>
  <si>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</si>
  <si>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</si>
  <si>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</si>
  <si>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</si>
  <si>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</si>
  <si>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</si>
  <si>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</si>
  <si>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</si>
  <si>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</si>
  <si>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</si>
  <si>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</si>
  <si>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</si>
  <si>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</si>
  <si>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</si>
  <si>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</si>
  <si>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</si>
  <si>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</si>
  <si>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</si>
  <si>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</si>
  <si>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</si>
  <si>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</si>
  <si>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</si>
  <si>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</si>
  <si>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</si>
  <si>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</si>
  <si>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</si>
  <si>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</si>
  <si>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</si>
  <si>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</si>
  <si>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</si>
  <si>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</si>
  <si>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</si>
  <si>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</si>
  <si>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</si>
  <si>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</si>
  <si>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</si>
  <si>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</si>
  <si>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</si>
  <si>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</si>
  <si>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</si>
  <si>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</si>
  <si>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</si>
  <si>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</si>
  <si>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</si>
  <si>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</si>
  <si>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</si>
  <si>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</si>
  <si>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</si>
  <si>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</si>
  <si>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</si>
  <si>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</si>
  <si>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</si>
  <si>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</si>
  <si>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</si>
  <si>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</si>
  <si>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</si>
  <si>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</si>
  <si>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</si>
  <si>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</si>
  <si>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</si>
  <si>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</si>
  <si>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</si>
  <si>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</si>
  <si>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</si>
  <si>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</si>
  <si>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</si>
  <si>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</si>
  <si>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</si>
  <si>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</si>
  <si>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</si>
  <si>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</si>
  <si>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</si>
  <si>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</si>
  <si>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</si>
  <si>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</si>
  <si>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</si>
  <si>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</si>
  <si>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</si>
  <si>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</si>
  <si>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</si>
  <si>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</si>
  <si>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</si>
  <si>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</si>
  <si>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</si>
  <si>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</si>
  <si>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</si>
  <si>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</si>
  <si>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</si>
  <si>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</si>
  <si>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</si>
  <si>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</si>
  <si>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</si>
  <si>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</si>
  <si>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</si>
  <si>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</si>
  <si>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</si>
  <si>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</si>
  <si>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</si>
  <si>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</si>
  <si>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</si>
  <si>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</si>
  <si>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</si>
  <si>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</si>
  <si>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</si>
  <si>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</si>
  <si>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</si>
  <si>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</si>
  <si>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</si>
  <si>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</si>
  <si>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</si>
  <si>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</si>
  <si>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</si>
  <si>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</si>
  <si>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</si>
  <si>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</si>
  <si>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</si>
  <si>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</si>
  <si>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</si>
  <si>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</si>
  <si>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</si>
  <si>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</si>
  <si>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</si>
  <si>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</si>
  <si>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</si>
  <si>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</si>
  <si>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</si>
  <si>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</si>
  <si>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</si>
  <si>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</si>
  <si>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</si>
  <si>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</si>
  <si>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</si>
  <si>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</si>
  <si>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</si>
  <si>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</si>
  <si>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</si>
  <si>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</si>
  <si>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</si>
  <si>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</si>
  <si>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</si>
  <si>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</si>
  <si>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</si>
  <si>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</si>
  <si>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</si>
  <si>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</si>
  <si>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</si>
  <si>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</si>
  <si>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</si>
  <si>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</si>
  <si>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</si>
  <si>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</si>
  <si>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</si>
  <si>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</si>
  <si>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</si>
  <si>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</si>
  <si>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</si>
  <si>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</si>
  <si>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</si>
  <si>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</si>
  <si>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</si>
  <si>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</si>
  <si>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</si>
  <si>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</si>
  <si>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</si>
  <si>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</si>
  <si>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</si>
  <si>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</si>
  <si>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</si>
  <si>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</si>
  <si>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</si>
  <si>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</si>
  <si>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</si>
  <si>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</si>
  <si>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</si>
  <si>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</si>
  <si>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</si>
  <si>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</si>
  <si>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</si>
  <si>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</si>
  <si>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</si>
  <si>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</si>
  <si>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</si>
  <si>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</si>
  <si>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</si>
  <si>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</si>
  <si>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</si>
  <si>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</si>
  <si>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</si>
  <si>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</si>
  <si>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</si>
  <si>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</si>
  <si>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</si>
  <si>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</si>
  <si>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</si>
  <si>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</si>
  <si>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</si>
  <si>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</si>
  <si>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</si>
  <si>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</si>
  <si>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</si>
  <si>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</si>
  <si>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</si>
  <si>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</si>
  <si>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</si>
  <si>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</si>
  <si>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</si>
  <si>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</si>
  <si>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</si>
  <si>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</si>
  <si>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</si>
  <si>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</si>
  <si>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</si>
  <si>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</si>
  <si>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</si>
  <si>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</si>
  <si>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</si>
  <si>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</si>
  <si>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</si>
  <si>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</si>
  <si>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</si>
  <si>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</si>
  <si>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</si>
  <si>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</si>
  <si>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</si>
  <si>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</si>
  <si>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</si>
  <si>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</si>
  <si>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</si>
  <si>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</si>
  <si>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</si>
  <si>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</si>
  <si>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</si>
  <si>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</si>
  <si>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</si>
  <si>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</si>
  <si>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</si>
  <si>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</si>
  <si>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</si>
  <si>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</si>
  <si>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</si>
  <si>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</si>
  <si>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</si>
  <si>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</si>
  <si>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</si>
  <si>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</si>
  <si>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</si>
  <si>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</si>
  <si>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</si>
  <si>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</si>
  <si>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</si>
  <si>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</si>
  <si>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</si>
  <si>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</si>
  <si>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</si>
  <si>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</si>
  <si>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</si>
  <si>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</si>
  <si>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</si>
  <si>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</si>
  <si>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</si>
  <si>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</si>
  <si>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</si>
  <si>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</si>
  <si>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</si>
  <si>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</si>
  <si>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</si>
  <si>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</si>
  <si>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</si>
  <si>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</si>
  <si>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</si>
  <si>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</si>
  <si>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</si>
  <si>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</si>
  <si>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</si>
  <si>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</si>
  <si>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</si>
  <si>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</si>
  <si>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</si>
  <si>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</si>
  <si>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</si>
  <si>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</si>
  <si>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</si>
  <si>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</si>
  <si>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</si>
  <si>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</si>
  <si>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</si>
  <si>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</si>
  <si>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</si>
  <si>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</si>
  <si>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</si>
  <si>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</si>
  <si>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</si>
  <si>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</si>
  <si>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</si>
  <si>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</si>
  <si>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</si>
  <si>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</si>
  <si>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</si>
  <si>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</si>
  <si>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</si>
  <si>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</si>
  <si>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</si>
  <si>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</si>
  <si>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</si>
  <si>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</si>
  <si>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</si>
  <si>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</si>
  <si>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</si>
  <si>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</si>
  <si>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</si>
  <si>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</si>
  <si>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</si>
  <si>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</si>
  <si>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</si>
  <si>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</si>
  <si>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</si>
  <si>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</si>
  <si>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</si>
  <si>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</si>
  <si>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</si>
  <si>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</si>
  <si>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</si>
  <si>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</si>
  <si>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</si>
  <si>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</si>
  <si>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</si>
  <si>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</si>
  <si>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</si>
  <si>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</si>
  <si>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</si>
  <si>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</si>
  <si>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</si>
  <si>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</si>
  <si>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</si>
  <si>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</si>
  <si>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</si>
  <si>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</si>
  <si>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</si>
  <si>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</si>
  <si>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</si>
  <si>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</si>
  <si>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</si>
  <si>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</si>
  <si>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</si>
  <si>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</si>
  <si>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</si>
  <si>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</si>
  <si>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</si>
  <si>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</si>
  <si>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</si>
  <si>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</si>
  <si>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</si>
  <si>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</si>
  <si>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</si>
  <si>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</si>
  <si>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</si>
  <si>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</si>
  <si>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</si>
  <si>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</si>
  <si>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</si>
  <si>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</si>
  <si>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</si>
  <si>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</si>
  <si>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</si>
  <si>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</si>
  <si>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</si>
  <si>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</si>
  <si>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</si>
  <si>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</si>
  <si>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</si>
  <si>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</si>
  <si>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</si>
  <si>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</si>
  <si>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</si>
  <si>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</si>
  <si>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</si>
  <si>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</si>
  <si>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</si>
  <si>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</si>
  <si>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</si>
  <si>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</si>
  <si>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</si>
  <si>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</si>
  <si>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</si>
  <si>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</si>
  <si>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</si>
  <si>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</si>
  <si>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</si>
  <si>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</si>
  <si>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</si>
  <si>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</si>
  <si>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</si>
  <si>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</si>
  <si>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</si>
  <si>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</si>
  <si>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</si>
  <si>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</si>
  <si>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</si>
  <si>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</si>
  <si>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</si>
  <si>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</si>
  <si>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</si>
  <si>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</si>
  <si>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</si>
  <si>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</si>
  <si>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</si>
  <si>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</si>
  <si>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</si>
  <si>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</si>
  <si>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</si>
  <si>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</si>
  <si>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</si>
  <si>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</si>
  <si>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</si>
  <si>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</si>
  <si>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</si>
  <si>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</si>
  <si>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</si>
  <si>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</si>
  <si>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</si>
  <si>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</si>
  <si>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</si>
  <si>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</si>
  <si>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</si>
  <si>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</si>
  <si>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</si>
  <si>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</si>
  <si>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</si>
  <si>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</si>
  <si>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</si>
  <si>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</si>
  <si>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</si>
  <si>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</si>
  <si>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</si>
  <si>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</si>
  <si>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</si>
  <si>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</si>
  <si>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</si>
  <si>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</si>
  <si>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</si>
  <si>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</si>
  <si>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</si>
  <si>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</si>
  <si>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</si>
  <si>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</si>
  <si>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</si>
  <si>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</si>
  <si>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</si>
  <si>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</si>
  <si>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</si>
  <si>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</si>
  <si>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</si>
  <si>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</si>
  <si>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</si>
  <si>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</si>
  <si>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</si>
  <si>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</si>
  <si>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</si>
  <si>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</si>
  <si>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</si>
  <si>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</si>
  <si>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</si>
  <si>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</si>
  <si>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</si>
  <si>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</si>
  <si>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</si>
  <si>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</si>
  <si>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</si>
  <si>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</si>
  <si>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</si>
  <si>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</si>
  <si>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</si>
  <si>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</si>
  <si>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</si>
  <si>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</si>
  <si>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</si>
  <si>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</si>
  <si>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</si>
  <si>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</si>
  <si>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</si>
  <si>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</si>
  <si>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</si>
  <si>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</si>
  <si>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</si>
  <si>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</si>
  <si>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</si>
  <si>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</si>
  <si>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</si>
  <si>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</si>
  <si>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</si>
  <si>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</si>
  <si>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</si>
  <si>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</si>
  <si>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</si>
  <si>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</si>
  <si>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</si>
  <si>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</si>
  <si>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</si>
  <si>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</si>
  <si>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</si>
  <si>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</si>
  <si>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</si>
  <si>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</si>
  <si>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</si>
  <si>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</si>
  <si>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</si>
  <si>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</si>
  <si>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</si>
  <si>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</si>
  <si>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</si>
  <si>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</si>
  <si>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</si>
  <si>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</si>
  <si>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</si>
  <si>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</si>
  <si>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</si>
  <si>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</si>
  <si>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</si>
  <si>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</si>
  <si>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</si>
  <si>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</si>
  <si>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</si>
  <si>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电子城科技园401楼</t>
  </si>
  <si>
    <t>电子城IT产业园D3</t>
  </si>
  <si>
    <t>项目位置</t>
  </si>
  <si>
    <t>正常</t>
  </si>
  <si>
    <t>30-40（含）</t>
  </si>
  <si>
    <t>一般</t>
  </si>
  <si>
    <t>七通</t>
  </si>
  <si>
    <t>较好</t>
  </si>
  <si>
    <t>中高层建筑</t>
  </si>
  <si>
    <t>普通</t>
  </si>
  <si>
    <t>标准层高</t>
  </si>
  <si>
    <t>普通装修</t>
  </si>
  <si>
    <t>0-10%</t>
  </si>
  <si>
    <t>多层建筑</t>
  </si>
  <si>
    <t>20-30（含）</t>
  </si>
  <si>
    <t>15-20%</t>
  </si>
  <si>
    <t>地上租金</t>
    <phoneticPr fontId="134" type="noConversion"/>
  </si>
  <si>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</si>
  <si>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</si>
  <si>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</si>
  <si>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</si>
  <si>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</si>
  <si>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</si>
  <si>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</si>
  <si>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</si>
  <si>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</si>
  <si>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</si>
  <si>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</si>
  <si>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</si>
  <si>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</si>
  <si>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</si>
  <si>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</si>
  <si>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</si>
  <si>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</si>
  <si>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</si>
  <si>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</si>
  <si>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</si>
  <si>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</si>
  <si>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</si>
  <si>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</si>
  <si>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</si>
  <si>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</si>
  <si>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</si>
  <si>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</si>
  <si>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</si>
  <si>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</si>
  <si>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</si>
  <si>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</si>
  <si>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</si>
  <si>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</si>
  <si>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</si>
  <si>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</si>
  <si>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</si>
  <si>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</si>
  <si>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</si>
  <si>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</si>
  <si>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</si>
  <si>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</si>
  <si>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</si>
  <si>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</si>
  <si>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</si>
  <si>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</si>
  <si>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</si>
  <si>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</si>
  <si>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</si>
  <si>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</si>
  <si>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</si>
  <si>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</si>
  <si>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</si>
  <si>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</si>
  <si>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</si>
  <si>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</si>
  <si>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</si>
  <si>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</si>
  <si>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</si>
  <si>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</si>
  <si>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</si>
  <si>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</si>
  <si>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</si>
  <si>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</si>
  <si>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</si>
  <si>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</si>
  <si>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</si>
  <si>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</si>
  <si>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</si>
  <si>
    <t>研发</t>
    <phoneticPr fontId="31" type="noConversion"/>
  </si>
  <si>
    <t>工业</t>
    <phoneticPr fontId="31" type="noConversion"/>
  </si>
  <si>
    <t>地下展厅、餐厅厨房员工活动</t>
    <phoneticPr fontId="134" type="noConversion"/>
  </si>
  <si>
    <r>
      <rPr>
        <sz val="11"/>
        <color theme="9" tint="-0.249977111117893"/>
        <rFont val="宋体"/>
        <family val="3"/>
        <charset val="134"/>
      </rPr>
      <t>文化都汇</t>
    </r>
    <r>
      <rPr>
        <sz val="11"/>
        <color theme="9" tint="-0.249977111117893"/>
        <rFont val="Arial"/>
        <family val="2"/>
      </rPr>
      <t>2#</t>
    </r>
    <r>
      <rPr>
        <sz val="11"/>
        <color theme="9" tint="-0.249977111117893"/>
        <rFont val="宋体"/>
        <family val="3"/>
        <charset val="134"/>
      </rPr>
      <t>半栋</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</si>
</sst>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0" fontId="44" fillId="22" borderId="5" xfId="0" applyFont="1" applyFill="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0" fontId="272" fillId="0" borderId="1" xfId="0" applyFont="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95" fillId="0" borderId="0" xfId="17" applyNumberFormat="1" applyFont="1">
      <alignment vertical="center"/>
    </xf>
    <xf numFmtId="0" fontId="273" fillId="0" borderId="3"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北京市朝阳区朝运街40号院1-3号楼房地产抵押价值预评估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受贵公司委托，我公司对北京市朝阳区朝运街40号院1-3号楼房地产抵押价值进行了预评估。</v>
      </c>
    </row>
    <row r="7" spans="1:2">
      <c r="A7" s="1119" t="s">
        <v>566</v>
      </c>
      <c r="B7" s="1120" t="str">
        <f>'预评函-1'!A7</f>
        <v>估价对象为北京市朝阳区朝运街40号院1-3号楼房地产，为所有。根据《国有土地使用证》[]，估价对象（分摊）出让国有建设用地使用权面积为10734.17平方米，建筑面积为51026.26平方米。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运街40号院1-3号楼房地产,为开发建设的，该项目尚在开发建设中。根据《国有土地使用证》[]，估价对象（分摊）出让国有建设用地使用权面积为10734.17平方米，规划建筑面积为51026.26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2025年5月22日（评估专业人员实地查勘之日）</v>
      </c>
    </row>
    <row r="13" spans="1:2">
      <c r="A13" s="1119" t="s">
        <v>529</v>
      </c>
      <c r="B13" s="1120"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90328</v>
      </c>
    </row>
    <row r="21" spans="1:2">
      <c r="A21" s="1119" t="s">
        <v>537</v>
      </c>
      <c r="B21" s="1120">
        <f ca="1">'预评函-2'!D7</f>
        <v>17802</v>
      </c>
    </row>
    <row r="22" spans="1:2">
      <c r="A22" s="1119" t="s">
        <v>538</v>
      </c>
      <c r="B22" s="1120" t="str">
        <f ca="1">'预评函-2'!D6</f>
        <v>玖亿零叁佰贰拾捌万元整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90328</v>
      </c>
    </row>
    <row r="31" spans="1:2">
      <c r="A31" s="1119" t="s">
        <v>576</v>
      </c>
      <c r="B31" s="1120">
        <f ca="1">'预评函-2'!D15</f>
        <v>17802</v>
      </c>
    </row>
    <row r="32" spans="1:2">
      <c r="A32" s="1119" t="s">
        <v>543</v>
      </c>
      <c r="B32" s="1120" t="str">
        <f ca="1">'预评函-2'!D14</f>
        <v>玖亿零叁佰贰拾捌万元整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34340</v>
      </c>
    </row>
    <row r="39" spans="1:2">
      <c r="A39" s="1119" t="s">
        <v>545</v>
      </c>
      <c r="B39" s="1120">
        <f ca="1">'预评函-2'!D21</f>
        <v>6730</v>
      </c>
    </row>
    <row r="40" spans="1:2">
      <c r="A40" s="1119" t="s">
        <v>546</v>
      </c>
      <c r="B40" s="1120" t="str">
        <f ca="1">'预评函-2'!D20</f>
        <v>叁亿肆仟叁佰肆拾万元整</v>
      </c>
    </row>
    <row r="41" spans="1:2">
      <c r="A41" s="1119" t="s">
        <v>592</v>
      </c>
      <c r="B41" s="1120" t="str">
        <f>'预评函-3'!A4</f>
        <v>北京市朝阳区朝运街40号院1-3号楼房地产</v>
      </c>
    </row>
    <row r="42" spans="1:2" ht="31.2">
      <c r="A42" s="1119" t="s">
        <v>590</v>
      </c>
      <c r="B42" s="1120" t="str">
        <f>'预评函-3'!B2</f>
        <v>建筑面积</v>
      </c>
    </row>
    <row r="43" spans="1:2">
      <c r="A43" s="1119" t="s">
        <v>591</v>
      </c>
      <c r="B43" s="1120">
        <f>'预评函-3'!B4</f>
        <v>51026.259999999995</v>
      </c>
    </row>
    <row r="44" spans="1:2" ht="31.2">
      <c r="A44" s="1119" t="s">
        <v>575</v>
      </c>
      <c r="B44" s="1120" t="str">
        <f>'预评函-3'!C2</f>
        <v>(分摊)土地面积</v>
      </c>
    </row>
    <row r="45" spans="1:2">
      <c r="A45" s="1119" t="s">
        <v>547</v>
      </c>
      <c r="B45" s="1120">
        <f>'预评函-3'!C4</f>
        <v>10734.17</v>
      </c>
    </row>
    <row r="46" spans="1:2">
      <c r="A46" s="1119" t="s">
        <v>573</v>
      </c>
      <c r="B46" s="1120" t="str">
        <f>'预评函-3'!D2</f>
        <v>出让国有建设用地使用权价值</v>
      </c>
    </row>
    <row r="47" spans="1:2">
      <c r="A47" s="1119" t="s">
        <v>548</v>
      </c>
      <c r="B47" s="1120">
        <f ca="1">'预评函-3'!D4</f>
        <v>31524</v>
      </c>
    </row>
    <row r="48" spans="1:2">
      <c r="A48" s="1119" t="s">
        <v>549</v>
      </c>
      <c r="B48" s="1120">
        <f ca="1">'预评函-3'!E4</f>
        <v>6213</v>
      </c>
    </row>
    <row r="49" spans="1:2">
      <c r="A49" s="1119" t="s">
        <v>550</v>
      </c>
      <c r="B49" s="1120" t="str">
        <f ca="1">'预评函-3'!D5</f>
        <v>叁亿壹仟伍佰贰拾肆万元整</v>
      </c>
    </row>
    <row r="50" spans="1:2">
      <c r="A50" s="1119" t="s">
        <v>574</v>
      </c>
      <c r="B50" s="1120" t="str">
        <f>'预评函-3'!F2</f>
        <v>在建建筑物价值</v>
      </c>
    </row>
    <row r="51" spans="1:2">
      <c r="A51" s="1119" t="s">
        <v>551</v>
      </c>
      <c r="B51" s="1120">
        <f ca="1">'预评函-3'!F4</f>
        <v>58804</v>
      </c>
    </row>
    <row r="52" spans="1:2">
      <c r="A52" s="1119" t="s">
        <v>552</v>
      </c>
      <c r="B52" s="1120">
        <f ca="1">'预评函-3'!G4</f>
        <v>11589</v>
      </c>
    </row>
    <row r="53" spans="1:2">
      <c r="A53" s="1119" t="s">
        <v>580</v>
      </c>
      <c r="B53" s="1120" t="str">
        <f ca="1">'预评函-3'!F5</f>
        <v>伍亿捌仟捌佰零肆万元整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7" t="s">
        <v>385</v>
      </c>
      <c r="C54" s="1445" t="s">
        <v>583</v>
      </c>
    </row>
    <row r="55" spans="1:4">
      <c r="A55" s="3240"/>
      <c r="B55" s="1447" t="s">
        <v>386</v>
      </c>
      <c r="C55" s="1445" t="s">
        <v>584</v>
      </c>
    </row>
    <row r="56" spans="1:4">
      <c r="A56" s="3240"/>
      <c r="B56" s="1447" t="s">
        <v>387</v>
      </c>
      <c r="C56" s="1445" t="s">
        <v>588</v>
      </c>
    </row>
    <row r="57" spans="1:4">
      <c r="A57" s="324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41" t="s">
        <v>2576</v>
      </c>
      <c r="J2" s="3241"/>
      <c r="K2" s="3241"/>
      <c r="L2" s="3241"/>
      <c r="M2" s="3241"/>
      <c r="N2" s="3241"/>
      <c r="O2" s="3241"/>
      <c r="P2" s="3241"/>
      <c r="Q2" s="3241"/>
      <c r="R2" s="3241"/>
    </row>
    <row r="3" spans="1:18">
      <c r="A3" s="2760" t="s">
        <v>2497</v>
      </c>
      <c r="B3" s="2761">
        <f>项目基本情况!D3</f>
        <v>45799</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1.57</v>
      </c>
      <c r="D5" s="2765">
        <f>IF(ISERROR(ROUND(POWER(1+E5,A5-C5)*(POWER(1+E5,C5)-1)/(POWER(1+E5,A5)-1),3)),0,ROUND(POWER(1+E5,A5-C5)*(POWER(1+E5,C5)-1)/(POWER(1+E5,A5)-1),4))</f>
        <v>7.5399999999999995E-2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11.58</v>
      </c>
      <c r="D6" s="2765">
        <f>IF(ISERROR(ROUND(POWER(1+E6,A6-C6)*(POWER(1+E6,C6)-1)/(POWER(1+E6,A6)-1),3)),0,ROUND(POWER(1+E6,A6-C6)*(POWER(1+E6,C6)-1)/(POWER(1+E6,A6)-1),4))</f>
        <v>0.42480000000000001</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v>
      </c>
      <c r="D7" s="2765">
        <f>IF(ISERROR(ROUND(POWER(1+E7,A7-C7)*(POWER(1+E7,C7)-1)/(POWER(1+E7,A7)-1),3)),0,ROUND(POWER(1+E7,A7-C7)*(POWER(1+E7,C7)-1)/(POWER(1+E7,A7)-1),4))</f>
        <v>0.75919999999999999</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42" t="str">
        <f>IF(B10="北京市","北京市",C10)&amp;F10&amp;IF(结果表!G1="在建","出让国有建设用地使用权及在建建筑物",IF(结果表!G1="土地","出让国有建设用地使用权",))&amp;B9&amp;"预评估"</f>
        <v>北京市朝阳区朝运街40号院1-3号楼房地产抵押价值预评估</v>
      </c>
      <c r="C1" s="3243"/>
      <c r="D1" s="3243"/>
      <c r="E1" s="3243"/>
      <c r="F1" s="3243"/>
      <c r="G1" s="3243"/>
      <c r="H1" s="3243"/>
      <c r="I1" s="324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北京市朝阳区朝运街40号院1-3号楼房地产</v>
      </c>
      <c r="T2" s="1618"/>
      <c r="U2" s="1618"/>
      <c r="V2" s="1618"/>
      <c r="W2" s="1618"/>
      <c r="X2" s="1618"/>
      <c r="Y2" s="1618"/>
      <c r="Z2" s="1618"/>
      <c r="AA2" s="1618"/>
      <c r="AB2" s="1618"/>
    </row>
    <row r="3" spans="1:30">
      <c r="A3" s="294" t="s">
        <v>2170</v>
      </c>
      <c r="B3" s="3189">
        <v>45799</v>
      </c>
      <c r="C3" s="2185" t="s">
        <v>2171</v>
      </c>
      <c r="D3" s="3189">
        <v>45799</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3409</v>
      </c>
      <c r="C4" s="2187">
        <f ca="1">SUMIF(注册房地产估价师,B4,估价师及机构信息!B3:B24)</f>
        <v>1419970001</v>
      </c>
      <c r="D4" s="2186" t="s">
        <v>3410</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45" t="s">
        <v>2177</v>
      </c>
      <c r="E8" s="2201" t="s">
        <v>3411</v>
      </c>
      <c r="F8" s="2202"/>
      <c r="G8" s="2440"/>
      <c r="H8" s="2440"/>
      <c r="I8" s="2440"/>
      <c r="J8" s="2244"/>
      <c r="K8" s="2398"/>
      <c r="L8" s="2397"/>
      <c r="M8" s="2397"/>
      <c r="N8" s="2244"/>
      <c r="O8" s="1670"/>
      <c r="P8" s="2244"/>
      <c r="Q8" s="2244"/>
      <c r="R8" s="2244"/>
    </row>
    <row r="9" spans="1:30" ht="13.8" thickBot="1">
      <c r="A9" s="2203" t="s">
        <v>2178</v>
      </c>
      <c r="B9" s="2204" t="s">
        <v>3411</v>
      </c>
      <c r="C9" s="2205"/>
      <c r="D9" s="3246"/>
      <c r="E9" s="2204" t="s">
        <v>587</v>
      </c>
      <c r="F9" s="2206"/>
      <c r="G9" s="2441"/>
      <c r="H9" s="2441"/>
      <c r="I9" s="2441"/>
      <c r="J9" s="2244"/>
      <c r="K9" s="2400"/>
      <c r="L9" s="2397"/>
      <c r="M9" s="2397"/>
      <c r="N9" s="2244"/>
      <c r="O9" s="1670"/>
      <c r="P9" s="2244"/>
      <c r="Q9" s="2244"/>
      <c r="R9" s="2244"/>
    </row>
    <row r="10" spans="1:30" ht="13.8" thickTop="1">
      <c r="A10" s="2207" t="s">
        <v>2179</v>
      </c>
      <c r="B10" s="2208" t="s">
        <v>3412</v>
      </c>
      <c r="C10" s="2209"/>
      <c r="D10" s="2192"/>
      <c r="E10" s="2210" t="s">
        <v>2180</v>
      </c>
      <c r="F10" s="3160" t="s">
        <v>3413</v>
      </c>
      <c r="G10" s="2442"/>
      <c r="H10" s="2443"/>
      <c r="I10" s="2444"/>
      <c r="J10" s="2244"/>
      <c r="K10" s="2400"/>
      <c r="L10" s="2397"/>
      <c r="M10" s="2397"/>
      <c r="N10" s="2244"/>
      <c r="O10" s="1670"/>
      <c r="P10" s="2244"/>
      <c r="Q10" s="2244"/>
      <c r="R10" s="2244"/>
    </row>
    <row r="11" spans="1:30">
      <c r="A11" s="2211" t="s">
        <v>2181</v>
      </c>
      <c r="B11" s="2212" t="s">
        <v>3414</v>
      </c>
      <c r="C11" s="2213"/>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c r="F13" s="803">
        <v>58062</v>
      </c>
      <c r="G13" s="803">
        <v>58062</v>
      </c>
      <c r="H13" s="803">
        <v>58062</v>
      </c>
      <c r="I13" s="803">
        <v>58062</v>
      </c>
      <c r="J13" s="2800"/>
      <c r="K13" s="2397"/>
      <c r="L13" s="2397"/>
      <c r="M13" s="2244"/>
      <c r="N13" s="1670"/>
      <c r="O13" s="2244"/>
      <c r="P13" s="2244"/>
      <c r="Q13" s="2244"/>
      <c r="AD13" s="1618"/>
    </row>
    <row r="14" spans="1:30">
      <c r="A14" s="1018"/>
      <c r="B14" s="2217" t="s">
        <v>2191</v>
      </c>
      <c r="C14" s="2218"/>
      <c r="D14" s="2218"/>
      <c r="E14" s="2218"/>
      <c r="F14" s="2218">
        <v>50</v>
      </c>
      <c r="G14" s="2218">
        <v>50</v>
      </c>
      <c r="H14" s="2218">
        <v>50</v>
      </c>
      <c r="I14" s="2218">
        <v>50</v>
      </c>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f>IF(A13="出让",IF(F13="","",ROUNDDOWN(MIN((F13-$D$3)/365,F14),2)),F14)</f>
        <v>33.590000000000003</v>
      </c>
      <c r="G15" s="2220">
        <f>IF(A13="出让",IF(G13="","",ROUNDDOWN(MIN((G13-$D$3)/365,G14),2)),G14)</f>
        <v>33.590000000000003</v>
      </c>
      <c r="H15" s="2220">
        <f>IF(A13="出让",IF(H13="","",ROUNDDOWN(MIN((H13-$D$3)/365,H14),2)),H14)</f>
        <v>33.590000000000003</v>
      </c>
      <c r="I15" s="2220">
        <f>IF(A13="出让",IF(I13="","",ROUNDDOWN(MIN((I13-$D$3)/365,I14),2)),I14)</f>
        <v>33.590000000000003</v>
      </c>
      <c r="J15" s="2802"/>
      <c r="K15" s="1670"/>
      <c r="L15" s="1670"/>
      <c r="M15" s="2244"/>
      <c r="N15" s="1670"/>
      <c r="O15" s="2244"/>
      <c r="P15" s="2244"/>
      <c r="Q15" s="2244"/>
      <c r="AD15" s="1618"/>
    </row>
    <row r="16" spans="1:30">
      <c r="A16" s="2210" t="s">
        <v>2193</v>
      </c>
      <c r="B16" s="3252"/>
      <c r="C16" s="3253"/>
      <c r="D16" s="3254"/>
      <c r="E16" s="2221" t="s">
        <v>2194</v>
      </c>
      <c r="F16" s="3255"/>
      <c r="G16" s="3256"/>
      <c r="H16" s="3256"/>
      <c r="I16" s="3257"/>
      <c r="J16" s="2244"/>
      <c r="K16" s="2401"/>
      <c r="L16" s="1670"/>
      <c r="M16" s="1670"/>
      <c r="N16" s="2244"/>
      <c r="O16" s="1670"/>
      <c r="P16" s="2244"/>
      <c r="Q16" s="2244"/>
      <c r="R16" s="2244"/>
    </row>
    <row r="17" spans="1:28">
      <c r="A17" s="305" t="s">
        <v>2195</v>
      </c>
      <c r="B17" s="294" t="s">
        <v>2196</v>
      </c>
      <c r="C17" s="8">
        <f>'数据-汇总表'!E3</f>
        <v>51026.259999999995</v>
      </c>
      <c r="D17" s="1256" t="s">
        <v>2197</v>
      </c>
      <c r="E17" s="3258" t="s">
        <v>2198</v>
      </c>
      <c r="F17" s="3259"/>
      <c r="G17" s="3259"/>
      <c r="H17" s="3259"/>
      <c r="I17" s="3260"/>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10734.17</v>
      </c>
      <c r="D18" s="1029" t="s">
        <v>2201</v>
      </c>
      <c r="E18" s="3261" t="s">
        <v>2202</v>
      </c>
      <c r="F18" s="3262"/>
      <c r="G18" s="3262"/>
      <c r="H18" s="3262"/>
      <c r="I18" s="3263"/>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48" t="s">
        <v>2206</v>
      </c>
      <c r="C20" s="3249"/>
      <c r="D20" s="3250" t="s">
        <v>2207</v>
      </c>
      <c r="E20" s="3251"/>
      <c r="F20" s="2428" t="s">
        <v>1056</v>
      </c>
      <c r="G20" s="2440"/>
      <c r="H20" s="2440"/>
      <c r="I20" s="2440"/>
      <c r="J20" s="2244"/>
      <c r="K20" s="324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4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4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65"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65"/>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65"/>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66"/>
      <c r="B30" s="294" t="s">
        <v>2218</v>
      </c>
      <c r="C30" s="3267"/>
      <c r="D30" s="3268"/>
      <c r="E30" s="2440"/>
      <c r="F30" s="2440"/>
      <c r="G30" s="2440"/>
      <c r="H30" s="2440"/>
      <c r="I30" s="2440"/>
      <c r="J30" s="2244"/>
      <c r="K30" s="2400"/>
      <c r="L30" s="2397"/>
      <c r="M30" s="2397"/>
      <c r="N30" s="2244"/>
      <c r="O30" s="1670"/>
      <c r="P30" s="2244"/>
      <c r="Q30" s="2244"/>
      <c r="R30" s="2244"/>
      <c r="S30" s="2244"/>
      <c r="T30" s="2244"/>
      <c r="U30" s="2244"/>
      <c r="V30" s="2244"/>
    </row>
    <row r="31" spans="1:28">
      <c r="A31" s="3269"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70"/>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70"/>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64" t="s">
        <v>2228</v>
      </c>
      <c r="T34" s="315" t="str">
        <f>NUMBERSTRING(7-K34,1)&amp;"通"</f>
        <v>七通</v>
      </c>
      <c r="U34" s="2244"/>
      <c r="V34" s="2244"/>
    </row>
    <row r="35" spans="1:30">
      <c r="A35" s="2235"/>
      <c r="B35" s="3264" t="s">
        <v>2229</v>
      </c>
      <c r="C35" s="3264"/>
      <c r="D35" s="3264"/>
      <c r="E35" s="3264"/>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303</v>
      </c>
      <c r="E37" s="2236" t="s">
        <v>303</v>
      </c>
      <c r="F37" s="2236" t="s">
        <v>303</v>
      </c>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c r="D38" s="2237" t="s">
        <v>2954</v>
      </c>
      <c r="E38" s="2237" t="s">
        <v>247</v>
      </c>
      <c r="F38" s="2237" t="s">
        <v>2954</v>
      </c>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2" width="9.44140625" style="1463" customWidth="1"/>
    <col min="13" max="14" width="9.44140625" style="1463" hidden="1"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10734.17</v>
      </c>
      <c r="B3" s="11">
        <f>IF(C3="否",G5-AT5,G5)</f>
        <v>51026.259999999995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51026.259999999995</v>
      </c>
      <c r="H5" s="13">
        <f t="shared" ref="H5:AT5" si="0">SUM(H13:H656)</f>
        <v>50739.14</v>
      </c>
      <c r="I5" s="13">
        <f t="shared" si="0"/>
        <v>37009.42</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287.12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287.12</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51026.259999999995</v>
      </c>
      <c r="BA5" s="15">
        <f t="shared" si="1"/>
        <v>50739.14</v>
      </c>
      <c r="BB5" s="15">
        <f t="shared" si="1"/>
        <v>37009.42</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287.12</v>
      </c>
      <c r="BM5" s="15">
        <f t="shared" si="1"/>
        <v>0</v>
      </c>
      <c r="BN5" s="15">
        <f t="shared" si="1"/>
        <v>0</v>
      </c>
      <c r="BO5" s="15">
        <f t="shared" si="1"/>
        <v>0</v>
      </c>
      <c r="BP5" s="15">
        <f t="shared" si="1"/>
        <v>0</v>
      </c>
      <c r="BQ5" s="15">
        <f t="shared" si="1"/>
        <v>287.12</v>
      </c>
      <c r="BR5" s="15">
        <f t="shared" si="1"/>
        <v>0</v>
      </c>
      <c r="BS5" s="15">
        <f t="shared" si="1"/>
        <v>0</v>
      </c>
      <c r="BT5" s="16">
        <f t="shared" si="1"/>
        <v>0</v>
      </c>
    </row>
    <row r="6" spans="1:72" s="1477" customFormat="1" ht="13.2">
      <c r="A6" s="12" t="s">
        <v>1072</v>
      </c>
      <c r="B6" s="1474"/>
      <c r="C6" s="1474"/>
      <c r="D6" s="1475"/>
      <c r="E6" s="13">
        <f>H6+AC6+AT6</f>
        <v>10734.17</v>
      </c>
      <c r="F6" s="13" t="s">
        <v>0</v>
      </c>
      <c r="G6" s="13" t="s">
        <v>1</v>
      </c>
      <c r="H6" s="17">
        <f>SUMIF(I$12:AB$12,"总值",I6:AB6)</f>
        <v>10673.77</v>
      </c>
      <c r="I6" s="13">
        <f t="shared" ref="I6:AB6" si="2">ROUND($A$3*I5/$B$3,2)</f>
        <v>7785.51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60.4</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10734.17</v>
      </c>
      <c r="AZ6" s="13" t="s">
        <v>2</v>
      </c>
      <c r="BA6" s="13">
        <f>ROUND($AY$6*BA5/$AZ$5,2)</f>
        <v>10673.77</v>
      </c>
      <c r="BB6" s="13">
        <f>ROUND($AY$6*BB5/$AZ$5,2)</f>
        <v>7785.51</v>
      </c>
      <c r="BC6" s="13">
        <f t="shared" ref="BC6:BH6" si="4">ROUND($AY$6*BC5/$AZ$5,2)</f>
        <v>2888.26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60.4</v>
      </c>
      <c r="BM6" s="13">
        <f t="shared" si="5"/>
        <v>0</v>
      </c>
      <c r="BN6" s="13">
        <f t="shared" si="5"/>
        <v>0</v>
      </c>
      <c r="BO6" s="13">
        <f t="shared" si="5"/>
        <v>0</v>
      </c>
      <c r="BP6" s="13">
        <f t="shared" si="5"/>
        <v>0</v>
      </c>
      <c r="BQ6" s="13">
        <f t="shared" si="5"/>
        <v>60.4</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3403</v>
      </c>
      <c r="J10" s="761"/>
      <c r="K10" s="1491" t="s">
        <v>3403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3417</v>
      </c>
      <c r="J11" s="1503"/>
      <c r="K11" s="1502" t="s">
        <v>3417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61">
        <v>1</v>
      </c>
      <c r="D13" s="1513" t="s">
        <v>3415</v>
      </c>
      <c r="E13" s="13">
        <f>IF($C$3="是",ROUND($A$3*G13/$B$3,2),ROUND($A$3*(G13-AT13)/$B$3,2))</f>
        <v>4064.73</v>
      </c>
      <c r="F13" s="29"/>
      <c r="G13" s="30">
        <f>H13+AC13+AT13</f>
        <v>19322.23</v>
      </c>
      <c r="H13" s="17">
        <f>SUMIF(I$12:AB$12,"总值",I13:AB13)</f>
        <v>19322.23</v>
      </c>
      <c r="I13" s="1514">
        <v>19322.23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4064.73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c r="B14" s="31"/>
      <c r="C14" s="3161">
        <v>2</v>
      </c>
      <c r="D14" s="1513" t="s">
        <v>3415</v>
      </c>
      <c r="E14" s="13">
        <f>IF($C$3="是",ROUND($A$3*G14/$B$3,2),ROUND($A$3*(G14-AT14)/$B$3,2))</f>
        <v>3781.18</v>
      </c>
      <c r="F14" s="29"/>
      <c r="G14" s="30">
        <f>H14+AC14+AT14</f>
        <v>17974.309999999998</v>
      </c>
      <c r="H14" s="17">
        <f>SUMIF(I$12:AB$12,"总值",I14:AB14)</f>
        <v>17687.189999999999</v>
      </c>
      <c r="I14" s="1514">
        <v>17687.189999999999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287.12</v>
      </c>
      <c r="AD14" s="989"/>
      <c r="AE14" s="989"/>
      <c r="AF14" s="989"/>
      <c r="AG14" s="989"/>
      <c r="AH14" s="989"/>
      <c r="AI14" s="989"/>
      <c r="AJ14" s="989"/>
      <c r="AK14" s="989"/>
      <c r="AL14" s="989">
        <v>287.12</v>
      </c>
      <c r="AM14" s="989"/>
      <c r="AN14" s="989"/>
      <c r="AO14" s="989"/>
      <c r="AP14" s="989"/>
      <c r="AQ14" s="989"/>
      <c r="AR14" s="989"/>
      <c r="AS14" s="989"/>
      <c r="AT14" s="29"/>
      <c r="AU14" s="1515"/>
      <c r="AV14" s="8">
        <f t="shared" si="6"/>
        <v>0</v>
      </c>
      <c r="AW14" s="8">
        <f t="shared" si="6"/>
        <v>0</v>
      </c>
      <c r="AX14" s="8">
        <f t="shared" si="6"/>
        <v>2</v>
      </c>
      <c r="AY14" s="1260">
        <f>ROUND($AY$6*AZ14/$AZ$5,2)</f>
        <v>3781.18</v>
      </c>
      <c r="AZ14" s="13">
        <f>BA14+BL14</f>
        <v>17974.309999999998</v>
      </c>
      <c r="BA14" s="13">
        <f>SUM(BB14:BK14)</f>
        <v>17687.189999999999</v>
      </c>
      <c r="BB14" s="13">
        <f>IF($D14="是",I14-J14,0)</f>
        <v>17687.189999999999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287.12</v>
      </c>
      <c r="BM14" s="13">
        <f>IF($D14="是",AD14-AE14,0)</f>
        <v>0</v>
      </c>
      <c r="BN14" s="13">
        <f>IF($D14="是",AF14-AG14,0)</f>
        <v>0</v>
      </c>
      <c r="BO14" s="13">
        <f>IF($D14="是",AH14-AI14,0)</f>
        <v>0</v>
      </c>
      <c r="BP14" s="13">
        <f>IF($D14="是",AJ14-AK14,0)</f>
        <v>0</v>
      </c>
      <c r="BQ14" s="13">
        <f>IF($D14="是",AL14-AM14,0)</f>
        <v>287.12</v>
      </c>
      <c r="BR14" s="13">
        <f>IF($D14="是",AN14-AO14,0)</f>
        <v>0</v>
      </c>
      <c r="BS14" s="13">
        <f>IF($D14="是",AP14-AQ14,0)</f>
        <v>0</v>
      </c>
      <c r="BT14" s="19">
        <f>IF($D14="是",AR14-AS14,0)</f>
        <v>0</v>
      </c>
    </row>
    <row r="15" spans="1:72" s="1468" customFormat="1" ht="13.2">
      <c r="A15" s="628"/>
      <c r="B15" s="628">
        <v>13729.72</v>
      </c>
      <c r="C15" s="3161">
        <v>3</v>
      </c>
      <c r="D15" s="1513" t="s">
        <v>3415</v>
      </c>
      <c r="E15" s="13">
        <f>IF($C$3="是",ROUND($A$3*G15/$B$3,2),ROUND($A$3*(G15-AT15)/$B$3,2))</f>
        <v>2888.26</v>
      </c>
      <c r="F15" s="29"/>
      <c r="G15" s="30">
        <f>H15+AC15+AT15</f>
        <v>13729.72</v>
      </c>
      <c r="H15" s="17">
        <f>SUMIF(I$12:AB$12,"总值",I15:AB15)</f>
        <v>13729.72</v>
      </c>
      <c r="I15" s="1514"/>
      <c r="J15" s="1514"/>
      <c r="K15" s="1514">
        <f>B15</f>
        <v>13729.72</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13729.72</v>
      </c>
      <c r="AX15" s="8">
        <f t="shared" si="6"/>
        <v>3</v>
      </c>
      <c r="AY15" s="1260">
        <f>ROUND($AY$6*AZ15/$AZ$5,2)</f>
        <v>2888.26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I20"/>
  <sheetViews>
    <sheetView workbookViewId="0">
      <selection activeCell="E20" sqref="E20"/>
    </sheetView>
  </sheetViews>
  <sheetFormatPr defaultColWidth="8.88671875" defaultRowHeight="13.8"/>
  <cols>
    <col min="1" max="2" width="8.88671875" style="642"/>
    <col min="3" max="3" width="16.33203125" style="642" customWidth="1"/>
    <col min="4" max="4" width="12" style="642" customWidth="1"/>
    <col min="5" max="6" width="8.88671875" style="642"/>
    <col min="7" max="7" width="12.44140625" style="642" customWidth="1"/>
    <col min="8" max="16384" width="8.88671875" style="642"/>
  </cols>
  <sheetData>
    <row r="1" spans="2:9" ht="14.4">
      <c r="C1" s="3168" t="s">
        <v>3441</v>
      </c>
      <c r="D1" s="642">
        <f>(I4+I5)/'数据-基础表'!A3</f>
        <v>3.4264409823954716</v>
      </c>
    </row>
    <row r="2" spans="2:9" ht="15.6">
      <c r="B2" s="3094" t="s">
        <v>3429</v>
      </c>
      <c r="C2" s="3094"/>
      <c r="D2" s="3094"/>
      <c r="E2" s="3094"/>
      <c r="F2" s="3094"/>
      <c r="G2" s="3094"/>
      <c r="H2" s="3094"/>
      <c r="I2" s="3094"/>
    </row>
    <row r="3" spans="2:9" ht="46.8">
      <c r="B3" s="3166"/>
      <c r="C3" s="3166" t="s">
        <v>3430</v>
      </c>
      <c r="D3" s="3199" t="s">
        <v>3547</v>
      </c>
      <c r="E3" s="3166" t="s">
        <v>3431</v>
      </c>
      <c r="F3" s="3166" t="s">
        <v>3432</v>
      </c>
      <c r="G3" s="3166" t="s">
        <v>3433</v>
      </c>
      <c r="H3" s="3166" t="s">
        <v>3434</v>
      </c>
      <c r="I3" s="3166" t="s">
        <v>3435</v>
      </c>
    </row>
    <row r="4" spans="2:9" ht="15.6">
      <c r="B4" s="3166" t="s">
        <v>3436</v>
      </c>
      <c r="C4" s="3166">
        <v>17533</v>
      </c>
      <c r="D4" s="3166"/>
      <c r="E4" s="3166"/>
      <c r="F4" s="3166">
        <v>250</v>
      </c>
      <c r="G4" s="3166"/>
      <c r="H4" s="3166">
        <v>46</v>
      </c>
      <c r="I4" s="3166">
        <f>SUM(C4:H4)</f>
        <v>17829</v>
      </c>
    </row>
    <row r="5" spans="2:9" ht="15.6">
      <c r="B5" s="3166" t="s">
        <v>3437</v>
      </c>
      <c r="C5" s="3166">
        <v>18951</v>
      </c>
      <c r="D5" s="3166"/>
      <c r="E5" s="3166"/>
      <c r="F5" s="3166"/>
      <c r="G5" s="3166"/>
      <c r="H5" s="3166"/>
      <c r="I5" s="3166">
        <f>SUM(C5:H5)</f>
        <v>18951</v>
      </c>
    </row>
    <row r="6" spans="2:9" ht="15.6">
      <c r="B6" s="3166" t="s">
        <v>3438</v>
      </c>
      <c r="C6" s="3166"/>
      <c r="D6" s="3166">
        <f>2270+1050</f>
        <v>3320</v>
      </c>
      <c r="E6" s="3166">
        <v>7905</v>
      </c>
      <c r="F6" s="3166">
        <f>276+10</f>
        <v>286</v>
      </c>
      <c r="G6" s="3166">
        <v>3240</v>
      </c>
      <c r="H6" s="3166">
        <f>3719+300</f>
        <v>4019</v>
      </c>
      <c r="I6" s="3166">
        <f>SUM(C6:H6)</f>
        <v>18770</v>
      </c>
    </row>
    <row r="7" spans="2:9">
      <c r="B7" s="3166"/>
      <c r="C7" s="3166"/>
      <c r="D7" s="3166"/>
      <c r="E7" s="3166"/>
      <c r="F7" s="3166"/>
      <c r="G7" s="3166"/>
      <c r="H7" s="3166"/>
      <c r="I7" s="3166">
        <f>G6+E6+D6</f>
        <v>14465</v>
      </c>
    </row>
    <row r="8" spans="2:9">
      <c r="B8" s="2438"/>
      <c r="C8" s="2437"/>
      <c r="D8" s="2437"/>
      <c r="E8" s="2437"/>
      <c r="F8" s="2437"/>
      <c r="G8" s="2447"/>
      <c r="H8" s="2447"/>
      <c r="I8" s="2446"/>
    </row>
    <row r="9" spans="2:9">
      <c r="B9" s="2438"/>
      <c r="C9" s="2437"/>
      <c r="D9" s="3167">
        <f>D6/$I$6*$I$9</f>
        <v>2428.4853702717101</v>
      </c>
      <c r="E9" s="3167">
        <f t="shared" ref="E9:G9" si="0">E6/$I$6*$I$9</f>
        <v>5782.2821843367074</v>
      </c>
      <c r="F9" s="3167">
        <f t="shared" si="0"/>
        <v>209.20084816196055</v>
      </c>
      <c r="G9" s="3167">
        <f t="shared" si="0"/>
        <v>2369.9676505061266</v>
      </c>
      <c r="H9" s="2447"/>
      <c r="I9" s="2446">
        <f>'数据-基础表'!K15</f>
        <v>13729.72</v>
      </c>
    </row>
    <row r="12" spans="2:9" ht="14.4">
      <c r="C12" s="3168" t="s">
        <v>3439</v>
      </c>
    </row>
    <row r="13" spans="2:9">
      <c r="C13" s="642" t="str">
        <f>D3</f>
        <v>地下展厅、餐厅厨房员工活动</v>
      </c>
      <c r="D13" s="3169">
        <f>D9</f>
        <v>2428.4853702717101</v>
      </c>
      <c r="G13" s="3169">
        <v>2</v>
      </c>
    </row>
    <row r="14" spans="2:9">
      <c r="C14" s="642" t="str">
        <f>E3</f>
        <v>汽车库</v>
      </c>
      <c r="D14" s="642">
        <f>E6</f>
        <v>7905</v>
      </c>
      <c r="E14" s="642">
        <v>258</v>
      </c>
      <c r="F14" s="642">
        <v>600</v>
      </c>
      <c r="G14" s="3169">
        <f>F14*E14/30/D14</f>
        <v>0.65275142314990509</v>
      </c>
    </row>
    <row r="15" spans="2:9">
      <c r="G15" s="3169">
        <f>(D13*G13+D14*G14)/I6</f>
        <v>0.53366919235713484</v>
      </c>
    </row>
    <row r="18" spans="3:5" ht="14.4">
      <c r="C18" s="3168" t="s">
        <v>3476</v>
      </c>
      <c r="D18" s="642">
        <f>'数据-基础表'!I5</f>
        <v>37009.42</v>
      </c>
      <c r="E18" s="3169">
        <v>4</v>
      </c>
    </row>
    <row r="19" spans="3:5" ht="14.4">
      <c r="C19" s="3168" t="s">
        <v>3439</v>
      </c>
      <c r="D19" s="642">
        <f>'数据-基础表'!K5</f>
        <v>13729.72</v>
      </c>
      <c r="E19" s="3169">
        <f>G15</f>
        <v>0.53366919235713484</v>
      </c>
    </row>
    <row r="20" spans="3:5">
      <c r="D20" s="642">
        <f>SUM(D18:D19)</f>
        <v>50739.14</v>
      </c>
      <c r="E20" s="3170">
        <f>(D18*E18+D19*E19)/D20</f>
        <v>3.0620307830146429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0" t="s">
        <v>1131</v>
      </c>
      <c r="B2" s="3280"/>
      <c r="C2" s="3280"/>
      <c r="D2" s="748" t="s">
        <v>1107</v>
      </c>
      <c r="E2" s="1523" t="s">
        <v>1108</v>
      </c>
      <c r="F2" s="2437"/>
      <c r="G2" s="2430"/>
      <c r="H2" s="2431"/>
      <c r="I2" s="2146" t="s">
        <v>1132</v>
      </c>
      <c r="J2" s="2437"/>
      <c r="K2" s="2437"/>
      <c r="L2" s="2437"/>
      <c r="M2" s="2437"/>
      <c r="N2" s="2438"/>
      <c r="O2" s="2437"/>
      <c r="P2" s="2437"/>
    </row>
    <row r="3" spans="1:16" ht="15" thickBot="1">
      <c r="A3" s="3281" t="s">
        <v>1105</v>
      </c>
      <c r="B3" s="3281"/>
      <c r="C3" s="3281"/>
      <c r="D3" s="41">
        <f>'数据-基础表'!AY6</f>
        <v>10734.17</v>
      </c>
      <c r="E3" s="41">
        <f>'数据-基础表'!AZ5</f>
        <v>51026.259999999995</v>
      </c>
      <c r="F3" s="2437"/>
      <c r="G3" s="42"/>
      <c r="H3" s="43" t="s">
        <v>1106</v>
      </c>
      <c r="I3" s="802">
        <f>ROUND('数据-基础表'!B3/'数据-基础表'!A3,2)</f>
        <v>4.75</v>
      </c>
      <c r="J3" s="2437"/>
      <c r="K3" s="2437"/>
      <c r="L3" s="2437"/>
      <c r="M3" s="2437"/>
      <c r="N3" s="2438"/>
      <c r="O3" s="2437"/>
      <c r="P3" s="2437"/>
    </row>
    <row r="4" spans="1:16" ht="14.4">
      <c r="A4" s="3282"/>
      <c r="B4" s="3283"/>
      <c r="C4" s="3284"/>
      <c r="D4" s="1524" t="s">
        <v>1107</v>
      </c>
      <c r="E4" s="1525" t="s">
        <v>1108</v>
      </c>
      <c r="F4" s="2437"/>
      <c r="G4" s="2432" t="s">
        <v>1133</v>
      </c>
      <c r="H4" s="43" t="s">
        <v>1113</v>
      </c>
      <c r="I4" s="802">
        <f>ROUND(SUMIF('数据-基础表'!I9:AS9,"地上",'数据-基础表'!I5:AS5)/'数据-基础表'!A3,2)</f>
        <v>3.47</v>
      </c>
      <c r="J4" s="2437"/>
      <c r="K4" s="2437"/>
      <c r="L4" s="2437"/>
      <c r="M4" s="2437"/>
      <c r="N4" s="2438"/>
      <c r="O4" s="2437"/>
      <c r="P4" s="2437"/>
    </row>
    <row r="5" spans="1:16" ht="14.4">
      <c r="A5" s="42" t="s">
        <v>1109</v>
      </c>
      <c r="B5" s="3285" t="s">
        <v>1110</v>
      </c>
      <c r="C5" s="3285"/>
      <c r="D5" s="43">
        <f>ROUND($D$3*E5/$E$3,2)</f>
        <v>0</v>
      </c>
      <c r="E5" s="44">
        <f>SUMIF('数据-基础表'!$11:$11,"住宅",'数据-基础表'!$5:$5)</f>
        <v>0</v>
      </c>
      <c r="F5" s="2437"/>
      <c r="G5" s="42"/>
      <c r="H5" s="43" t="s">
        <v>1106</v>
      </c>
      <c r="I5" s="802">
        <f>ROUND(E31/D31,2)</f>
        <v>4.75</v>
      </c>
      <c r="J5" s="2437"/>
      <c r="K5" s="2437"/>
      <c r="L5" s="2437"/>
      <c r="M5" s="2437"/>
      <c r="N5" s="2437"/>
      <c r="O5" s="2437"/>
      <c r="P5" s="2437"/>
    </row>
    <row r="6" spans="1:16" ht="15" thickBot="1">
      <c r="A6" s="1527"/>
      <c r="B6" s="3285" t="s">
        <v>1111</v>
      </c>
      <c r="C6" s="3285"/>
      <c r="D6" s="43">
        <f>ROUND($D$3*E6/$E$3,2)</f>
        <v>10734.17</v>
      </c>
      <c r="E6" s="44">
        <f>E3-E5</f>
        <v>51026.259999999995</v>
      </c>
      <c r="F6" s="2437"/>
      <c r="G6" s="1529" t="s">
        <v>1112</v>
      </c>
      <c r="H6" s="45" t="s">
        <v>1113</v>
      </c>
      <c r="I6" s="2433">
        <f>ROUND(F31/D31,2)</f>
        <v>3.47</v>
      </c>
      <c r="J6" s="2437"/>
      <c r="K6" s="2437"/>
      <c r="L6" s="2437"/>
      <c r="M6" s="2437"/>
      <c r="N6" s="2437"/>
      <c r="O6" s="2437"/>
      <c r="P6" s="2437"/>
    </row>
    <row r="7" spans="1:16" ht="15" thickBot="1">
      <c r="A7" s="3277"/>
      <c r="B7" s="3278"/>
      <c r="C7" s="3279"/>
      <c r="D7" s="1524" t="s">
        <v>1107</v>
      </c>
      <c r="E7" s="1528" t="s">
        <v>1114</v>
      </c>
      <c r="F7" s="2437"/>
      <c r="G7" s="2434" t="s">
        <v>1115</v>
      </c>
      <c r="H7" s="95"/>
      <c r="I7" s="2435">
        <v>3.66</v>
      </c>
      <c r="J7" s="2437"/>
      <c r="K7" s="2437"/>
      <c r="L7" s="2437"/>
      <c r="M7" s="2437"/>
      <c r="N7" s="2437"/>
      <c r="O7" s="2437"/>
      <c r="P7" s="2437"/>
    </row>
    <row r="8" spans="1:16" ht="14.4">
      <c r="A8" s="42" t="s">
        <v>1116</v>
      </c>
      <c r="B8" s="45" t="s">
        <v>1117</v>
      </c>
      <c r="C8" s="43" t="s">
        <v>1118</v>
      </c>
      <c r="D8" s="43">
        <f t="shared" ref="D8:D15" si="0">ROUND($D$3*E8/$E$3,2)</f>
        <v>7785.51</v>
      </c>
      <c r="E8" s="46">
        <f>SUMIF('数据-基础表'!BB10:BK10,"地上",'数据-基础表'!BB5:BK5)</f>
        <v>37009.42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7785.51</v>
      </c>
      <c r="E16" s="48">
        <f>SUM(E8:E15)</f>
        <v>37009.42</v>
      </c>
      <c r="F16" s="2437"/>
      <c r="G16" s="2437"/>
      <c r="H16" s="1531" t="s">
        <v>1135</v>
      </c>
      <c r="I16" s="1532"/>
      <c r="J16" s="1071"/>
      <c r="K16" s="3274" t="s">
        <v>1135</v>
      </c>
      <c r="L16" s="3275"/>
      <c r="M16" s="3275"/>
      <c r="N16" s="3275"/>
      <c r="O16" s="3275"/>
      <c r="P16" s="3276"/>
    </row>
    <row r="17" spans="1:19" ht="14.4">
      <c r="A17" s="1533" t="s">
        <v>1136</v>
      </c>
      <c r="B17" s="1534" t="s">
        <v>1137</v>
      </c>
      <c r="C17" s="1535" t="s">
        <v>1138</v>
      </c>
      <c r="D17" s="1536" t="s">
        <v>1126</v>
      </c>
      <c r="E17" s="1537" t="s">
        <v>1127</v>
      </c>
      <c r="F17" s="1538"/>
      <c r="G17" s="1539"/>
      <c r="H17" s="1540" t="s">
        <v>1139</v>
      </c>
      <c r="I17" s="1541" t="s">
        <v>1124</v>
      </c>
      <c r="J17" s="1071"/>
      <c r="K17" s="3271" t="s">
        <v>1140</v>
      </c>
      <c r="L17" s="3272"/>
      <c r="M17" s="3273"/>
      <c r="N17" s="3271" t="s">
        <v>1141</v>
      </c>
      <c r="O17" s="3272"/>
      <c r="P17" s="327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3535</v>
      </c>
      <c r="D19" s="43">
        <f>ROUND($D$3*E19/$E$3,2)</f>
        <v>10673.77</v>
      </c>
      <c r="E19" s="51">
        <f t="shared" ref="E19:E26" si="1">SUM(F19:G19)</f>
        <v>50739.14</v>
      </c>
      <c r="F19" s="2555">
        <f>'数据-基础表'!I5</f>
        <v>37009.42</v>
      </c>
      <c r="G19" s="1243">
        <f>'数据-基础表'!K5</f>
        <v>13729.72</v>
      </c>
      <c r="H19" s="637">
        <f>ROUND($D$3*I19/$E$3,2)</f>
        <v>60.4</v>
      </c>
      <c r="I19" s="46">
        <f t="shared" ref="I19:I26" si="2">IF($I$17="自定义",P19,M19)</f>
        <v>287.12</v>
      </c>
      <c r="J19" s="1071"/>
      <c r="K19" s="637">
        <f t="shared" ref="K19:K26" si="3">ROUND(E$28*E19/E$27,2)</f>
        <v>287.12</v>
      </c>
      <c r="L19" s="43">
        <f t="shared" ref="L19:L26" si="4">ROUND(IF(COUNTIF(C19,"*住宅*")&gt;0,E$29*E19/E$32,0),2)</f>
        <v>0</v>
      </c>
      <c r="M19" s="46">
        <f>K19+L19</f>
        <v>287.12</v>
      </c>
      <c r="N19" s="1550"/>
      <c r="O19" s="1551"/>
      <c r="P19" s="46">
        <f>N19+O19</f>
        <v>0</v>
      </c>
      <c r="R19" s="43">
        <f t="shared" ref="R19:S26" si="5">D19+H19</f>
        <v>10734.17</v>
      </c>
      <c r="S19" s="51">
        <f t="shared" si="5"/>
        <v>51026.26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10673.77</v>
      </c>
      <c r="E27" s="1073">
        <f>IF(SUM(E19:E26)='数据-基础表'!BA5,SUM(E19:E26),IF(F27="地上面积有误","面积有误","地下面积有误"))</f>
        <v>50739.14</v>
      </c>
      <c r="F27" s="1072">
        <f>IF(SUM(F19:F26)=E8,SUM(F19:F26),"地上面积有误")</f>
        <v>37009.42</v>
      </c>
      <c r="G27" s="1074">
        <f>SUM(G19:G26)</f>
        <v>13729.72</v>
      </c>
      <c r="H27" s="1075">
        <f>SUM(H19:H26)</f>
        <v>60.4</v>
      </c>
      <c r="I27" s="1076">
        <f>SUM(I19:I26)</f>
        <v>287.12</v>
      </c>
      <c r="J27" s="1071"/>
      <c r="K27" s="1077">
        <f>SUM(K19:K26)</f>
        <v>287.12</v>
      </c>
      <c r="L27" s="785">
        <f>SUM(L19:L26)</f>
        <v>0</v>
      </c>
      <c r="M27" s="1078">
        <f>SUM(M19:M26)</f>
        <v>287.12</v>
      </c>
      <c r="N27" s="1077">
        <f t="shared" ref="N27:O27" si="10">SUM(N19:N26)</f>
        <v>0</v>
      </c>
      <c r="O27" s="785">
        <f t="shared" si="10"/>
        <v>0</v>
      </c>
      <c r="P27" s="94">
        <f>SUM(P19:P26)</f>
        <v>0</v>
      </c>
      <c r="R27" s="968">
        <f>IF(SUM(R19:R26)=$D$3,SUM(R19:R26),SUM(R19:R26)&amp;"误差"&amp;ROUND(SUM(R19:R26)-$D$3,2))</f>
        <v>10734.17</v>
      </c>
      <c r="S27" s="43">
        <f>IF(SUM(S19:S26)=$E$3,SUM(S19:S26),SUM(S19:S26)&amp;"误差"&amp;ROUND(SUM(S19:S26)-E3,2))</f>
        <v>51026.26</v>
      </c>
    </row>
    <row r="28" spans="1:19" ht="14.4">
      <c r="A28" s="1549"/>
      <c r="B28" s="45" t="s">
        <v>1155</v>
      </c>
      <c r="C28" s="54" t="s">
        <v>1156</v>
      </c>
      <c r="D28" s="43">
        <f>ROUND($D$3*E28/$E$3,2)</f>
        <v>60.4</v>
      </c>
      <c r="E28" s="51">
        <f>SUM(F28:G28)</f>
        <v>287.12</v>
      </c>
      <c r="F28" s="54">
        <f>'数据-基础表'!BQ5+'数据-基础表'!BS5</f>
        <v>287.12</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60.4</v>
      </c>
      <c r="E30" s="1072">
        <f>SUM(E28:E29)</f>
        <v>287.12</v>
      </c>
      <c r="F30" s="1072">
        <f>SUM(F28:F29)</f>
        <v>287.12</v>
      </c>
      <c r="G30" s="1074">
        <f>SUM(G28:G29)</f>
        <v>0</v>
      </c>
      <c r="H30" s="2437"/>
      <c r="I30" s="2437"/>
      <c r="J30" s="2437"/>
      <c r="K30" s="2437"/>
      <c r="L30" s="2437"/>
      <c r="M30" s="2437"/>
      <c r="N30" s="2437"/>
      <c r="O30" s="2437"/>
      <c r="P30" s="2437"/>
    </row>
    <row r="31" spans="1:19" ht="15" thickBot="1">
      <c r="A31" s="1557"/>
      <c r="B31" s="96"/>
      <c r="C31" s="785" t="s">
        <v>1158</v>
      </c>
      <c r="D31" s="643">
        <f>D27+D30</f>
        <v>10734.17</v>
      </c>
      <c r="E31" s="643">
        <f>E27+E30</f>
        <v>51026.26</v>
      </c>
      <c r="F31" s="644">
        <f>F27+F30</f>
        <v>37296.54</v>
      </c>
      <c r="G31" s="645">
        <f>G27+G30</f>
        <v>13729.72</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74">
        <f>G27/E27</f>
        <v>0.27059425918531532</v>
      </c>
    </row>
    <row r="38" spans="4:7">
      <c r="E38" s="3196">
        <f ca="1">结果表!G19-'数据-汇总表'!E39</f>
        <v>82090.168000000005</v>
      </c>
      <c r="F38" s="3197">
        <f>F31</f>
        <v>37296.54</v>
      </c>
      <c r="G38" s="3198">
        <f ca="1">E38/F38*10000</f>
        <v>22010.129625965306</v>
      </c>
    </row>
    <row r="39" spans="4:7">
      <c r="E39" s="3196">
        <f>F39*G39/10000</f>
        <v>8237.8320000000003</v>
      </c>
      <c r="F39" s="1522">
        <f>'数据-汇总表'!G19</f>
        <v>13729.72</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F19" sqref="AF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研发用房</v>
      </c>
      <c r="B6" s="1587" t="str">
        <f>IF(A6=0,"","经营性")</f>
        <v>经营性</v>
      </c>
      <c r="C6" s="1588" t="s">
        <v>3403</v>
      </c>
      <c r="D6" s="805">
        <f>SUMIF(项目基本情况!C$12:I$12,C6,项目基本情况!C$14:I$14)</f>
        <v>50</v>
      </c>
      <c r="E6" s="804">
        <f>IF(B6="","",SUMIF(项目基本情况!C$12:I$12,C6,项目基本情况!C$13:I$13))</f>
        <v>58062</v>
      </c>
      <c r="F6" s="61">
        <f>SUMIF(项目基本情况!C$12:I$12,C6,项目基本情况!C$15:I$15)</f>
        <v>33.590000000000003</v>
      </c>
      <c r="G6" s="62">
        <f>IF(ISERROR(ROUND(POWER(1+H6,D6-F6)*(POWER(1+H6,F6)-1)/(POWER(1+H6,D6)-1),3)),0,ROUND(POWER(1+H6,D6-F6)*(POWER(1+H6,F6)-1)/(POWER(1+H6,D6)-1),3))</f>
        <v>0.88300000000000001</v>
      </c>
      <c r="H6" s="691">
        <v>0.05</v>
      </c>
      <c r="I6" s="691">
        <v>5.5E-2</v>
      </c>
      <c r="J6" s="63">
        <v>7.0000000000000007E-2</v>
      </c>
      <c r="K6" s="970">
        <f>SUMIF('数据-汇总表'!C$19:C$33,A6,'数据-汇总表'!E$19:E$33)</f>
        <v>50739.14</v>
      </c>
      <c r="L6" s="692">
        <v>5000</v>
      </c>
      <c r="M6" s="64">
        <f t="shared" ref="M6:M14" si="0">ROUND(K6*L6/10000,0)</f>
        <v>25370</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287.12</v>
      </c>
      <c r="T6" s="1092">
        <f>ROUND($L$14*S6/10000,0)</f>
        <v>144</v>
      </c>
      <c r="U6" s="3190">
        <v>3</v>
      </c>
      <c r="V6" s="67">
        <v>0.02</v>
      </c>
      <c r="W6" s="67">
        <v>0.1</v>
      </c>
      <c r="X6" s="979"/>
      <c r="Y6" s="68">
        <f>N6</f>
        <v>0.98</v>
      </c>
      <c r="Z6" s="69"/>
      <c r="AA6" s="63"/>
      <c r="AB6" s="63"/>
      <c r="AC6" s="979"/>
      <c r="AD6" s="70"/>
      <c r="AE6" s="980">
        <f ca="1">IF(AN6="",0,SUMIF(INDIRECT("'"&amp;AN6&amp;"'"&amp;"!E:E"),$AE$5,INDIRECT("'"&amp;AN6&amp;"'"&amp;"!F:F")))</f>
        <v>33.590000000000003</v>
      </c>
      <c r="AF6" s="74"/>
      <c r="AG6" s="130">
        <f>IF(AF6="",0,AE6-AF6)</f>
        <v>0</v>
      </c>
      <c r="AH6" s="71"/>
      <c r="AI6" s="73">
        <v>365</v>
      </c>
      <c r="AJ6" s="74"/>
      <c r="AK6" s="75">
        <v>4.0000000000000001E-3</v>
      </c>
      <c r="AL6" s="76">
        <v>1E-3</v>
      </c>
      <c r="AM6" s="77">
        <v>0.01</v>
      </c>
      <c r="AN6" s="1589" t="s">
        <v>3423</v>
      </c>
      <c r="AO6" s="50">
        <f ca="1">SUMIF(INDIRECT("'"&amp;AN6&amp;"'"&amp;"!A:A"),"总价",INDIRECT("'"&amp;AN6&amp;"'"&amp;"!B:B"))</f>
        <v>77506</v>
      </c>
      <c r="AP6" s="1590">
        <f>IF(C6="住宅",K6*L6,0)</f>
        <v>0</v>
      </c>
      <c r="AQ6" s="50">
        <f>ROUND($L$14*$N$14*S6/10000,0)</f>
        <v>141</v>
      </c>
      <c r="AR6" s="50">
        <f>ROUND($L$14*(1-$N$14)*S6/10000,0)</f>
        <v>3</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
        <v>3403</v>
      </c>
      <c r="D7" s="805">
        <f>SUMIF(项目基本情况!C$12:I$12,C7,项目基本情况!C$14:I$14)</f>
        <v>50</v>
      </c>
      <c r="E7" s="804" t="str">
        <f>IF(B7="","",SUMIF(项目基本情况!C$12:I$12,C7,项目基本情况!C$13:I$13))</f>
        <v/>
      </c>
      <c r="F7" s="61">
        <f>SUMIF(项目基本情况!C$12:I$12,C7,项目基本情况!C$15:I$15)</f>
        <v>33.590000000000003</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287.12</v>
      </c>
      <c r="L14" s="692">
        <f>L6</f>
        <v>5000</v>
      </c>
      <c r="M14" s="64">
        <f t="shared" si="0"/>
        <v>144</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0.88300000000000001</v>
      </c>
      <c r="H16" s="84">
        <f>ROUND(SUMPRODUCT(H6:H13,K6:K13)/SUMPRODUCT((H6:H13&gt;0)*(K6:K13)),3)</f>
        <v>0.05</v>
      </c>
      <c r="I16" s="85"/>
      <c r="J16" s="85"/>
      <c r="K16" s="86">
        <f>SUM(K6:K15)</f>
        <v>51026.26</v>
      </c>
      <c r="L16" s="87">
        <f>ROUND(M16*10000/SUM(K6:K14),0)</f>
        <v>5000</v>
      </c>
      <c r="M16" s="87">
        <f>SUM(M6:M14)</f>
        <v>25514</v>
      </c>
      <c r="N16" s="88">
        <f>ROUND(SUMPRODUCT(M6:M14,N6:N14)/M16,3)</f>
        <v>0.98</v>
      </c>
      <c r="O16" s="87">
        <f>SUM(O6:O14)</f>
        <v>0</v>
      </c>
      <c r="P16" s="87">
        <f>SUM(P6:P14)</f>
        <v>0</v>
      </c>
      <c r="Q16" s="89">
        <f>ROUND(SUMPRODUCT(Q6:Q13,K6:K13)/SUMPRODUCT((Q6:Q13&gt;0)*(K6:K13)),2)</f>
        <v>0.15</v>
      </c>
      <c r="R16" s="974">
        <f ca="1">SUM(R6:R13)</f>
        <v>10734.17</v>
      </c>
      <c r="S16" s="90">
        <f>SUM(S6:S13)</f>
        <v>287.12</v>
      </c>
      <c r="T16" s="91">
        <f>IF(SUMIF(T6:T13,"&lt;9E307")=M14,SUMIF(T6:T13,"&lt;9E307"),"有误，请检查")</f>
        <v>144</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3420</v>
      </c>
      <c r="N18" s="2446">
        <v>2024</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62" t="s">
        <v>3421</v>
      </c>
      <c r="N19" s="2446">
        <f>ROUND(1-(1-0)*(2025-N18)/60,2)</f>
        <v>0.98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2296</v>
      </c>
      <c r="D20" s="2449"/>
      <c r="E20" s="2437"/>
      <c r="F20" s="2437"/>
      <c r="G20" s="2437"/>
      <c r="H20" s="2437"/>
      <c r="I20" s="2437"/>
      <c r="J20" s="2437"/>
      <c r="K20" s="2447"/>
      <c r="L20" s="2447"/>
      <c r="M20" s="3162" t="s">
        <v>3422</v>
      </c>
      <c r="N20" s="2446">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2" t="s">
        <v>458</v>
      </c>
      <c r="N21" s="2446">
        <f>ROUND(N20*0.7+N19*0.3,2)</f>
        <v>0.96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1021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6" t="s">
        <v>2282</v>
      </c>
      <c r="B1" s="3287"/>
      <c r="C1" s="3287"/>
      <c r="D1" s="3287"/>
      <c r="E1" s="3287"/>
      <c r="F1" s="3287"/>
      <c r="G1" s="328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36">
      <c r="A5" s="2247"/>
      <c r="B5" s="315" t="s">
        <v>2257</v>
      </c>
      <c r="C5" s="3163" t="s">
        <v>3424</v>
      </c>
      <c r="D5" s="2265"/>
      <c r="E5" s="2269"/>
      <c r="F5" s="315" t="s">
        <v>2258</v>
      </c>
      <c r="G5" s="2270" t="s">
        <v>2259</v>
      </c>
      <c r="H5" s="751"/>
      <c r="I5" s="751"/>
      <c r="J5" s="751"/>
      <c r="K5" s="751"/>
      <c r="L5" s="751"/>
      <c r="M5" s="751"/>
      <c r="N5" s="751"/>
      <c r="O5" s="751"/>
      <c r="P5" s="751"/>
      <c r="Q5" s="751"/>
    </row>
    <row r="6" spans="1:29" ht="60">
      <c r="A6" s="2247"/>
      <c r="B6" s="315" t="s">
        <v>2260</v>
      </c>
      <c r="C6" s="3164" t="s">
        <v>3425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3" t="s">
        <v>3426</v>
      </c>
      <c r="D9" s="2265"/>
      <c r="E9" s="2244"/>
      <c r="F9" s="121"/>
      <c r="G9" s="121"/>
      <c r="H9" s="751"/>
      <c r="I9" s="751"/>
      <c r="J9" s="751"/>
      <c r="K9" s="751"/>
      <c r="L9" s="751"/>
      <c r="M9" s="751"/>
      <c r="N9" s="751"/>
      <c r="O9" s="751"/>
      <c r="P9" s="751"/>
      <c r="Q9" s="751"/>
    </row>
    <row r="10" spans="1:29" ht="14.4" thickBot="1">
      <c r="A10" s="2248"/>
      <c r="B10" s="2274" t="s">
        <v>2266</v>
      </c>
      <c r="C10" s="3165" t="s">
        <v>3427</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39.6">
      <c r="A17" s="2251"/>
      <c r="B17" s="2289" t="s">
        <v>2257</v>
      </c>
      <c r="C17" s="2290" t="str">
        <f>C5</f>
        <v>北京中材人工晶体研究院、鼎石元素数字文化产业园，一般</v>
      </c>
      <c r="D17" s="2244"/>
      <c r="E17" s="2252"/>
      <c r="F17" s="2291" t="s">
        <v>2272</v>
      </c>
      <c r="G17" s="2293"/>
    </row>
    <row r="18" spans="1:17" ht="66">
      <c r="A18" s="2251"/>
      <c r="B18" s="2291" t="s">
        <v>2260</v>
      </c>
      <c r="C18" s="2292" t="str">
        <f>C6</f>
        <v>估价对象周边道路状况、公共交通通达情况350、640、、659等、3号线东坝站 、停车便捷程度，综合评价交通便捷度较好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区域自然环境：东坝公园；人文环境：北京信息职业技术学院；综合评价环境状况一般</v>
      </c>
      <c r="D20" s="2244"/>
      <c r="E20" s="2252"/>
      <c r="F20" s="315" t="s">
        <v>2261</v>
      </c>
      <c r="G20" s="2292" t="str">
        <f>G6</f>
        <v>估价对象所在区域基础设施水平</v>
      </c>
    </row>
    <row r="21" spans="1:17" ht="26.4">
      <c r="A21" s="2251"/>
      <c r="B21" s="315" t="s">
        <v>2258</v>
      </c>
      <c r="C21" s="2292" t="str">
        <f>C7</f>
        <v>估价对象所在区域公共配套设施齐备情况</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50739.14</v>
      </c>
      <c r="C1" s="2459"/>
      <c r="D1" s="2459"/>
      <c r="E1" s="2459"/>
      <c r="F1" s="2459"/>
      <c r="G1" s="2460"/>
      <c r="H1" s="2460"/>
      <c r="I1" s="2460"/>
      <c r="J1" s="2460"/>
      <c r="K1" s="2460"/>
    </row>
    <row r="2" spans="1:11" ht="16.2">
      <c r="A2" s="2298" t="s">
        <v>653</v>
      </c>
      <c r="B2" s="2298">
        <f>SUM(C14:C23)</f>
        <v>10673.77</v>
      </c>
      <c r="C2" s="2459"/>
      <c r="D2" s="2459"/>
      <c r="E2" s="2459"/>
      <c r="F2" s="2459"/>
      <c r="G2" s="2460"/>
      <c r="H2" s="2460"/>
      <c r="I2" s="2460"/>
      <c r="J2" s="2460"/>
      <c r="K2" s="2460"/>
    </row>
    <row r="3" spans="1:11" ht="15.6">
      <c r="A3" s="2298" t="s">
        <v>662</v>
      </c>
      <c r="B3" s="2300">
        <f>项目基本情况!D3</f>
        <v>45799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90328</v>
      </c>
      <c r="C5" s="2298">
        <f ca="1">IF(B5=D14,结果表!H102,ROUND(B5*10000/$B$1,0))</f>
        <v>17802</v>
      </c>
      <c r="D5" s="2298">
        <f ca="1">ROUND(B5*10000/$B$2,0)</f>
        <v>84626</v>
      </c>
      <c r="E5" s="2459"/>
      <c r="F5" s="2460"/>
      <c r="G5" s="2460"/>
      <c r="H5" s="2460"/>
      <c r="I5" s="2460"/>
      <c r="J5" s="2460"/>
      <c r="K5" s="2460"/>
    </row>
    <row r="6" spans="1:11" ht="15.6">
      <c r="A6" s="2298" t="s">
        <v>656</v>
      </c>
      <c r="B6" s="2298">
        <f ca="1">SUM(G14:G23)</f>
        <v>90328</v>
      </c>
      <c r="C6" s="2298">
        <f ca="1">IF(B6=G14,结果表!H108,ROUND(B6*10000/$B$1,0))</f>
        <v>17802</v>
      </c>
      <c r="D6" s="2298">
        <f ca="1">ROUND(B6*10000/$B$2,0)</f>
        <v>84626</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f ca="1">IF(B8=I14,结果表!H112,ROUND(B8*10000/$B$1,0))</f>
        <v>6730</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50739.14</v>
      </c>
      <c r="C14" s="2304">
        <f>结果表!C118</f>
        <v>10673.77</v>
      </c>
      <c r="D14" s="2304">
        <f ca="1">结果表!H118</f>
        <v>90328</v>
      </c>
      <c r="E14" s="2304">
        <f ca="1">ROUND(D14*10000/B14,0)</f>
        <v>17802</v>
      </c>
      <c r="F14" s="2304">
        <f ca="1">ROUND(D14*10000/C14,0)</f>
        <v>84626</v>
      </c>
      <c r="G14" s="2304">
        <f ca="1">D14</f>
        <v>90328</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K24" sqref="K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3534</v>
      </c>
      <c r="D1" s="646"/>
      <c r="E1" s="646"/>
      <c r="F1" s="1621" t="s">
        <v>1263</v>
      </c>
      <c r="G1" s="1453" t="s">
        <v>3458</v>
      </c>
      <c r="H1" s="1621" t="str">
        <f>IF(G1="现房","——","估价对象范围")</f>
        <v>——</v>
      </c>
      <c r="I1" s="1622" t="s">
        <v>3537</v>
      </c>
    </row>
    <row r="2" spans="1:12" ht="21.75" customHeight="1" thickBot="1">
      <c r="A2" s="3355" t="str">
        <f>项目基本情况!S2</f>
        <v>北京市朝阳区朝运街40号院1-3号楼房地产</v>
      </c>
      <c r="B2" s="3356"/>
      <c r="C2" s="3356"/>
      <c r="D2" s="3356"/>
      <c r="E2" s="3356"/>
      <c r="F2" s="3356"/>
      <c r="G2" s="3356"/>
      <c r="H2" s="3356"/>
      <c r="I2" s="3357"/>
    </row>
    <row r="3" spans="1:12" ht="13.2">
      <c r="A3" s="3359" t="s">
        <v>1264</v>
      </c>
      <c r="B3" s="3360"/>
      <c r="C3" s="3360"/>
      <c r="D3" s="3360"/>
      <c r="E3" s="3360"/>
      <c r="F3" s="3360"/>
      <c r="G3" s="3360"/>
      <c r="H3" s="3360"/>
      <c r="I3" s="3360"/>
    </row>
    <row r="4" spans="1:12" ht="14.4">
      <c r="A4" s="1624" t="s">
        <v>1265</v>
      </c>
      <c r="B4" s="1625" t="s">
        <v>1266</v>
      </c>
      <c r="C4" s="1626" t="s">
        <v>3538</v>
      </c>
      <c r="D4" s="1626" t="s">
        <v>3423</v>
      </c>
      <c r="E4" s="3364" t="s">
        <v>1267</v>
      </c>
      <c r="F4" s="3365"/>
      <c r="G4" s="3365"/>
      <c r="H4" s="3365"/>
      <c r="I4" s="336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3" t="s">
        <v>1268</v>
      </c>
      <c r="B5" s="3358">
        <v>25</v>
      </c>
      <c r="C5" s="3361"/>
      <c r="D5" s="3349"/>
      <c r="E5" s="123" t="s">
        <v>1269</v>
      </c>
      <c r="F5" s="1627"/>
      <c r="G5" s="1627"/>
      <c r="H5" s="1627"/>
      <c r="I5" s="1281"/>
    </row>
    <row r="6" spans="1:12" ht="13.2">
      <c r="A6" s="3303"/>
      <c r="B6" s="3358"/>
      <c r="C6" s="3363"/>
      <c r="D6" s="3349"/>
      <c r="E6" s="123" t="s">
        <v>1270</v>
      </c>
      <c r="F6" s="1627"/>
      <c r="G6" s="1627"/>
      <c r="H6" s="1627"/>
      <c r="I6" s="1281"/>
    </row>
    <row r="7" spans="1:12" ht="13.2">
      <c r="A7" s="3303"/>
      <c r="B7" s="3358"/>
      <c r="C7" s="3362"/>
      <c r="D7" s="3349"/>
      <c r="E7" s="123" t="s">
        <v>1271</v>
      </c>
      <c r="F7" s="1627"/>
      <c r="G7" s="1627"/>
      <c r="H7" s="1627"/>
      <c r="I7" s="1281"/>
    </row>
    <row r="8" spans="1:12" ht="13.2">
      <c r="A8" s="3303" t="s">
        <v>1272</v>
      </c>
      <c r="B8" s="3358">
        <v>15</v>
      </c>
      <c r="C8" s="3361"/>
      <c r="D8" s="3349"/>
      <c r="E8" s="123" t="s">
        <v>1273</v>
      </c>
      <c r="F8" s="1627"/>
      <c r="G8" s="1627"/>
      <c r="H8" s="1627"/>
      <c r="I8" s="1281"/>
    </row>
    <row r="9" spans="1:12" ht="13.2">
      <c r="A9" s="3303"/>
      <c r="B9" s="3358"/>
      <c r="C9" s="3362"/>
      <c r="D9" s="3349"/>
      <c r="E9" s="123" t="s">
        <v>1274</v>
      </c>
      <c r="F9" s="1627"/>
      <c r="G9" s="1627"/>
      <c r="H9" s="1627"/>
      <c r="I9" s="1281"/>
    </row>
    <row r="10" spans="1:12" ht="13.2">
      <c r="A10" s="3303" t="s">
        <v>1275</v>
      </c>
      <c r="B10" s="3358">
        <v>15</v>
      </c>
      <c r="C10" s="3361"/>
      <c r="D10" s="3349"/>
      <c r="E10" s="123" t="s">
        <v>1276</v>
      </c>
      <c r="F10" s="1627"/>
      <c r="G10" s="1627"/>
      <c r="H10" s="1627"/>
      <c r="I10" s="1281"/>
    </row>
    <row r="11" spans="1:12" ht="13.2">
      <c r="A11" s="3303"/>
      <c r="B11" s="3358"/>
      <c r="C11" s="3362"/>
      <c r="D11" s="3349"/>
      <c r="E11" s="123" t="s">
        <v>1277</v>
      </c>
      <c r="F11" s="1627"/>
      <c r="G11" s="1627"/>
      <c r="H11" s="1627"/>
      <c r="I11" s="1281"/>
    </row>
    <row r="12" spans="1:12" ht="13.2">
      <c r="A12" s="3303" t="s">
        <v>1278</v>
      </c>
      <c r="B12" s="3358">
        <v>15</v>
      </c>
      <c r="C12" s="3361"/>
      <c r="D12" s="3349"/>
      <c r="E12" s="123" t="s">
        <v>1279</v>
      </c>
      <c r="F12" s="1627"/>
      <c r="G12" s="1627"/>
      <c r="H12" s="1627"/>
      <c r="I12" s="1281"/>
    </row>
    <row r="13" spans="1:12" ht="13.2">
      <c r="A13" s="3303"/>
      <c r="B13" s="3358"/>
      <c r="C13" s="3362"/>
      <c r="D13" s="3349"/>
      <c r="E13" s="123" t="s">
        <v>1280</v>
      </c>
      <c r="F13" s="1627"/>
      <c r="G13" s="1627"/>
      <c r="H13" s="1627"/>
      <c r="I13" s="1281"/>
    </row>
    <row r="14" spans="1:12" ht="13.2">
      <c r="A14" s="3303" t="s">
        <v>1281</v>
      </c>
      <c r="B14" s="3358">
        <v>30</v>
      </c>
      <c r="C14" s="3361">
        <v>4</v>
      </c>
      <c r="D14" s="3349">
        <v>6</v>
      </c>
      <c r="E14" s="123" t="s">
        <v>1282</v>
      </c>
      <c r="F14" s="1627"/>
      <c r="G14" s="1627"/>
      <c r="H14" s="1627"/>
      <c r="I14" s="1281"/>
    </row>
    <row r="15" spans="1:12" ht="13.2">
      <c r="A15" s="3303"/>
      <c r="B15" s="3358"/>
      <c r="C15" s="3363"/>
      <c r="D15" s="3349"/>
      <c r="E15" s="123" t="s">
        <v>1283</v>
      </c>
      <c r="F15" s="1627"/>
      <c r="G15" s="1627"/>
      <c r="H15" s="1627"/>
      <c r="I15" s="1281"/>
    </row>
    <row r="16" spans="1:12" ht="13.2">
      <c r="A16" s="3303"/>
      <c r="B16" s="3358"/>
      <c r="C16" s="3362"/>
      <c r="D16" s="3349"/>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80" t="s">
        <v>2131</v>
      </c>
      <c r="F18" s="3381"/>
      <c r="G18" s="3381"/>
      <c r="H18" s="3381"/>
      <c r="I18" s="3381"/>
      <c r="K18" s="294" t="s">
        <v>1289</v>
      </c>
      <c r="L18" s="294">
        <f>IF(C1="",'数据-汇总表'!E3,SUMIF(项目类型,C1,'数据-汇总表'!E17:E26)+SUMIF(项目类型,C1,'数据-汇总表'!I17:I26))</f>
        <v>51026.26</v>
      </c>
      <c r="M18" s="294">
        <f>IF(C1="",'数据-汇总表'!E3,SUMIF(项目类型,C1,'数据-汇总表'!E17:E26))</f>
        <v>50739.14</v>
      </c>
    </row>
    <row r="19" spans="1:36" ht="14.4">
      <c r="A19" s="1630" t="s">
        <v>1290</v>
      </c>
      <c r="B19" s="1631" t="s">
        <v>1291</v>
      </c>
      <c r="C19" s="126">
        <f ca="1">SUMIF(INDIRECT("'"&amp;C4&amp;"'"&amp;"!A:A"),结果表!B19,INDIRECT("'"&amp;C4&amp;"'"&amp;"!B:B"))</f>
        <v>109561</v>
      </c>
      <c r="D19" s="127">
        <f ca="1">SUMIF(INDIRECT("'"&amp;D4&amp;"'"&amp;"!A:A"),结果表!B19,INDIRECT("'"&amp;D4&amp;"'"&amp;"!B:B"))</f>
        <v>77506</v>
      </c>
      <c r="E19" s="1630" t="s">
        <v>1292</v>
      </c>
      <c r="F19" s="1631" t="s">
        <v>1291</v>
      </c>
      <c r="G19" s="128">
        <f ca="1">ROUND(C19*$C$18+D19*$D$18,0)</f>
        <v>90328</v>
      </c>
      <c r="H19" s="1632" t="s">
        <v>1293</v>
      </c>
      <c r="I19" s="121"/>
      <c r="K19" s="294" t="s">
        <v>1294</v>
      </c>
      <c r="L19" s="294">
        <f>IF(C1="",'数据-汇总表'!D3,SUMIF(项目类型,C1,'数据-汇总表'!D17:D26)+SUMIF(项目类型,C1,'数据-汇总表'!H17:H27))</f>
        <v>10734.17</v>
      </c>
      <c r="M19" s="294">
        <f>IF(C1="",'数据-汇总表'!D3,SUMIF(项目类型,C1,'数据-汇总表'!D17:D26))</f>
        <v>10673.77</v>
      </c>
    </row>
    <row r="20" spans="1:36" ht="14.4">
      <c r="A20" s="1633"/>
      <c r="B20" s="43" t="s">
        <v>1295</v>
      </c>
      <c r="C20" s="129">
        <f ca="1">SUMIF(INDIRECT("'"&amp;C4&amp;"'"&amp;"!A:A"),结果表!B20,INDIRECT("'"&amp;C4&amp;"'"&amp;"!B:B"))</f>
        <v>21593</v>
      </c>
      <c r="D20" s="130">
        <f ca="1">SUMIF(INDIRECT("'"&amp;D4&amp;"'"&amp;"!A:A"),结果表!B20,INDIRECT("'"&amp;D4&amp;"'"&amp;"!B:B"))</f>
        <v>15275</v>
      </c>
      <c r="E20" s="1633"/>
      <c r="F20" s="43" t="s">
        <v>1295</v>
      </c>
      <c r="G20" s="131">
        <f ca="1">ROUND(C20*$C$18+D20*$D$18,0)</f>
        <v>17802</v>
      </c>
      <c r="H20" s="760" t="s">
        <v>1296</v>
      </c>
      <c r="I20" s="121"/>
    </row>
    <row r="21" spans="1:36" ht="15" customHeight="1" thickBot="1">
      <c r="A21" s="449"/>
      <c r="B21" s="93" t="s">
        <v>1297</v>
      </c>
      <c r="C21" s="678">
        <f ca="1">ROUND(C19*10000/L19,0)</f>
        <v>102068</v>
      </c>
      <c r="D21" s="679">
        <f ca="1">ROUND(D19*10000/L19,0)</f>
        <v>72205</v>
      </c>
      <c r="E21" s="449"/>
      <c r="F21" s="93" t="s">
        <v>1297</v>
      </c>
      <c r="G21" s="132">
        <f ca="1">ROUND(G19*10000/L19,0)</f>
        <v>84150</v>
      </c>
      <c r="H21" s="1634" t="s">
        <v>1296</v>
      </c>
      <c r="I21" s="121"/>
    </row>
    <row r="22" spans="1:36" ht="15" thickBot="1">
      <c r="A22" s="1564" t="s">
        <v>1298</v>
      </c>
      <c r="B22" s="1635"/>
      <c r="C22" s="1636"/>
      <c r="D22" s="680">
        <f ca="1">IF(C19&lt;D19,D19/C19-1,C19/D19-1)</f>
        <v>0.41358088406058879</v>
      </c>
      <c r="E22" s="121"/>
      <c r="F22" s="121"/>
      <c r="G22" s="121"/>
      <c r="H22" s="121"/>
      <c r="I22" s="121"/>
    </row>
    <row r="23" spans="1:36" ht="13.8" thickBot="1">
      <c r="A23" s="646"/>
      <c r="B23" s="646"/>
      <c r="C23" s="646"/>
      <c r="D23" s="646"/>
      <c r="E23" s="121"/>
      <c r="F23" s="121"/>
      <c r="G23" s="121"/>
      <c r="H23" s="121"/>
      <c r="I23" s="121"/>
    </row>
    <row r="24" spans="1:36" ht="14.4">
      <c r="A24" s="3373" t="s">
        <v>1299</v>
      </c>
      <c r="B24" s="1631" t="s">
        <v>1291</v>
      </c>
      <c r="C24" s="128">
        <f>IF(B30=0,0,D30)</f>
        <v>0</v>
      </c>
      <c r="D24" s="1637"/>
      <c r="E24" s="121"/>
      <c r="F24" s="121"/>
      <c r="G24" s="121"/>
      <c r="H24" s="121"/>
      <c r="I24" s="121"/>
    </row>
    <row r="25" spans="1:36" ht="14.4">
      <c r="A25" s="33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90328</v>
      </c>
      <c r="D32" s="1641" t="s">
        <v>3540</v>
      </c>
      <c r="E32" s="121"/>
      <c r="F32" s="121"/>
      <c r="G32" s="121"/>
      <c r="H32" s="121"/>
      <c r="I32" s="121"/>
    </row>
    <row r="33" spans="1:15" ht="14.4">
      <c r="A33" s="740" t="s">
        <v>1306</v>
      </c>
      <c r="B33" s="123"/>
      <c r="C33" s="1642" t="s">
        <v>3541</v>
      </c>
      <c r="D33" s="1643" t="s">
        <v>3423</v>
      </c>
      <c r="E33" s="1644" t="s">
        <v>1307</v>
      </c>
      <c r="F33" s="1645" t="str">
        <f>IF(D32="楼面单价","取值（单价）","取值（总价）")</f>
        <v>取值（总价）</v>
      </c>
      <c r="G33" s="121"/>
      <c r="H33" s="121"/>
      <c r="I33" s="121"/>
    </row>
    <row r="34" spans="1:15" ht="14.4">
      <c r="A34" s="1646"/>
      <c r="B34" s="1647" t="s">
        <v>1308</v>
      </c>
      <c r="C34" s="140">
        <f ca="1">IF(C33="自定义",F34,C32-C35)</f>
        <v>31524</v>
      </c>
      <c r="D34" s="808">
        <f ca="1">IF(C33="自定义",ROUND(C34/C32,3),IF(C33="收益比率",SUMIF(INDIRECT("'"&amp;D33&amp;"'"&amp;"!b:b"),"土地收益比率",INDIRECT("'"&amp;D33&amp;"'"&amp;"!c:c")),SUMIF(INDIRECT("'"&amp;D33&amp;"'"&amp;"!b:b"),"土地成本比率",INDIRECT("'"&amp;D33&amp;"'"&amp;"!c:c"))))</f>
        <v>0.34899999999999998</v>
      </c>
      <c r="E34" s="1648" t="s">
        <v>1309</v>
      </c>
      <c r="F34" s="1243"/>
      <c r="G34" s="121"/>
      <c r="H34" s="121"/>
      <c r="I34" s="121"/>
    </row>
    <row r="35" spans="1:15" ht="15" thickBot="1">
      <c r="A35" s="1649"/>
      <c r="B35" s="1650" t="s">
        <v>1310</v>
      </c>
      <c r="C35" s="1090">
        <f ca="1">IF(C33="自定义",F35,ROUND(C32*D35,0))</f>
        <v>58804</v>
      </c>
      <c r="D35" s="1091">
        <f ca="1">IF(C33="自定义",ROUND(C35/C32,3),IF(C33="收益比率",SUMIF(INDIRECT("'"&amp;D33&amp;"'"&amp;"!b:b"),"建筑物收益比率",INDIRECT("'"&amp;D33&amp;"'"&amp;"!c:c")),SUMIF(INDIRECT("'"&amp;D33&amp;"'"&amp;"!b:b"),"建筑物成本比率",INDIRECT("'"&amp;D33&amp;"'"&amp;"!c:c"))))</f>
        <v>0.65100000000000002</v>
      </c>
      <c r="E35" s="1651" t="s">
        <v>1311</v>
      </c>
      <c r="F35" s="146"/>
      <c r="G35" s="121"/>
      <c r="H35" s="121"/>
      <c r="I35" s="121"/>
    </row>
    <row r="36" spans="1:15" ht="15" thickBot="1">
      <c r="A36" s="3350" t="s">
        <v>1312</v>
      </c>
      <c r="B36" s="1652" t="s">
        <v>1313</v>
      </c>
      <c r="C36" s="137"/>
      <c r="D36" s="1653"/>
      <c r="E36" s="1567"/>
      <c r="F36" s="1654"/>
      <c r="G36" s="121"/>
      <c r="H36" s="121"/>
      <c r="I36" s="121"/>
    </row>
    <row r="37" spans="1:15" ht="15" thickBot="1">
      <c r="A37" s="3351"/>
      <c r="B37" s="1555" t="s">
        <v>1314</v>
      </c>
      <c r="C37" s="139"/>
      <c r="D37" s="1071"/>
      <c r="E37" s="1071"/>
      <c r="F37" s="1654"/>
      <c r="G37" s="121"/>
      <c r="H37" s="121"/>
      <c r="I37" s="121"/>
    </row>
    <row r="38" spans="1:15" ht="15" thickBot="1">
      <c r="A38" s="335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0" t="s">
        <v>1326</v>
      </c>
      <c r="B45" s="3371"/>
      <c r="C45" s="3372"/>
      <c r="D45" s="147">
        <f ca="1">ROUND(H101*F45,0)</f>
        <v>90328</v>
      </c>
      <c r="E45" s="148" t="s">
        <v>1327</v>
      </c>
      <c r="F45" s="149">
        <v>1</v>
      </c>
      <c r="G45" s="150" t="s">
        <v>1328</v>
      </c>
      <c r="H45" s="121"/>
      <c r="I45" s="121"/>
      <c r="J45" s="3290" t="s">
        <v>1329</v>
      </c>
      <c r="K45" s="3290"/>
      <c r="L45" s="3290"/>
      <c r="M45" s="3290"/>
      <c r="N45" s="3290"/>
      <c r="O45" s="3290"/>
    </row>
    <row r="46" spans="1:15" ht="14.25" customHeight="1">
      <c r="A46" s="3367" t="s">
        <v>1330</v>
      </c>
      <c r="B46" s="3368"/>
      <c r="C46" s="3368"/>
      <c r="D46" s="3368"/>
      <c r="E46" s="3368"/>
      <c r="F46" s="3368"/>
      <c r="G46" s="3369"/>
      <c r="H46" s="1668"/>
      <c r="I46" s="151"/>
      <c r="J46" s="2308">
        <v>1</v>
      </c>
      <c r="K46" s="3291" t="s">
        <v>1331</v>
      </c>
      <c r="L46" s="3291"/>
      <c r="M46" s="3292"/>
      <c r="N46" s="3292"/>
      <c r="O46" s="3292"/>
    </row>
    <row r="47" spans="1:15" ht="12" customHeight="1">
      <c r="A47" s="152" t="s">
        <v>1332</v>
      </c>
      <c r="B47" s="153"/>
      <c r="C47" s="154"/>
      <c r="D47" s="1024" t="s">
        <v>1333</v>
      </c>
      <c r="E47" s="294" t="s">
        <v>1334</v>
      </c>
      <c r="F47" s="155" t="s">
        <v>1335</v>
      </c>
      <c r="G47" s="2331" t="s">
        <v>1336</v>
      </c>
      <c r="H47" s="2332"/>
      <c r="I47" s="151"/>
      <c r="J47" s="2308">
        <v>2</v>
      </c>
      <c r="K47" s="3291" t="s">
        <v>1337</v>
      </c>
      <c r="L47" s="3291"/>
      <c r="M47" s="3293">
        <f>'数据-取费表'!B2</f>
        <v>45799</v>
      </c>
      <c r="N47" s="3293"/>
      <c r="O47" s="3293"/>
    </row>
    <row r="48" spans="1:15" ht="26.4">
      <c r="A48" s="3353" t="s">
        <v>1338</v>
      </c>
      <c r="B48" s="3354"/>
      <c r="C48" s="3354"/>
      <c r="D48" s="12">
        <f ca="1">IF(H48="情况1",0,IF(H48="情况2",D52,IF(H48="情况3",D53,IF(H48="情况4",D54))))</f>
        <v>4817</v>
      </c>
      <c r="E48" s="1256" t="str">
        <f>IF(H48="情况4","(销售额-原购置价)×税（费）率","销售额×税（费）率")</f>
        <v>销售额×税（费）率</v>
      </c>
      <c r="F48" s="2333">
        <f>IF(H48="情况1","免征",'数据-取费表'!B41)</f>
        <v>5.6000000000000001E-2</v>
      </c>
      <c r="G48" s="2334" t="s">
        <v>1339</v>
      </c>
      <c r="H48" s="2335" t="s">
        <v>3542</v>
      </c>
      <c r="I48" s="1668"/>
      <c r="J48" s="2308">
        <v>3</v>
      </c>
      <c r="K48" s="3291" t="s">
        <v>1340</v>
      </c>
      <c r="L48" s="3291"/>
      <c r="M48" s="3294">
        <f ca="1">H101</f>
        <v>90328</v>
      </c>
      <c r="N48" s="3294"/>
      <c r="O48" s="3294"/>
    </row>
    <row r="49" spans="1:35" ht="25.5" customHeight="1">
      <c r="A49" s="2152" t="s">
        <v>1341</v>
      </c>
      <c r="B49" s="3339" t="s">
        <v>1342</v>
      </c>
      <c r="C49" s="3339"/>
      <c r="D49" s="1478">
        <v>0</v>
      </c>
      <c r="E49" s="316" t="s">
        <v>1343</v>
      </c>
      <c r="F49" s="2232" t="s">
        <v>28</v>
      </c>
      <c r="G49" s="3322"/>
      <c r="H49" s="2134" t="s">
        <v>2134</v>
      </c>
      <c r="I49" s="2135"/>
      <c r="J49" s="2308">
        <v>4</v>
      </c>
      <c r="K49" s="3291" t="str">
        <f>IF(项目基本情况!E8="房地产抵押价值","房地产抵押价值","抵押担保权已注销时的房地产抵押价值")</f>
        <v>房地产抵押价值</v>
      </c>
      <c r="L49" s="3291"/>
      <c r="M49" s="3294">
        <f ca="1">IF(项目基本情况!E8="房地产抵押价值",H107,H109)</f>
        <v>90328</v>
      </c>
      <c r="N49" s="3294"/>
      <c r="O49" s="3294"/>
    </row>
    <row r="50" spans="1:35" ht="25.5" customHeight="1">
      <c r="A50" s="2336"/>
      <c r="B50" s="3339" t="s">
        <v>1344</v>
      </c>
      <c r="C50" s="3339"/>
      <c r="D50" s="2188"/>
      <c r="E50" s="323"/>
      <c r="F50" s="2232"/>
      <c r="G50" s="3323"/>
      <c r="H50" s="2136" t="s">
        <v>2135</v>
      </c>
      <c r="I50" s="2135"/>
      <c r="J50" s="3290" t="s">
        <v>1345</v>
      </c>
      <c r="K50" s="3290"/>
      <c r="L50" s="3290"/>
      <c r="M50" s="3290"/>
      <c r="N50" s="3290"/>
      <c r="O50" s="3290"/>
    </row>
    <row r="51" spans="1:35" ht="20.399999999999999" customHeight="1">
      <c r="A51" s="2337"/>
      <c r="B51" s="3339" t="s">
        <v>1346</v>
      </c>
      <c r="C51" s="3339"/>
      <c r="D51" s="1024"/>
      <c r="E51" s="319"/>
      <c r="F51" s="2232"/>
      <c r="G51" s="3324"/>
      <c r="H51" s="2136" t="s">
        <v>2136</v>
      </c>
      <c r="I51" s="2135"/>
      <c r="J51" s="2309" t="s">
        <v>1347</v>
      </c>
      <c r="K51" s="3291" t="s">
        <v>1348</v>
      </c>
      <c r="L51" s="3291"/>
      <c r="M51" s="2309" t="s">
        <v>1349</v>
      </c>
      <c r="N51" s="2309" t="s">
        <v>1350</v>
      </c>
      <c r="O51" s="2309" t="s">
        <v>1351</v>
      </c>
    </row>
    <row r="52" spans="1:35" ht="24" customHeight="1">
      <c r="A52" s="2153" t="s">
        <v>1352</v>
      </c>
      <c r="B52" s="3339" t="s">
        <v>1353</v>
      </c>
      <c r="C52" s="3339"/>
      <c r="D52" s="1024">
        <f ca="1">ROUND(D45*'数据-取费表'!B41/(1+'数据-取费表'!C42),0)</f>
        <v>4817</v>
      </c>
      <c r="E52" s="1256" t="s">
        <v>1354</v>
      </c>
      <c r="F52" s="2338">
        <f>'数据-取费表'!B41</f>
        <v>5.6000000000000001E-2</v>
      </c>
      <c r="G52" s="2339"/>
      <c r="H52" s="2329"/>
      <c r="I52" s="1669"/>
      <c r="J52" s="2308">
        <v>1</v>
      </c>
      <c r="K52" s="3316" t="s">
        <v>1355</v>
      </c>
      <c r="L52" s="3316"/>
      <c r="M52" s="2310">
        <f ca="1">D48</f>
        <v>4817</v>
      </c>
      <c r="N52" s="2308" t="str">
        <f>E48</f>
        <v>销售额×税（费）率</v>
      </c>
      <c r="O52" s="2311">
        <f>F48</f>
        <v>5.6000000000000001E-2</v>
      </c>
    </row>
    <row r="53" spans="1:35" ht="12" customHeight="1">
      <c r="A53" s="2153" t="s">
        <v>1356</v>
      </c>
      <c r="B53" s="3340" t="s">
        <v>2287</v>
      </c>
      <c r="C53" s="3341"/>
      <c r="D53" s="1024">
        <f ca="1">ROUND(D45*'数据-取费表'!B41/(1+'数据-取费表'!C42),0)</f>
        <v>4817</v>
      </c>
      <c r="E53" s="1256" t="s">
        <v>1354</v>
      </c>
      <c r="F53" s="2338">
        <f>'数据-取费表'!B41</f>
        <v>5.6000000000000001E-2</v>
      </c>
      <c r="G53" s="2339"/>
      <c r="H53" s="2329"/>
      <c r="I53" s="1669"/>
      <c r="J53" s="2308">
        <v>2</v>
      </c>
      <c r="K53" s="3316" t="s">
        <v>1357</v>
      </c>
      <c r="L53" s="3316"/>
      <c r="M53" s="2310">
        <f t="shared" ref="M53:O54" ca="1" si="0">D55</f>
        <v>45</v>
      </c>
      <c r="N53" s="2308" t="str">
        <f t="shared" si="0"/>
        <v>销售额×税（费）率</v>
      </c>
      <c r="O53" s="2311">
        <f t="shared" si="0"/>
        <v>5.0000000000000001E-4</v>
      </c>
    </row>
    <row r="54" spans="1:35" ht="12" customHeight="1">
      <c r="A54" s="2153" t="s">
        <v>1358</v>
      </c>
      <c r="B54" s="3340" t="s">
        <v>2288</v>
      </c>
      <c r="C54" s="3341"/>
      <c r="D54" s="1024">
        <f ca="1">C68</f>
        <v>4818</v>
      </c>
      <c r="E54" s="319" t="s">
        <v>1359</v>
      </c>
      <c r="F54" s="2338">
        <f>'数据-取费表'!B41</f>
        <v>5.6000000000000001E-2</v>
      </c>
      <c r="G54" s="2339"/>
      <c r="H54" s="2340"/>
      <c r="I54" s="1669"/>
      <c r="J54" s="2308">
        <v>3</v>
      </c>
      <c r="K54" s="3316" t="s">
        <v>1360</v>
      </c>
      <c r="L54" s="3316"/>
      <c r="M54" s="2310">
        <f t="shared" ca="1" si="0"/>
        <v>51126</v>
      </c>
      <c r="N54" s="2308" t="str">
        <f t="shared" si="0"/>
        <v>增值额×税（费）率</v>
      </c>
      <c r="O54" s="2312" t="str">
        <f t="shared" si="0"/>
        <v>——</v>
      </c>
    </row>
    <row r="55" spans="1:35" ht="24" customHeight="1">
      <c r="A55" s="3376" t="s">
        <v>1361</v>
      </c>
      <c r="B55" s="3354"/>
      <c r="C55" s="3354"/>
      <c r="D55" s="12">
        <f ca="1">IF(H55="个人住宅",0,ROUND(D45*I55,0))</f>
        <v>45</v>
      </c>
      <c r="E55" s="1256" t="s">
        <v>1362</v>
      </c>
      <c r="F55" s="2338">
        <f>IF(H55="正常",I55,"免征")</f>
        <v>5.0000000000000001E-4</v>
      </c>
      <c r="G55" s="2339"/>
      <c r="H55" s="2335" t="s">
        <v>3463</v>
      </c>
      <c r="I55" s="157">
        <f>'数据-取费表'!B49</f>
        <v>5.0000000000000001E-4</v>
      </c>
      <c r="J55" s="2308" t="str">
        <f>IF(H59="非个人房产","",4)</f>
        <v/>
      </c>
      <c r="K55" s="3316" t="str">
        <f>IF(H59="非个人房产","——","个人所得税")</f>
        <v>——</v>
      </c>
      <c r="L55" s="3316"/>
      <c r="M55" s="2313" t="str">
        <f>D59</f>
        <v>——</v>
      </c>
      <c r="N55" s="1883" t="str">
        <f>E59</f>
        <v>——</v>
      </c>
      <c r="O55" s="2314" t="str">
        <f>F59</f>
        <v>——</v>
      </c>
    </row>
    <row r="56" spans="1:35" ht="25.2">
      <c r="A56" s="3376" t="s">
        <v>1363</v>
      </c>
      <c r="B56" s="3354"/>
      <c r="C56" s="3354"/>
      <c r="D56" s="12">
        <f ca="1">IF(H56="个人住宅",D57,D58)</f>
        <v>51126</v>
      </c>
      <c r="E56" s="1256" t="s">
        <v>1364</v>
      </c>
      <c r="F56" s="2338" t="str">
        <f>IF(H56="正常",F58,"免征")</f>
        <v>——</v>
      </c>
      <c r="G56" s="2341" t="s">
        <v>1365</v>
      </c>
      <c r="H56" s="2342" t="s">
        <v>3463</v>
      </c>
      <c r="I56" s="1670"/>
      <c r="J56" s="2308" t="str">
        <f>IF(项目基本情况!K6="上海银行",IF(J55="",4,J55+1),"")</f>
        <v/>
      </c>
      <c r="K56" s="3297" t="str">
        <f>IF(项目基本情况!K6="上海银行","其他处置费用","")</f>
        <v/>
      </c>
      <c r="L56" s="3298"/>
      <c r="M56" s="2310" t="str">
        <f>IF(项目基本情况!K6="上海银行",M69,"")</f>
        <v/>
      </c>
      <c r="N56" s="3297" t="str">
        <f>IF(项目基本情况!K6="上海银行","包含处置中涉及的律师、诉讼、拍卖、评估等费用","")</f>
        <v/>
      </c>
      <c r="O56" s="3300"/>
    </row>
    <row r="57" spans="1:35" ht="13.2">
      <c r="A57" s="2153" t="s">
        <v>1341</v>
      </c>
      <c r="B57" s="3340" t="s">
        <v>1366</v>
      </c>
      <c r="C57" s="3341"/>
      <c r="D57" s="1478">
        <v>0</v>
      </c>
      <c r="E57" s="316" t="s">
        <v>1343</v>
      </c>
      <c r="F57" s="294"/>
      <c r="G57" s="2339"/>
      <c r="H57" s="2343"/>
      <c r="I57" s="1670"/>
      <c r="J57" s="3316">
        <f>IF(AND(J55="",J56=""),4,IF(项目基本情况!K6="上海银行",结果表!J56+1,结果表!J55+1))</f>
        <v>4</v>
      </c>
      <c r="K57" s="3316" t="s">
        <v>1367</v>
      </c>
      <c r="L57" s="2315" t="s">
        <v>1368</v>
      </c>
      <c r="M57" s="2316"/>
      <c r="N57" s="2317">
        <f ca="1">SUMIF(M52:M56,"&lt;9e307")</f>
        <v>55988</v>
      </c>
      <c r="O57" s="2318"/>
      <c r="P57" s="2462">
        <f ca="1">N57/M49</f>
        <v>0.61982995305995925</v>
      </c>
    </row>
    <row r="58" spans="1:35" ht="25.2">
      <c r="A58" s="2153" t="s">
        <v>1352</v>
      </c>
      <c r="B58" s="3340" t="s">
        <v>1369</v>
      </c>
      <c r="C58" s="3339"/>
      <c r="D58" s="12">
        <f ca="1">IF(H58="转让取得",C81,C97)</f>
        <v>51126</v>
      </c>
      <c r="E58" s="1256" t="s">
        <v>1364</v>
      </c>
      <c r="F58" s="294" t="s">
        <v>28</v>
      </c>
      <c r="G58" s="2339"/>
      <c r="H58" s="2342" t="s">
        <v>3543</v>
      </c>
      <c r="I58" s="1670"/>
      <c r="J58" s="3316"/>
      <c r="K58" s="3316"/>
      <c r="L58" s="2315" t="s">
        <v>1370</v>
      </c>
      <c r="M58" s="2319"/>
      <c r="N58" s="2320" t="str">
        <f ca="1">NUMBERSTRING(INT(N57*10000),2)&amp;"元整"</f>
        <v>伍亿伍仟玖佰捌拾捌万元整</v>
      </c>
      <c r="O58" s="2321"/>
    </row>
    <row r="59" spans="1:35" ht="24.6" thickBot="1">
      <c r="A59" s="3320" t="s">
        <v>1371</v>
      </c>
      <c r="B59" s="3321"/>
      <c r="C59" s="3321"/>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3544</v>
      </c>
      <c r="I59" s="2137" t="s">
        <v>2137</v>
      </c>
      <c r="J59" s="3318">
        <f>J57+1</f>
        <v>5</v>
      </c>
      <c r="K59" s="3316" t="s">
        <v>1372</v>
      </c>
      <c r="L59" s="2308" t="s">
        <v>1368</v>
      </c>
      <c r="M59" s="2322"/>
      <c r="N59" s="2323">
        <f ca="1">M49-N57</f>
        <v>34340</v>
      </c>
      <c r="O59" s="2324"/>
    </row>
    <row r="60" spans="1:35" ht="12" customHeight="1">
      <c r="A60" s="1671"/>
      <c r="B60" s="646"/>
      <c r="C60" s="646"/>
      <c r="D60" s="646"/>
      <c r="E60" s="1466"/>
      <c r="F60" s="1670"/>
      <c r="G60" s="1670"/>
      <c r="H60" s="151"/>
      <c r="I60" s="121"/>
      <c r="J60" s="3319"/>
      <c r="K60" s="3316"/>
      <c r="L60" s="2315" t="s">
        <v>1370</v>
      </c>
      <c r="M60" s="2319"/>
      <c r="N60" s="2320" t="str">
        <f ca="1">NUMBERSTRING(INT(N59*10000),2)&amp;"元整"</f>
        <v>叁亿肆仟叁佰肆拾万元整</v>
      </c>
      <c r="O60" s="2321"/>
    </row>
    <row r="61" spans="1:35" ht="13.8" thickBot="1">
      <c r="A61" s="3375" t="s">
        <v>1373</v>
      </c>
      <c r="B61" s="3375"/>
      <c r="C61" s="3375"/>
      <c r="D61" s="3375"/>
      <c r="E61" s="3375"/>
      <c r="F61" s="1670"/>
      <c r="G61" s="1670"/>
      <c r="H61" s="151"/>
      <c r="I61" s="121"/>
      <c r="J61" s="2308">
        <f>J59+1</f>
        <v>6</v>
      </c>
      <c r="K61" s="3316" t="s">
        <v>1374</v>
      </c>
      <c r="L61" s="3316"/>
      <c r="M61" s="2325"/>
      <c r="N61" s="2326">
        <f ca="1">ROUND(N59*10000/'数据-汇总表'!E3,0)</f>
        <v>6730</v>
      </c>
      <c r="O61" s="2327"/>
    </row>
    <row r="62" spans="1:35" ht="13.2">
      <c r="A62" s="3335" t="s">
        <v>1375</v>
      </c>
      <c r="B62" s="3336"/>
      <c r="C62" s="1865"/>
      <c r="D62" s="1865" t="s">
        <v>1376</v>
      </c>
      <c r="E62" s="158" t="s">
        <v>1377</v>
      </c>
      <c r="F62" s="1670"/>
      <c r="G62" s="1670"/>
      <c r="H62" s="151"/>
      <c r="I62" s="121"/>
    </row>
    <row r="63" spans="1:35" ht="13.2">
      <c r="A63" s="165" t="s">
        <v>330</v>
      </c>
      <c r="B63" s="159" t="s">
        <v>1378</v>
      </c>
      <c r="C63" s="2348">
        <f ca="1">ROUND((C64+C65)/(1+'数据-取费表'!C42),0)</f>
        <v>86027</v>
      </c>
      <c r="D63" s="159"/>
      <c r="E63" s="160"/>
      <c r="F63" s="1670"/>
      <c r="G63" s="1670"/>
      <c r="H63" s="151"/>
      <c r="I63" s="121"/>
      <c r="J63" s="3299" t="s">
        <v>1379</v>
      </c>
      <c r="K63" s="1245" t="s">
        <v>1380</v>
      </c>
      <c r="L63" s="1245">
        <f ca="1">IF(M49&gt;10000,M49*0.5%,IF(AND(M49&gt;1000,M49&lt;=10000),M49*1%,IF(AND(M49&gt;100,M49&lt;=1000),M49*3%,IF(AND(M49&gt;10,M49&lt;=100),M49*5%,M49*8%))))</f>
        <v>451.64</v>
      </c>
      <c r="M63" s="294">
        <f ca="1">ROUND(L63,1)</f>
        <v>451.6</v>
      </c>
      <c r="N63" s="2328"/>
      <c r="Z63" s="1623"/>
      <c r="AI63" s="1561"/>
    </row>
    <row r="64" spans="1:35" ht="14.25" customHeight="1">
      <c r="A64" s="161" t="s">
        <v>325</v>
      </c>
      <c r="B64" s="162" t="s">
        <v>1381</v>
      </c>
      <c r="C64" s="2349">
        <f ca="1">D45</f>
        <v>90328</v>
      </c>
      <c r="D64" s="162" t="s">
        <v>26</v>
      </c>
      <c r="E64" s="164"/>
      <c r="F64" s="1670"/>
      <c r="G64" s="1670"/>
      <c r="H64" s="151"/>
      <c r="I64" s="121"/>
      <c r="J64" s="3299"/>
      <c r="K64" s="1245" t="s">
        <v>1382</v>
      </c>
      <c r="L64" s="1245">
        <f ca="1">IF(M49&gt;2000,M49*0.5%,IF(AND(M49&gt;1000,M49&lt;=2000),M49*0.6%,IF(AND(M49&gt;500,M49&lt;=1000),M49*0.7%,IF(AND(M49&gt;200,M49&lt;=500),M49*0.8%,IF(AND(M49&gt;100,M49&lt;=200),M49*0.9%,IF(AND(M49&gt;50,M49&lt;=100),M49*1%,IF(AND(M49&gt;20,M49&lt;=50),M49*1.5%,IF(AND(M49&gt;10,M49&lt;=20),M49*2%,IF(AND(M49&gt;1,M49&lt;=10),M49*2.5%)))))))))</f>
        <v>451.64</v>
      </c>
      <c r="M64" s="294">
        <f t="shared" ref="M64:M65" ca="1" si="1">ROUND(L64,1)</f>
        <v>451.6</v>
      </c>
      <c r="N64" s="2329" t="s">
        <v>1383</v>
      </c>
      <c r="Z64" s="1623"/>
      <c r="AI64" s="1561"/>
    </row>
    <row r="65" spans="1:35" ht="14.25" customHeight="1">
      <c r="A65" s="161" t="s">
        <v>326</v>
      </c>
      <c r="B65" s="162" t="s">
        <v>1384</v>
      </c>
      <c r="C65" s="2350"/>
      <c r="D65" s="162"/>
      <c r="E65" s="164"/>
      <c r="F65" s="1670"/>
      <c r="G65" s="1670"/>
      <c r="H65" s="151"/>
      <c r="I65" s="121"/>
      <c r="J65" s="3299"/>
      <c r="K65" s="1245" t="s">
        <v>1385</v>
      </c>
      <c r="L65" s="1245">
        <f ca="1">IF(M49&gt;1000,M49*0.1%,IF(AND(M49&gt;500,M49&lt;=1000),M49*0.5%,IF(AND(M49&gt;50,M49&lt;=500),M49*1%,IF(AND(M49&gt;1,M49&lt;=50),M49*1.5%))))</f>
        <v>90.328000000000003</v>
      </c>
      <c r="M65" s="294">
        <f t="shared" ca="1" si="1"/>
        <v>90.3</v>
      </c>
      <c r="N65" s="2329" t="s">
        <v>1383</v>
      </c>
      <c r="Z65" s="1623"/>
      <c r="AI65" s="1561"/>
    </row>
    <row r="66" spans="1:35" ht="14.25" customHeight="1">
      <c r="A66" s="165" t="s">
        <v>327</v>
      </c>
      <c r="B66" s="166" t="s">
        <v>1386</v>
      </c>
      <c r="C66" s="2351"/>
      <c r="D66" s="166" t="s">
        <v>26</v>
      </c>
      <c r="E66" s="1251" t="s">
        <v>671</v>
      </c>
      <c r="F66" s="1670"/>
      <c r="G66" s="1670"/>
      <c r="H66" s="151"/>
      <c r="I66" s="121"/>
      <c r="J66" s="3299"/>
      <c r="K66" s="1245" t="s">
        <v>1387</v>
      </c>
      <c r="L66" s="1245">
        <f ca="1">M49*0.5%</f>
        <v>451.64</v>
      </c>
      <c r="M66" s="294">
        <f ca="1">IF(L66&gt;0.5,0.5,ROUND(L66,0))</f>
        <v>0.5</v>
      </c>
      <c r="N66" s="2329" t="s">
        <v>1388</v>
      </c>
      <c r="Z66" s="1623"/>
      <c r="AI66" s="1561"/>
    </row>
    <row r="67" spans="1:35" ht="14.25" customHeight="1">
      <c r="A67" s="165" t="s">
        <v>328</v>
      </c>
      <c r="B67" s="166" t="s">
        <v>1389</v>
      </c>
      <c r="C67" s="2352">
        <f ca="1">C63-C66</f>
        <v>86027</v>
      </c>
      <c r="D67" s="162" t="s">
        <v>26</v>
      </c>
      <c r="E67" s="164"/>
      <c r="F67" s="1670"/>
      <c r="G67" s="1670"/>
      <c r="H67" s="151"/>
      <c r="I67" s="121"/>
      <c r="J67" s="3299"/>
      <c r="K67" s="1245" t="s">
        <v>1390</v>
      </c>
      <c r="L67" s="1245">
        <f ca="1">IF(M49&gt;=10000,(8.25+(M49-10000)*0.01%),IF(AND(M49&gt;=8000,M49&lt;10000),(7.85+(M49-8000)*0.02%),IF(AND(M49&gt;=5000,M49&lt;8000),(6.65+(M49-5000)*0.04%),IF(AND(M49&gt;=2000,M49&lt;5000),(4.25+(PM49-2000)*0.08%),IF(AND(M49&gt;=1000,M49&lt;2000),(2.75+(M49-1000)*0.15%),IF(AND(M49&gt;=100,M49&lt;1000),(0.5+(M49-100)*0.25%),IF(AND(M49&gt;0,M49&lt;100),M49*0.5%)))))))</f>
        <v>16.282800000000002</v>
      </c>
      <c r="M67" s="294">
        <f ca="1">ROUND(L67*0.9,1)</f>
        <v>14.7</v>
      </c>
      <c r="N67" s="2328"/>
      <c r="Z67" s="1623"/>
      <c r="AI67" s="1561"/>
    </row>
    <row r="68" spans="1:35" ht="14.25" customHeight="1" thickBot="1">
      <c r="A68" s="168" t="s">
        <v>329</v>
      </c>
      <c r="B68" s="169" t="s">
        <v>1391</v>
      </c>
      <c r="C68" s="2353">
        <f ca="1">IF(C67&lt;=0,0,ROUND(C67*D68,0))</f>
        <v>4818</v>
      </c>
      <c r="D68" s="2354">
        <f>'数据-取费表'!B41</f>
        <v>5.6000000000000001E-2</v>
      </c>
      <c r="E68" s="170"/>
      <c r="F68" s="1670"/>
      <c r="G68" s="1670"/>
      <c r="H68" s="151"/>
      <c r="I68" s="121"/>
      <c r="J68" s="3299"/>
      <c r="K68" s="1245" t="s">
        <v>1392</v>
      </c>
      <c r="L68" s="1245">
        <f ca="1">IF(M49&gt;10000,M49*0.5%,IF(AND(M49&gt;5000,M49&lt;=10000),M49*1%,IF(AND(M49&gt;1000,M49&lt;=5000),M49*2%,IF(AND(M49&gt;200,M49&lt;=1000),M49*3%,M49*5%))))</f>
        <v>451.64</v>
      </c>
      <c r="M68" s="294">
        <f ca="1">ROUND(L68,1)</f>
        <v>451.6</v>
      </c>
      <c r="N68" s="2328"/>
      <c r="Z68" s="1623"/>
      <c r="AI68" s="1561"/>
    </row>
    <row r="69" spans="1:35" ht="16.5" customHeight="1">
      <c r="A69" s="1672"/>
      <c r="B69" s="1673"/>
      <c r="C69" s="1674"/>
      <c r="D69" s="1675"/>
      <c r="E69" s="1676"/>
      <c r="F69" s="1466"/>
      <c r="G69" s="1466"/>
      <c r="H69" s="1467"/>
      <c r="I69" s="646"/>
      <c r="J69" s="3299"/>
      <c r="K69" s="1245" t="s">
        <v>1393</v>
      </c>
      <c r="L69" s="1245"/>
      <c r="M69" s="294">
        <f ca="1">ROUND(SUM(M63:M68),0)</f>
        <v>1460</v>
      </c>
      <c r="N69" s="2330">
        <f ca="1">M69/M49</f>
        <v>1.6163315915330795E-2</v>
      </c>
      <c r="Z69" s="1623"/>
      <c r="AI69" s="1561"/>
    </row>
    <row r="70" spans="1:35" s="642" customFormat="1" ht="14.4" thickBot="1">
      <c r="A70" s="3343" t="s">
        <v>1394</v>
      </c>
      <c r="B70" s="3344"/>
      <c r="C70" s="3344"/>
      <c r="D70" s="3344"/>
      <c r="E70" s="3344"/>
      <c r="F70" s="3344"/>
      <c r="G70" s="3344"/>
      <c r="H70" s="334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5" t="s">
        <v>1375</v>
      </c>
      <c r="B71" s="333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86027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0" t="s">
        <v>1402</v>
      </c>
      <c r="F76" s="3339"/>
      <c r="G76" s="3339"/>
      <c r="H76" s="334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516</v>
      </c>
      <c r="D78" s="2361">
        <f>'数据-取费表'!B43</f>
        <v>6.000000000000001E-3</v>
      </c>
      <c r="E78" s="3332" t="s">
        <v>1406</v>
      </c>
      <c r="F78" s="3333"/>
      <c r="G78" s="3333"/>
      <c r="H78" s="333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85511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165.71899224806202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51126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3" t="s">
        <v>1410</v>
      </c>
      <c r="B83" s="3344"/>
      <c r="C83" s="3344"/>
      <c r="D83" s="3344"/>
      <c r="E83" s="3344"/>
      <c r="F83" s="3344"/>
      <c r="G83" s="3344"/>
      <c r="H83" s="334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5" t="s">
        <v>1375</v>
      </c>
      <c r="B84" s="333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86027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01" t="s">
        <v>2129</v>
      </c>
      <c r="H90" s="3302"/>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2" t="s">
        <v>1419</v>
      </c>
      <c r="F91" s="3333"/>
      <c r="G91" s="333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2" t="s">
        <v>1422</v>
      </c>
      <c r="F92" s="3333"/>
      <c r="G92" s="3333"/>
      <c r="H92" s="3334"/>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516</v>
      </c>
      <c r="D93" s="2361">
        <f>'数据-取费表'!B43</f>
        <v>6.000000000000001E-3</v>
      </c>
      <c r="E93" s="3332" t="s">
        <v>1406</v>
      </c>
      <c r="F93" s="3333"/>
      <c r="G93" s="3333"/>
      <c r="H93" s="333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7" t="s">
        <v>1426</v>
      </c>
      <c r="F94" s="3378"/>
      <c r="G94" s="3378"/>
      <c r="H94" s="33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85511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165.71899224806202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51126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2" t="s">
        <v>1428</v>
      </c>
      <c r="B100" s="3283"/>
      <c r="C100" s="3283"/>
      <c r="D100" s="3317"/>
      <c r="E100" s="3283" t="s">
        <v>1429</v>
      </c>
      <c r="F100" s="3283"/>
      <c r="G100" s="3283"/>
      <c r="H100" s="3317"/>
      <c r="I100" s="121"/>
    </row>
    <row r="101" spans="1:35" ht="18.75" customHeight="1">
      <c r="A101" s="3325" t="s">
        <v>1430</v>
      </c>
      <c r="B101" s="3326"/>
      <c r="C101" s="2369" t="str">
        <f>C4</f>
        <v>比较法-办公</v>
      </c>
      <c r="D101" s="2370" t="str">
        <f>D4</f>
        <v>收益法</v>
      </c>
      <c r="E101" s="3295" t="s">
        <v>1431</v>
      </c>
      <c r="F101" s="3296"/>
      <c r="G101" s="1687" t="s">
        <v>1432</v>
      </c>
      <c r="H101" s="2379">
        <f ca="1">H118</f>
        <v>90328</v>
      </c>
      <c r="I101" s="121"/>
    </row>
    <row r="102" spans="1:35" ht="18.75" customHeight="1">
      <c r="A102" s="3327" t="s">
        <v>1433</v>
      </c>
      <c r="B102" s="2368" t="s">
        <v>1432</v>
      </c>
      <c r="C102" s="2369">
        <f ca="1">IF(D32="楼面单价",ROUND(C19,0),C19)</f>
        <v>109561</v>
      </c>
      <c r="D102" s="2370">
        <f ca="1">IF(D32="楼面单价",ROUND(D19,0),D19)</f>
        <v>77506</v>
      </c>
      <c r="E102" s="3295"/>
      <c r="F102" s="3296"/>
      <c r="G102" s="1687" t="s">
        <v>1434</v>
      </c>
      <c r="H102" s="2339">
        <f ca="1">I118</f>
        <v>17802</v>
      </c>
      <c r="I102" s="121"/>
    </row>
    <row r="103" spans="1:35" ht="42.75" customHeight="1">
      <c r="A103" s="3327"/>
      <c r="B103" s="2368" t="s">
        <v>1434</v>
      </c>
      <c r="C103" s="2371">
        <f ca="1">C20</f>
        <v>21593</v>
      </c>
      <c r="D103" s="2372">
        <f ca="1">D20</f>
        <v>15275</v>
      </c>
      <c r="E103" s="3288" t="s">
        <v>1435</v>
      </c>
      <c r="F103" s="3289"/>
      <c r="G103" s="1688" t="s">
        <v>1436</v>
      </c>
      <c r="H103" s="2379">
        <f>IF(D36="正常操作",H104+H105+H106,H105+H106)</f>
        <v>0</v>
      </c>
      <c r="I103" s="121"/>
    </row>
    <row r="104" spans="1:35" ht="18.75" customHeight="1">
      <c r="A104" s="3327" t="s">
        <v>1437</v>
      </c>
      <c r="B104" s="2373" t="s">
        <v>1432</v>
      </c>
      <c r="C104" s="2374">
        <f ca="1">H118</f>
        <v>90328</v>
      </c>
      <c r="D104" s="2375"/>
      <c r="E104" s="1555" t="s">
        <v>1438</v>
      </c>
      <c r="F104" s="1548"/>
      <c r="G104" s="1688" t="s">
        <v>1436</v>
      </c>
      <c r="H104" s="2380">
        <f>IF(D36="同一抵押权人同一抵押物续贷",C36&amp;"（续贷，未扣减，详见特别提示）",C36)</f>
        <v>0</v>
      </c>
      <c r="I104" s="121"/>
    </row>
    <row r="105" spans="1:35" ht="18.75" customHeight="1" thickBot="1">
      <c r="A105" s="3337"/>
      <c r="B105" s="2376" t="s">
        <v>1434</v>
      </c>
      <c r="C105" s="2377">
        <f ca="1">I118</f>
        <v>17802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8" t="str">
        <f>IF(项目基本情况!E8="已注销","——","3.房地产抵押价值")</f>
        <v>3.房地产抵押价值</v>
      </c>
      <c r="F107" s="3296"/>
      <c r="G107" s="1687" t="s">
        <v>1432</v>
      </c>
      <c r="H107" s="2379">
        <f ca="1">IF(E107="——","——",H101-H103)</f>
        <v>90328</v>
      </c>
      <c r="I107" s="121"/>
    </row>
    <row r="108" spans="1:35" ht="18.75" customHeight="1">
      <c r="A108" s="121"/>
      <c r="B108" s="121"/>
      <c r="C108" s="121"/>
      <c r="D108" s="121"/>
      <c r="E108" s="3328"/>
      <c r="F108" s="3296"/>
      <c r="G108" s="1687" t="s">
        <v>1434</v>
      </c>
      <c r="H108" s="2339">
        <f ca="1">IF(H107=H101,H102,ROUND(H107*10000/'数据-汇总表'!E3,0))</f>
        <v>17802</v>
      </c>
      <c r="I108" s="121"/>
    </row>
    <row r="109" spans="1:35" ht="18.75" customHeight="1">
      <c r="A109" s="121"/>
      <c r="B109" s="121"/>
      <c r="C109" s="121"/>
      <c r="D109" s="121"/>
      <c r="E109" s="3328" t="str">
        <f>IF(项目基本情况!E8="已注销及未注销","4.抵押担保权已注销时的房地产抵押价值",IF(项目基本情况!E8="已注销","3.抵押担保权已注销时的房地产抵押价值","——"))</f>
        <v>——</v>
      </c>
      <c r="F109" s="3296"/>
      <c r="G109" s="1687" t="s">
        <v>1432</v>
      </c>
      <c r="H109" s="2382" t="str">
        <f>IF(E109="——","——",H101-H105-H106)</f>
        <v>——</v>
      </c>
      <c r="I109" s="121"/>
    </row>
    <row r="110" spans="1:35" ht="18.75" customHeight="1">
      <c r="A110" s="121"/>
      <c r="B110" s="121"/>
      <c r="C110" s="121"/>
      <c r="D110" s="121"/>
      <c r="E110" s="3328"/>
      <c r="F110" s="3296"/>
      <c r="G110" s="1687"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4.抵押净值</v>
      </c>
      <c r="F111" s="3315"/>
      <c r="G111" s="1687" t="s">
        <v>1432</v>
      </c>
      <c r="H111" s="2379">
        <f ca="1">IF(E111="——","——",N59)</f>
        <v>34340</v>
      </c>
      <c r="I111" s="121"/>
    </row>
    <row r="112" spans="1:35" ht="18.75" customHeight="1" thickBot="1">
      <c r="A112" s="121"/>
      <c r="B112" s="121"/>
      <c r="C112" s="121"/>
      <c r="D112" s="121"/>
      <c r="E112" s="3330"/>
      <c r="F112" s="3331"/>
      <c r="G112" s="1690" t="s">
        <v>1434</v>
      </c>
      <c r="H112" s="2383">
        <f ca="1">IF(E111="——","——",N61)</f>
        <v>6730</v>
      </c>
      <c r="I112" s="121"/>
    </row>
    <row r="113" spans="1:27" ht="18.75" customHeight="1">
      <c r="A113" s="121"/>
      <c r="B113" s="121"/>
      <c r="C113" s="121"/>
      <c r="D113" s="121"/>
      <c r="E113" s="3338" t="s">
        <v>1440</v>
      </c>
      <c r="F113" s="3338"/>
      <c r="G113" s="3338"/>
      <c r="H113" s="3338"/>
      <c r="I113" s="121"/>
    </row>
    <row r="114" spans="1:27" ht="3.75" customHeight="1">
      <c r="A114" s="646"/>
      <c r="B114" s="646"/>
      <c r="C114" s="646"/>
      <c r="D114" s="646"/>
      <c r="E114" s="1671"/>
      <c r="F114" s="1671"/>
      <c r="G114" s="1671"/>
      <c r="H114" s="1671"/>
      <c r="I114" s="646"/>
    </row>
    <row r="115" spans="1:27" ht="18.75" customHeight="1">
      <c r="A115" s="3346" t="s">
        <v>1442</v>
      </c>
      <c r="B115" s="3347"/>
      <c r="C115" s="3347"/>
      <c r="D115" s="3347"/>
      <c r="E115" s="3347"/>
      <c r="F115" s="3347"/>
      <c r="G115" s="3347"/>
      <c r="H115" s="3347"/>
      <c r="I115" s="3348"/>
    </row>
    <row r="116" spans="1:27" ht="27" customHeight="1">
      <c r="A116" s="3303" t="s">
        <v>1443</v>
      </c>
      <c r="B116" s="3307" t="s">
        <v>1444</v>
      </c>
      <c r="C116" s="3307" t="s">
        <v>1445</v>
      </c>
      <c r="D116" s="3313" t="s">
        <v>1446</v>
      </c>
      <c r="E116" s="3314"/>
      <c r="F116" s="3345" t="s">
        <v>1447</v>
      </c>
      <c r="G116" s="3345"/>
      <c r="H116" s="3303" t="s">
        <v>1448</v>
      </c>
      <c r="I116" s="3303"/>
    </row>
    <row r="117" spans="1:27" ht="18.75" customHeight="1">
      <c r="A117" s="3303"/>
      <c r="B117" s="3308"/>
      <c r="C117" s="3308"/>
      <c r="D117" s="2150" t="s">
        <v>1449</v>
      </c>
      <c r="E117" s="2150" t="s">
        <v>1450</v>
      </c>
      <c r="F117" s="2150" t="s">
        <v>1449</v>
      </c>
      <c r="G117" s="2150" t="s">
        <v>1451</v>
      </c>
      <c r="H117" s="2150" t="s">
        <v>1449</v>
      </c>
      <c r="I117" s="2150" t="s">
        <v>1451</v>
      </c>
    </row>
    <row r="118" spans="1:27" ht="24.75" customHeight="1">
      <c r="A118" s="2384" t="str">
        <f>项目基本情况!S2</f>
        <v>北京市朝阳区朝运街40号院1-3号楼房地产</v>
      </c>
      <c r="B118" s="2150">
        <f>M18</f>
        <v>50739.14</v>
      </c>
      <c r="C118" s="2150">
        <f>M19</f>
        <v>10673.77</v>
      </c>
      <c r="D118" s="2150">
        <f ca="1">ROUND(IF(D32="总价",C34,E118*B118/10000),0)</f>
        <v>31524</v>
      </c>
      <c r="E118" s="2150">
        <f ca="1">ROUND(IF(C33="自定义",IF(D32="楼面单价",C34,D118*10000/B118),I118-G118),0)</f>
        <v>6213</v>
      </c>
      <c r="F118" s="2150">
        <f ca="1">ROUND(IF(D32="总价",C35,G118*B118/10000),0)</f>
        <v>58804</v>
      </c>
      <c r="G118" s="2150">
        <f ca="1">ROUND(IF(D32="楼面单价",C35,F118*10000/B118),0)</f>
        <v>11589</v>
      </c>
      <c r="H118" s="2150">
        <f ca="1">ROUND(IF(D32="总价",C32,I118*B118/10000),0)</f>
        <v>90328</v>
      </c>
      <c r="I118" s="2150">
        <f ca="1">ROUND(IF(D32="楼面单价",C32,H118*10000/B118),0)</f>
        <v>17802</v>
      </c>
    </row>
    <row r="119" spans="1:27" ht="18.75" customHeight="1">
      <c r="A119" s="3303" t="s">
        <v>1452</v>
      </c>
      <c r="B119" s="3303"/>
      <c r="C119" s="3303"/>
      <c r="D119" s="3309" t="str">
        <f ca="1">NUMBERSTRING(INT(D118*10000),2)&amp;"元整"</f>
        <v>叁亿壹仟伍佰贰拾肆万元整</v>
      </c>
      <c r="E119" s="3310"/>
      <c r="F119" s="3309" t="str">
        <f ca="1">NUMBERSTRING(INT(F118*10000),2)&amp;"元整"</f>
        <v>伍亿捌仟捌佰零肆万元整</v>
      </c>
      <c r="G119" s="3310"/>
      <c r="H119" s="3309" t="str">
        <f ca="1">NUMBERSTRING(INT(H118*10000),2)&amp;"元整"</f>
        <v>玖亿零叁佰贰拾捌万元整</v>
      </c>
      <c r="I119" s="3310"/>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1"/>
      <c r="C121" s="3310"/>
      <c r="D121" s="3309" t="str">
        <f>IF(D120=0,"零元整",NUMBERSTRING(INT(D120*10000),2)&amp;"元整")</f>
        <v>零元整</v>
      </c>
      <c r="E121" s="3311"/>
      <c r="F121" s="3311"/>
      <c r="G121" s="3311"/>
      <c r="H121" s="3311"/>
      <c r="I121" s="3310"/>
      <c r="AA121" s="684"/>
    </row>
    <row r="122" spans="1:27" ht="18.75" customHeight="1">
      <c r="A122" s="3315" t="str">
        <f>IF(项目基本情况!B9="房地产市场价值","",MID(E107,3,LEN(E107)-2))</f>
        <v>房地产抵押价值</v>
      </c>
      <c r="B122" s="3315"/>
      <c r="C122" s="3315"/>
      <c r="D122" s="3304">
        <f ca="1">H107</f>
        <v>90328</v>
      </c>
      <c r="E122" s="3305"/>
      <c r="F122" s="3305"/>
      <c r="G122" s="3305"/>
      <c r="H122" s="3305"/>
      <c r="I122" s="3306"/>
      <c r="AA122" s="684"/>
    </row>
    <row r="123" spans="1:27" ht="18.75" customHeight="1">
      <c r="A123" s="3303" t="s">
        <v>1452</v>
      </c>
      <c r="B123" s="3303"/>
      <c r="C123" s="3303"/>
      <c r="D123" s="3309" t="str">
        <f ca="1">NUMBERSTRING(INT(D122*10000),2)&amp;"元整"</f>
        <v>玖亿零叁佰贰拾捌万元整</v>
      </c>
      <c r="E123" s="3311"/>
      <c r="F123" s="3311"/>
      <c r="G123" s="3311"/>
      <c r="H123" s="3311"/>
      <c r="I123" s="3310"/>
      <c r="AA123" s="684"/>
    </row>
    <row r="124" spans="1:27" ht="18.75" customHeight="1">
      <c r="A124" s="3315" t="str">
        <f>IF(项目基本情况!B9="房地产市场价值","",MID(E109,3,LEN(E109)-2))</f>
        <v/>
      </c>
      <c r="B124" s="3315"/>
      <c r="C124" s="3315"/>
      <c r="D124" s="3304" t="str">
        <f>H109</f>
        <v>——</v>
      </c>
      <c r="E124" s="3305"/>
      <c r="F124" s="3305"/>
      <c r="G124" s="3305"/>
      <c r="H124" s="3305"/>
      <c r="I124" s="3306"/>
      <c r="AA124" s="684"/>
    </row>
    <row r="125" spans="1:27" ht="18.75" customHeight="1">
      <c r="A125" s="3303" t="s">
        <v>1452</v>
      </c>
      <c r="B125" s="3303"/>
      <c r="C125" s="3303"/>
      <c r="D125" s="3309" t="e">
        <f>NUMBERSTRING(INT(D124*10000),2)&amp;"元整"</f>
        <v>#VALUE!</v>
      </c>
      <c r="E125" s="3311"/>
      <c r="F125" s="3311"/>
      <c r="G125" s="3311"/>
      <c r="H125" s="3311"/>
      <c r="I125" s="3310"/>
      <c r="AA125" s="684"/>
    </row>
    <row r="126" spans="1:27" ht="18.75" customHeight="1">
      <c r="A126" s="3315" t="str">
        <f>IF(项目基本情况!B9="房地产市场价值","",MID(E111,3,LEN(E111)-2))</f>
        <v>抵押净值</v>
      </c>
      <c r="B126" s="3315"/>
      <c r="C126" s="3315"/>
      <c r="D126" s="3304">
        <f ca="1">H111</f>
        <v>34340</v>
      </c>
      <c r="E126" s="3305"/>
      <c r="F126" s="3305"/>
      <c r="G126" s="3305"/>
      <c r="H126" s="3305"/>
      <c r="I126" s="3306"/>
      <c r="AA126" s="684"/>
    </row>
    <row r="127" spans="1:27" ht="18.75" customHeight="1">
      <c r="A127" s="3303" t="s">
        <v>1452</v>
      </c>
      <c r="B127" s="3303"/>
      <c r="C127" s="3303"/>
      <c r="D127" s="3309" t="str">
        <f ca="1">NUMBERSTRING(INT(D126*10000),2)&amp;"元整"</f>
        <v>叁亿肆仟叁佰肆拾万元整</v>
      </c>
      <c r="E127" s="3311"/>
      <c r="F127" s="3311"/>
      <c r="G127" s="3311"/>
      <c r="H127" s="3311"/>
      <c r="I127" s="3310"/>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0" t="str">
        <f>项目基本情况!B1</f>
        <v>北京市朝阳区朝运街40号院1-3号楼房地产抵押价值预评估</v>
      </c>
      <c r="C37" s="3200"/>
      <c r="D37" s="3200"/>
      <c r="E37" s="3200"/>
      <c r="F37" s="3200"/>
      <c r="G37" s="3200"/>
      <c r="H37" s="3200"/>
      <c r="I37" s="320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39296.911899999999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7701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10205252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10205252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10205252</v>
      </c>
      <c r="D10" s="795">
        <f ca="1">IF(B1="",'数据-汇总表'!E6,IF(INDIRECT("'数据-取费表'!c"&amp;$G$1)="住宅",INDIRECT("'数据-取费表'!s"&amp;$G$1),INDIRECT("'数据-取费表'!k"&amp;$G$1)+INDIRECT("'数据-取费表'!s"&amp;$G$1)))</f>
        <v>51026.259999999995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10205252</v>
      </c>
      <c r="D19" s="204">
        <f ca="1">D9+D10</f>
        <v>51026.259999999995</v>
      </c>
      <c r="E19" s="203">
        <f>'数据-取费表'!B31</f>
        <v>200</v>
      </c>
      <c r="F19" s="223"/>
      <c r="G19" s="1714"/>
    </row>
    <row r="20" spans="1:7" s="206" customFormat="1" ht="13.5" customHeight="1">
      <c r="A20" s="247" t="s">
        <v>1574</v>
      </c>
      <c r="B20" s="202" t="s">
        <v>1575</v>
      </c>
      <c r="C20" s="224">
        <f ca="1">ROUND((C5+C19)*F20,0)</f>
        <v>612315</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1261369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621500</v>
      </c>
      <c r="D24" s="230"/>
      <c r="E24" s="230"/>
      <c r="F24" s="231"/>
      <c r="G24" s="232" t="s">
        <v>1586</v>
      </c>
    </row>
    <row r="25" spans="1:7" s="206" customFormat="1" ht="24">
      <c r="A25" s="734" t="s">
        <v>1476</v>
      </c>
      <c r="B25" s="207" t="s">
        <v>1587</v>
      </c>
      <c r="C25" s="230">
        <f ca="1">ROUND(IF('数据-取费表'!B22&lt;=1,C20*F22*'数据-取费表'!B22/2,C20*(POWER((1+F22),'数据-取费表'!B22/2)-1)),0)</f>
        <v>18369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3153423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3153423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27556723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283195743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255131300</v>
      </c>
      <c r="D34" s="209"/>
      <c r="E34" s="212"/>
      <c r="F34" s="249"/>
      <c r="G34" s="211"/>
    </row>
    <row r="35" spans="1:7" ht="13.5" customHeight="1">
      <c r="A35" s="734" t="s">
        <v>351</v>
      </c>
      <c r="B35" s="207" t="s">
        <v>1527</v>
      </c>
      <c r="C35" s="212">
        <f ca="1">ROUND(C34*F35,0)</f>
        <v>12756565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10205252</v>
      </c>
      <c r="D37" s="209">
        <f ca="1">D19</f>
        <v>51026.259999999995</v>
      </c>
      <c r="E37" s="241">
        <f>'数据-取费表'!B35</f>
        <v>200</v>
      </c>
      <c r="F37" s="251"/>
      <c r="G37" s="253"/>
    </row>
    <row r="38" spans="1:7" ht="13.5" customHeight="1">
      <c r="A38" s="734" t="s">
        <v>354</v>
      </c>
      <c r="B38" s="207" t="s">
        <v>1533</v>
      </c>
      <c r="C38" s="212">
        <f ca="1">ROUND(C34*F38,0)</f>
        <v>5102626</v>
      </c>
      <c r="D38" s="212"/>
      <c r="E38" s="212"/>
      <c r="F38" s="251">
        <f>'数据-取费表'!B36</f>
        <v>0.02</v>
      </c>
      <c r="G38" s="211" t="s">
        <v>1528</v>
      </c>
    </row>
    <row r="39" spans="1:7" s="206" customFormat="1" ht="13.5" customHeight="1">
      <c r="A39" s="247" t="s">
        <v>1534</v>
      </c>
      <c r="B39" s="202" t="s">
        <v>1535</v>
      </c>
      <c r="C39" s="224">
        <f ca="1">ROUND(C33*F20,0)</f>
        <v>8495872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8750748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8495872</v>
      </c>
      <c r="D42" s="230"/>
      <c r="E42" s="230"/>
      <c r="F42" s="231"/>
      <c r="G42" s="3382" t="s">
        <v>1591</v>
      </c>
    </row>
    <row r="43" spans="1:7" ht="13.5" customHeight="1">
      <c r="A43" s="734" t="s">
        <v>347</v>
      </c>
      <c r="B43" s="207" t="s">
        <v>1545</v>
      </c>
      <c r="C43" s="230">
        <f ca="1">ROUND(IF('数据-取费表'!B22&lt;=1,C39*F22*'数据-取费表'!B20/2,C39*(POWER((1+F22),'数据-取费表'!B20/2)-1)),0)</f>
        <v>254876</v>
      </c>
      <c r="D43" s="230"/>
      <c r="E43" s="230"/>
      <c r="F43" s="231"/>
      <c r="G43" s="3383"/>
    </row>
    <row r="44" spans="1:7" ht="13.5" customHeight="1">
      <c r="A44" s="734" t="s">
        <v>348</v>
      </c>
      <c r="B44" s="207" t="s">
        <v>1546</v>
      </c>
      <c r="C44" s="230">
        <f ca="1">ROUND(IF('数据-取费表'!B22&lt;=1,C40*F22*'数据-取费表'!B20/2,C40*(POWER((1+F22),'数据-取费表'!B20/2)-1)),4)</f>
        <v>5.9999999999999995E-4</v>
      </c>
      <c r="D44" s="230"/>
      <c r="E44" s="230"/>
      <c r="F44" s="231"/>
      <c r="G44" s="3384"/>
    </row>
    <row r="45" spans="1:7" s="206" customFormat="1" ht="13.5" customHeight="1">
      <c r="A45" s="247" t="s">
        <v>1547</v>
      </c>
      <c r="B45" s="236" t="s">
        <v>1513</v>
      </c>
      <c r="C45" s="237">
        <f ca="1">C46</f>
        <v>43753742</v>
      </c>
      <c r="D45" s="227">
        <f ca="1">C47</f>
        <v>3.0000000000000001E-3</v>
      </c>
      <c r="E45" s="228" t="s">
        <v>1539</v>
      </c>
      <c r="F45" s="238">
        <f ca="1">F27</f>
        <v>0.15</v>
      </c>
      <c r="G45" s="239" t="s">
        <v>1548</v>
      </c>
    </row>
    <row r="46" spans="1:7" s="206" customFormat="1" ht="13.5" customHeight="1">
      <c r="A46" s="734" t="s">
        <v>346</v>
      </c>
      <c r="B46" s="240" t="s">
        <v>1549</v>
      </c>
      <c r="C46" s="241">
        <f ca="1">ROUND((C33+C39)*F27,0)</f>
        <v>43753742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372869792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365412396</v>
      </c>
      <c r="D51" s="224"/>
      <c r="E51" s="224"/>
      <c r="F51" s="256"/>
      <c r="G51" s="226" t="s">
        <v>1560</v>
      </c>
    </row>
    <row r="52" spans="1:7" s="200" customFormat="1" ht="16.8" thickBot="1">
      <c r="A52" s="257" t="s">
        <v>1561</v>
      </c>
      <c r="B52" s="258"/>
      <c r="C52" s="259">
        <f ca="1">C31+C51</f>
        <v>392969119</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51026.259999999995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51026.259999999995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1021</v>
      </c>
      <c r="D20" s="796">
        <f ca="1">IF(C1="",'数据-汇总表'!E6,IF(INDIRECT("'数据-取费表'!c"&amp;$K$1)="住宅",INDIRECT("'数据-取费表'!s"&amp;$K$1),INDIRECT("'数据-取费表'!k"&amp;$K$1)+INDIRECT("'数据-取费表'!s"&amp;$K$1)))</f>
        <v>51026.259999999995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view="pageBreakPreview" topLeftCell="A10" zoomScale="85" zoomScaleNormal="70" zoomScaleSheetLayoutView="85" workbookViewId="0">
      <selection activeCell="M19" sqref="M19"/>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3534</v>
      </c>
      <c r="E1" s="3129" t="s">
        <v>3539</v>
      </c>
      <c r="F1" s="1735" t="s">
        <v>3536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109561</v>
      </c>
      <c r="C2" s="1737" t="s">
        <v>43</v>
      </c>
      <c r="D2" s="1052">
        <f ca="1">IF(E1="项目模式",SUMIF(INDIRECT("'"&amp;F2&amp;"'"&amp;"!A:A"),"承租人权益价值",INDIRECT("'"&amp;F2&amp;"'"&amp;"!c:c")),SUMIF(INDIRECT("'"&amp;F2&amp;"'"&amp;"!A:A"),"承租人权益价值（单套）",INDIRECT("'"&amp;F2&amp;"'"&amp;"!c:c")))</f>
        <v>0</v>
      </c>
      <c r="E2" s="1738" t="s">
        <v>1463</v>
      </c>
      <c r="F2" s="1739" t="s">
        <v>3459</v>
      </c>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21593</v>
      </c>
      <c r="C3" s="344" t="s">
        <v>1768</v>
      </c>
      <c r="D3" s="343">
        <f>IF(D1="",'数据-汇总表'!E3,SUMIF('数据-汇总表'!$C19:$C33,D1,'数据-汇总表'!$E19:$E33))</f>
        <v>50739.14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4"/>
      <c r="M4" s="2485"/>
      <c r="N4" s="2485"/>
      <c r="O4" s="2485"/>
      <c r="P4" s="3410" t="s">
        <v>1775</v>
      </c>
      <c r="Q4" s="3411"/>
      <c r="R4" s="3390" t="s">
        <v>1771</v>
      </c>
      <c r="S4" s="3391"/>
      <c r="T4" s="3390" t="s">
        <v>1772</v>
      </c>
      <c r="U4" s="3391"/>
      <c r="V4" s="3418" t="s">
        <v>1773</v>
      </c>
      <c r="W4" s="3418"/>
      <c r="X4" s="1809"/>
      <c r="Y4" s="3390" t="s">
        <v>1775</v>
      </c>
      <c r="Z4" s="3391"/>
      <c r="AA4" s="3385" t="s">
        <v>1771</v>
      </c>
      <c r="AB4" s="3385" t="s">
        <v>1772</v>
      </c>
      <c r="AC4" s="3403" t="s">
        <v>1773</v>
      </c>
    </row>
    <row r="5" spans="1:29">
      <c r="A5" s="348"/>
      <c r="B5" s="349"/>
      <c r="C5" s="3396" t="s">
        <v>1673</v>
      </c>
      <c r="D5" s="3397"/>
      <c r="E5" s="3536" t="s">
        <v>3548</v>
      </c>
      <c r="F5" s="3395"/>
      <c r="G5" s="3396" t="s">
        <v>3460</v>
      </c>
      <c r="H5" s="3397"/>
      <c r="I5" s="3396" t="s">
        <v>3461</v>
      </c>
      <c r="J5" s="3397"/>
      <c r="K5" s="537"/>
      <c r="L5" s="2484"/>
      <c r="M5" s="2485"/>
      <c r="N5" s="2485"/>
      <c r="O5" s="2485"/>
      <c r="P5" s="3412"/>
      <c r="Q5" s="3413"/>
      <c r="R5" s="3392"/>
      <c r="S5" s="3393"/>
      <c r="T5" s="3392"/>
      <c r="U5" s="3393"/>
      <c r="V5" s="3419"/>
      <c r="W5" s="3419"/>
      <c r="X5" s="1265"/>
      <c r="Y5" s="3392"/>
      <c r="Z5" s="3393"/>
      <c r="AA5" s="3386"/>
      <c r="AB5" s="3386"/>
      <c r="AC5" s="3404"/>
    </row>
    <row r="6" spans="1:29" ht="15" thickBot="1">
      <c r="A6" s="350"/>
      <c r="B6" s="351"/>
      <c r="C6" s="3398" t="s">
        <v>1677</v>
      </c>
      <c r="D6" s="3399"/>
      <c r="E6" s="3400" t="s">
        <v>3462</v>
      </c>
      <c r="F6" s="3401"/>
      <c r="G6" s="3398" t="s">
        <v>3462</v>
      </c>
      <c r="H6" s="3399"/>
      <c r="I6" s="3398" t="s">
        <v>3462</v>
      </c>
      <c r="J6" s="3399"/>
      <c r="K6" s="537" t="s">
        <v>1678</v>
      </c>
      <c r="L6" s="2484"/>
      <c r="M6" s="2485"/>
      <c r="N6" s="2485"/>
      <c r="O6" s="2485"/>
      <c r="P6" s="3414"/>
      <c r="Q6" s="3415"/>
      <c r="R6" s="3392"/>
      <c r="S6" s="3393"/>
      <c r="T6" s="3416"/>
      <c r="U6" s="3417"/>
      <c r="V6" s="3419"/>
      <c r="W6" s="3419"/>
      <c r="X6" s="1265"/>
      <c r="Y6" s="3416"/>
      <c r="Z6" s="3417"/>
      <c r="AA6" s="3387"/>
      <c r="AB6" s="3387"/>
      <c r="AC6" s="3405"/>
    </row>
    <row r="7" spans="1:29" s="102" customFormat="1" ht="15" thickBot="1">
      <c r="A7" s="352" t="s">
        <v>1679</v>
      </c>
      <c r="B7" s="353"/>
      <c r="C7" s="354">
        <f>'数据-取费表'!B2</f>
        <v>45799</v>
      </c>
      <c r="D7" s="355">
        <v>100</v>
      </c>
      <c r="E7" s="356">
        <v>45217</v>
      </c>
      <c r="F7" s="357">
        <f>SUMIF(59:59,YEAR(E7)&amp;"-"&amp;MONTH(E7),60:60)</f>
        <v>100</v>
      </c>
      <c r="G7" s="356">
        <v>44795</v>
      </c>
      <c r="H7" s="355">
        <f>SUMIF(59:59,YEAR(G7)&amp;"-"&amp;MONTH(G7),60:60)</f>
        <v>100</v>
      </c>
      <c r="I7" s="356">
        <v>44958</v>
      </c>
      <c r="J7" s="355">
        <f>SUMIF(59:59,YEAR(I7)&amp;"-"&amp;MONTH(I7),60:60)</f>
        <v>100</v>
      </c>
      <c r="K7" s="38"/>
      <c r="L7" s="2486"/>
      <c r="M7" s="2438"/>
      <c r="N7" s="2438"/>
      <c r="O7" s="2438"/>
      <c r="P7" s="3420" t="s">
        <v>1680</v>
      </c>
      <c r="Q7" s="3421"/>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802">
        <f>D7/J7</f>
        <v>1</v>
      </c>
    </row>
    <row r="8" spans="1:29" s="102" customFormat="1" ht="15" thickBot="1">
      <c r="A8" s="352" t="s">
        <v>1681</v>
      </c>
      <c r="B8" s="353"/>
      <c r="C8" s="358" t="s">
        <v>3463</v>
      </c>
      <c r="D8" s="355">
        <v>100</v>
      </c>
      <c r="E8" s="358" t="s">
        <v>3463</v>
      </c>
      <c r="F8" s="357">
        <f>SUMIF(62:62,E8,63:63)-SUMIF(62:62,C8,63:63)+100</f>
        <v>100</v>
      </c>
      <c r="G8" s="358" t="s">
        <v>3463</v>
      </c>
      <c r="H8" s="355">
        <f>SUMIF(62:62,G8,63:63)-SUMIF(62:62,C8,63:63)+100</f>
        <v>100</v>
      </c>
      <c r="I8" s="358" t="s">
        <v>3463</v>
      </c>
      <c r="J8" s="355">
        <f>SUMIF(62:62,I8,63:63)-SUMIF(62:62,C8,63:63)+100</f>
        <v>100</v>
      </c>
      <c r="K8" s="38"/>
      <c r="L8" s="2486"/>
      <c r="M8" s="2438"/>
      <c r="N8" s="2438"/>
      <c r="O8" s="2438"/>
      <c r="P8" s="3420"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ht="14.4">
      <c r="A9" s="359" t="s">
        <v>1684</v>
      </c>
      <c r="B9" s="3194" t="s">
        <v>1685</v>
      </c>
      <c r="C9" s="3191" t="s">
        <v>3545</v>
      </c>
      <c r="D9" s="59">
        <v>100</v>
      </c>
      <c r="E9" s="362" t="s">
        <v>21</v>
      </c>
      <c r="F9" s="59">
        <f>SUMIF(64:64,E9,65:65)-SUMIF(64:64,C9,65:65)+100</f>
        <v>103</v>
      </c>
      <c r="G9" s="361" t="s">
        <v>3</v>
      </c>
      <c r="H9" s="59">
        <f>SUMIF(64:64,G9,65:65)-SUMIF(64:64,C9,65:65)+100</f>
        <v>97</v>
      </c>
      <c r="I9" s="361" t="s">
        <v>3</v>
      </c>
      <c r="J9" s="59">
        <f>SUMIF(64:64,I9,65:65)-SUMIF(64:64,C9,65:65)+100</f>
        <v>97</v>
      </c>
      <c r="K9" s="38"/>
      <c r="L9" s="2486"/>
      <c r="M9" s="2438"/>
      <c r="N9" s="2438"/>
      <c r="O9" s="2438"/>
      <c r="P9" s="3402" t="s">
        <v>1686</v>
      </c>
      <c r="Q9" s="530" t="str">
        <f t="shared" ref="Q9:Q15" si="6">B9</f>
        <v>用途</v>
      </c>
      <c r="R9" s="664" t="s">
        <v>14</v>
      </c>
      <c r="S9" s="665">
        <f t="shared" si="0"/>
        <v>103</v>
      </c>
      <c r="T9" s="664" t="s">
        <v>14</v>
      </c>
      <c r="U9" s="665">
        <f t="shared" si="1"/>
        <v>97</v>
      </c>
      <c r="V9" s="664" t="s">
        <v>14</v>
      </c>
      <c r="W9" s="665">
        <f t="shared" si="2"/>
        <v>97</v>
      </c>
      <c r="X9" s="666"/>
      <c r="Y9" s="3358" t="s">
        <v>1687</v>
      </c>
      <c r="Z9" s="50" t="str">
        <f t="shared" ref="Z9:Z15" si="7">Q9</f>
        <v>用途</v>
      </c>
      <c r="AA9" s="50">
        <f t="shared" si="3"/>
        <v>0.970873786407767</v>
      </c>
      <c r="AB9" s="50">
        <f t="shared" si="4"/>
        <v>1.0309278350515463</v>
      </c>
      <c r="AC9" s="802">
        <f t="shared" si="5"/>
        <v>1.0309278350515463</v>
      </c>
    </row>
    <row r="10" spans="1:29" s="366" customFormat="1" ht="28.8">
      <c r="A10" s="363"/>
      <c r="B10" s="364" t="s">
        <v>1688</v>
      </c>
      <c r="C10" s="3130" t="s">
        <v>3464</v>
      </c>
      <c r="D10" s="119">
        <v>100</v>
      </c>
      <c r="E10" s="3130" t="s">
        <v>3464</v>
      </c>
      <c r="F10" s="119">
        <f>SUMIF(66:66,E10,67:67)-SUMIF(66:66,C10,67:67)+100</f>
        <v>100</v>
      </c>
      <c r="G10" s="3131" t="s">
        <v>3464</v>
      </c>
      <c r="H10" s="119">
        <f>SUMIF(66:66,G10,67:67)-SUMIF(66:66,C10,67:67)+100</f>
        <v>100</v>
      </c>
      <c r="I10" s="3130" t="s">
        <v>3474</v>
      </c>
      <c r="J10" s="119">
        <f>SUMIF(66:66,I10,67:67)-SUMIF(66:66,C10,67:67)+100</f>
        <v>98</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98</v>
      </c>
      <c r="X10" s="666"/>
      <c r="Y10" s="3358"/>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2"/>
      <c r="Q11" s="530" t="str">
        <f t="shared" si="6"/>
        <v>容积率</v>
      </c>
      <c r="R11" s="664" t="s">
        <v>14</v>
      </c>
      <c r="S11" s="665">
        <f t="shared" si="0"/>
        <v>100</v>
      </c>
      <c r="T11" s="664" t="s">
        <v>14</v>
      </c>
      <c r="U11" s="665">
        <f t="shared" si="1"/>
        <v>100</v>
      </c>
      <c r="V11" s="664" t="s">
        <v>14</v>
      </c>
      <c r="W11" s="665">
        <f t="shared" si="2"/>
        <v>100</v>
      </c>
      <c r="X11" s="666"/>
      <c r="Y11" s="33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2"/>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2"/>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802">
        <f t="shared" si="5"/>
        <v>1</v>
      </c>
    </row>
    <row r="15" spans="1:29" ht="41.4">
      <c r="A15" s="379" t="s">
        <v>1690</v>
      </c>
      <c r="B15" s="554" t="s">
        <v>1811</v>
      </c>
      <c r="C15" s="1811" t="str">
        <f>估价对象房地状况!C5</f>
        <v>北京中材人工晶体研究院、鼎石元素数字文化产业园，一般</v>
      </c>
      <c r="D15" s="380">
        <v>100</v>
      </c>
      <c r="E15" s="383"/>
      <c r="F15" s="380">
        <f>SUMIF(77:77,E16,78:78)-SUMIF(77:77,C16,78:78)+100</f>
        <v>100</v>
      </c>
      <c r="G15" s="381"/>
      <c r="H15" s="380">
        <f>SUMIF(77:77,G16,78:78)-SUMIF(77:77,C16,78:78)+100</f>
        <v>103</v>
      </c>
      <c r="I15" s="381"/>
      <c r="J15" s="380">
        <f>SUMIF(77:77,I16,78:78)-SUMIF(77:77,C16,78:78)+100</f>
        <v>103</v>
      </c>
      <c r="K15" s="3193">
        <v>3</v>
      </c>
      <c r="L15" s="2490"/>
      <c r="M15" s="2485"/>
      <c r="N15" s="2485"/>
      <c r="O15" s="2485"/>
      <c r="P15" s="3422" t="s">
        <v>1691</v>
      </c>
      <c r="Q15" s="1263" t="str">
        <f t="shared" si="6"/>
        <v>办公集聚程度</v>
      </c>
      <c r="R15" s="667" t="s">
        <v>14</v>
      </c>
      <c r="S15" s="668">
        <f t="shared" si="0"/>
        <v>100</v>
      </c>
      <c r="T15" s="667" t="s">
        <v>14</v>
      </c>
      <c r="U15" s="668">
        <f t="shared" si="1"/>
        <v>103</v>
      </c>
      <c r="V15" s="667" t="s">
        <v>14</v>
      </c>
      <c r="W15" s="668">
        <f t="shared" si="2"/>
        <v>103</v>
      </c>
      <c r="X15" s="1265"/>
      <c r="Y15" s="3424" t="s">
        <v>1691</v>
      </c>
      <c r="Z15" s="1264" t="str">
        <f t="shared" si="7"/>
        <v>办公集聚程度</v>
      </c>
      <c r="AA15" s="1264">
        <f t="shared" si="3"/>
        <v>1</v>
      </c>
      <c r="AB15" s="1264">
        <f t="shared" si="4"/>
        <v>0.970873786407767</v>
      </c>
      <c r="AC15" s="1812">
        <f t="shared" si="5"/>
        <v>0.970873786407767</v>
      </c>
    </row>
    <row r="16" spans="1:29" ht="15">
      <c r="A16" s="367"/>
      <c r="B16" s="555"/>
      <c r="C16" s="1758" t="s">
        <v>3465</v>
      </c>
      <c r="D16" s="387"/>
      <c r="E16" s="386" t="s">
        <v>3465</v>
      </c>
      <c r="F16" s="387"/>
      <c r="G16" s="1758" t="s">
        <v>3467</v>
      </c>
      <c r="H16" s="389"/>
      <c r="I16" s="386" t="s">
        <v>3467</v>
      </c>
      <c r="J16" s="387"/>
      <c r="K16" s="541"/>
      <c r="L16" s="2490"/>
      <c r="M16" s="2485"/>
      <c r="N16" s="2485"/>
      <c r="O16" s="2485"/>
      <c r="P16" s="3423"/>
      <c r="Q16" s="1263"/>
      <c r="R16" s="667"/>
      <c r="S16" s="668"/>
      <c r="T16" s="667"/>
      <c r="U16" s="668"/>
      <c r="V16" s="667"/>
      <c r="W16" s="668"/>
      <c r="X16" s="1265"/>
      <c r="Y16" s="3425"/>
      <c r="Z16" s="1264"/>
      <c r="AA16" s="1264">
        <v>1</v>
      </c>
      <c r="AB16" s="1264">
        <v>1</v>
      </c>
      <c r="AC16" s="1812">
        <v>1</v>
      </c>
    </row>
    <row r="17" spans="1:29" ht="82.8">
      <c r="A17" s="367"/>
      <c r="B17" s="556" t="s">
        <v>1259</v>
      </c>
      <c r="C17" s="1813" t="str">
        <f>估价对象房地状况!C6</f>
        <v>估价对象周边道路状况、公共交通通达情况350、640、、659等、3号线东坝站 、停车便捷程度，综合评价交通便捷度较好</v>
      </c>
      <c r="D17" s="389">
        <v>100</v>
      </c>
      <c r="E17" s="393"/>
      <c r="F17" s="389">
        <f>SUMIF(79:79,E18,80:80)-SUMIF(79:79,C18,80:80)+100</f>
        <v>97</v>
      </c>
      <c r="G17" s="391"/>
      <c r="H17" s="394">
        <f>SUMIF(79:79,G18,80:80)-SUMIF(79:79,C18,80:80)+100</f>
        <v>100</v>
      </c>
      <c r="I17" s="391"/>
      <c r="J17" s="394">
        <f>SUMIF(79:79,I18,80:80)-SUMIF(79:79,C18,80:80)+100</f>
        <v>100</v>
      </c>
      <c r="K17" s="540">
        <v>3</v>
      </c>
      <c r="L17" s="2490"/>
      <c r="M17" s="2485"/>
      <c r="N17" s="2485"/>
      <c r="O17" s="2485"/>
      <c r="P17" s="3423"/>
      <c r="Q17" s="1263" t="str">
        <f>B17</f>
        <v>交通便捷度</v>
      </c>
      <c r="R17" s="667" t="s">
        <v>14</v>
      </c>
      <c r="S17" s="668">
        <f>F17</f>
        <v>97</v>
      </c>
      <c r="T17" s="667" t="s">
        <v>14</v>
      </c>
      <c r="U17" s="668">
        <f>H17</f>
        <v>100</v>
      </c>
      <c r="V17" s="667" t="s">
        <v>14</v>
      </c>
      <c r="W17" s="668">
        <f>J17</f>
        <v>100</v>
      </c>
      <c r="X17" s="1265"/>
      <c r="Y17" s="3425"/>
      <c r="Z17" s="1264" t="str">
        <f>Q17</f>
        <v>交通便捷度</v>
      </c>
      <c r="AA17" s="1264">
        <f t="shared" si="3"/>
        <v>1.0309278350515463</v>
      </c>
      <c r="AB17" s="1264">
        <f t="shared" si="4"/>
        <v>1</v>
      </c>
      <c r="AC17" s="1812">
        <f t="shared" si="5"/>
        <v>1</v>
      </c>
    </row>
    <row r="18" spans="1:29" ht="15">
      <c r="A18" s="367"/>
      <c r="B18" s="401"/>
      <c r="C18" s="1814" t="s">
        <v>3467</v>
      </c>
      <c r="D18" s="389"/>
      <c r="E18" s="1756" t="s">
        <v>3465</v>
      </c>
      <c r="F18" s="389"/>
      <c r="G18" s="1757" t="s">
        <v>3467</v>
      </c>
      <c r="H18" s="387"/>
      <c r="I18" s="1757" t="s">
        <v>3467</v>
      </c>
      <c r="J18" s="387"/>
      <c r="K18" s="541"/>
      <c r="L18" s="2490"/>
      <c r="M18" s="2485"/>
      <c r="N18" s="2485"/>
      <c r="O18" s="2485"/>
      <c r="P18" s="3423"/>
      <c r="Q18" s="1263"/>
      <c r="R18" s="667"/>
      <c r="S18" s="668"/>
      <c r="T18" s="667"/>
      <c r="U18" s="668"/>
      <c r="V18" s="667"/>
      <c r="W18" s="668"/>
      <c r="X18" s="1265"/>
      <c r="Y18" s="3425"/>
      <c r="Z18" s="1264"/>
      <c r="AA18" s="1264">
        <v>1</v>
      </c>
      <c r="AB18" s="1264">
        <v>1</v>
      </c>
      <c r="AC18" s="1812">
        <v>1</v>
      </c>
    </row>
    <row r="19" spans="1:29" ht="27.6">
      <c r="A19" s="367"/>
      <c r="B19" s="556" t="s">
        <v>1812</v>
      </c>
      <c r="C19" s="1813" t="str">
        <f>估价对象房地状况!C7</f>
        <v>估价对象所在区域公共配套设施齐备情况</v>
      </c>
      <c r="D19" s="394">
        <v>100</v>
      </c>
      <c r="E19" s="398"/>
      <c r="F19" s="394">
        <f>SUMIF(81:81,E20,82:82)-SUMIF(81:81,C20,82:82)+100</f>
        <v>97</v>
      </c>
      <c r="G19" s="396"/>
      <c r="H19" s="389">
        <f>SUMIF(81:81,G20,82:82)-SUMIF(81:81,C20,82:82)+100</f>
        <v>100</v>
      </c>
      <c r="I19" s="396"/>
      <c r="J19" s="389">
        <f>SUMIF(81:81,I20,82:82)-SUMIF(81:81,C20,82:82)+100</f>
        <v>100</v>
      </c>
      <c r="K19" s="540">
        <v>3</v>
      </c>
      <c r="L19" s="2490"/>
      <c r="M19" s="2485"/>
      <c r="N19" s="2485"/>
      <c r="O19" s="2485"/>
      <c r="P19" s="3423"/>
      <c r="Q19" s="1263" t="str">
        <f>B19</f>
        <v>公共配套设施</v>
      </c>
      <c r="R19" s="667" t="s">
        <v>14</v>
      </c>
      <c r="S19" s="668">
        <f>F19</f>
        <v>97</v>
      </c>
      <c r="T19" s="667" t="s">
        <v>14</v>
      </c>
      <c r="U19" s="668">
        <f>H19</f>
        <v>100</v>
      </c>
      <c r="V19" s="667" t="s">
        <v>14</v>
      </c>
      <c r="W19" s="668">
        <f>J19</f>
        <v>100</v>
      </c>
      <c r="X19" s="1265"/>
      <c r="Y19" s="3425"/>
      <c r="Z19" s="1264" t="str">
        <f>Q19</f>
        <v>公共配套设施</v>
      </c>
      <c r="AA19" s="1264">
        <f t="shared" si="3"/>
        <v>1.0309278350515463</v>
      </c>
      <c r="AB19" s="1264">
        <f t="shared" si="4"/>
        <v>1</v>
      </c>
      <c r="AC19" s="1812">
        <f t="shared" si="5"/>
        <v>1</v>
      </c>
    </row>
    <row r="20" spans="1:29" ht="15">
      <c r="A20" s="367"/>
      <c r="B20" s="401"/>
      <c r="C20" s="1758" t="s">
        <v>3467</v>
      </c>
      <c r="D20" s="387"/>
      <c r="E20" s="1751" t="s">
        <v>3465</v>
      </c>
      <c r="F20" s="387"/>
      <c r="G20" s="1752" t="s">
        <v>3467</v>
      </c>
      <c r="H20" s="387"/>
      <c r="I20" s="1752" t="s">
        <v>3467</v>
      </c>
      <c r="J20" s="387"/>
      <c r="K20" s="541"/>
      <c r="L20" s="2490"/>
      <c r="M20" s="2485"/>
      <c r="N20" s="2485"/>
      <c r="O20" s="2485"/>
      <c r="P20" s="3423"/>
      <c r="Q20" s="1263"/>
      <c r="R20" s="667"/>
      <c r="S20" s="668"/>
      <c r="T20" s="667"/>
      <c r="U20" s="668"/>
      <c r="V20" s="667"/>
      <c r="W20" s="668"/>
      <c r="X20" s="1265"/>
      <c r="Y20" s="342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3"/>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t="s">
        <v>3466</v>
      </c>
      <c r="D22" s="387"/>
      <c r="E22" s="386" t="s">
        <v>3466</v>
      </c>
      <c r="F22" s="387"/>
      <c r="G22" s="1758" t="s">
        <v>3466</v>
      </c>
      <c r="H22" s="387"/>
      <c r="I22" s="1758" t="s">
        <v>3466</v>
      </c>
      <c r="J22" s="387"/>
      <c r="K22" s="1064"/>
      <c r="L22" s="2490"/>
      <c r="M22" s="2485"/>
      <c r="N22" s="2485"/>
      <c r="O22" s="2485"/>
      <c r="P22" s="3423"/>
      <c r="Q22" s="1263"/>
      <c r="R22" s="667"/>
      <c r="S22" s="668"/>
      <c r="T22" s="667"/>
      <c r="U22" s="668"/>
      <c r="V22" s="667"/>
      <c r="W22" s="668"/>
      <c r="X22" s="1265"/>
      <c r="Y22" s="3425"/>
      <c r="Z22" s="1264"/>
      <c r="AA22" s="1264">
        <v>1</v>
      </c>
      <c r="AB22" s="1264">
        <v>1</v>
      </c>
      <c r="AC22" s="1812">
        <v>1</v>
      </c>
    </row>
    <row r="23" spans="1:29" ht="55.2">
      <c r="A23" s="367"/>
      <c r="B23" s="556" t="s">
        <v>1814</v>
      </c>
      <c r="C23" s="1813" t="str">
        <f>估价对象房地状况!C9</f>
        <v>区域自然环境：东坝公园；人文环境：北京信息职业技术学院；综合评价环境状况一般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0"/>
      <c r="M23" s="2485"/>
      <c r="N23" s="2485"/>
      <c r="O23" s="2485"/>
      <c r="P23" s="3423"/>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t="s">
        <v>3465</v>
      </c>
      <c r="D24" s="387"/>
      <c r="E24" s="1751" t="s">
        <v>3465</v>
      </c>
      <c r="F24" s="387"/>
      <c r="G24" s="1751" t="s">
        <v>3465</v>
      </c>
      <c r="H24" s="387"/>
      <c r="I24" s="1751" t="s">
        <v>3465</v>
      </c>
      <c r="J24" s="387"/>
      <c r="K24" s="541"/>
      <c r="L24" s="2490"/>
      <c r="M24" s="2485"/>
      <c r="N24" s="2485"/>
      <c r="O24" s="2485"/>
      <c r="P24" s="3423"/>
      <c r="Q24" s="1263"/>
      <c r="R24" s="667"/>
      <c r="S24" s="668"/>
      <c r="T24" s="667"/>
      <c r="U24" s="668"/>
      <c r="V24" s="667"/>
      <c r="W24" s="668"/>
      <c r="X24" s="1265"/>
      <c r="Y24" s="342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3"/>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3"/>
      <c r="Q26" s="1263"/>
      <c r="R26" s="667"/>
      <c r="S26" s="668"/>
      <c r="T26" s="667"/>
      <c r="U26" s="668"/>
      <c r="V26" s="667"/>
      <c r="W26" s="668"/>
      <c r="X26" s="1265"/>
      <c r="Y26" s="342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3"/>
      <c r="Q27" s="1263" t="str">
        <f t="shared" ref="Q27:Q47" si="11">B27</f>
        <v>楼层</v>
      </c>
      <c r="R27" s="667" t="s">
        <v>14</v>
      </c>
      <c r="S27" s="668">
        <f>F27</f>
        <v>100</v>
      </c>
      <c r="T27" s="667" t="s">
        <v>14</v>
      </c>
      <c r="U27" s="668">
        <f>H27</f>
        <v>100</v>
      </c>
      <c r="V27" s="667" t="s">
        <v>14</v>
      </c>
      <c r="W27" s="668">
        <f>J27</f>
        <v>100</v>
      </c>
      <c r="X27" s="1265"/>
      <c r="Y27" s="342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3"/>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f>'数据-取费表'!N18</f>
        <v>2024</v>
      </c>
      <c r="D29" s="374">
        <v>100</v>
      </c>
      <c r="E29" s="371">
        <v>2017</v>
      </c>
      <c r="F29" s="374">
        <f>SUMIF(93:93,E29,94:94)-SUMIF(93:93,C29,94:94)+100</f>
        <v>100</v>
      </c>
      <c r="G29" s="1810">
        <v>2008</v>
      </c>
      <c r="H29" s="374">
        <f>SUMIF(93:93,G29,94:94)-SUMIF(93:93,C29,94:94)+100</f>
        <v>100</v>
      </c>
      <c r="I29" s="371">
        <v>2022</v>
      </c>
      <c r="J29" s="374">
        <f>SUMIF(93:93,I29,94:94)-SUMIF(93:93,C29,94:94)+100</f>
        <v>100</v>
      </c>
      <c r="K29" s="539"/>
      <c r="L29" s="2490"/>
      <c r="M29" s="2485"/>
      <c r="N29" s="2485"/>
      <c r="O29" s="2485"/>
      <c r="P29" s="3423"/>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v>0.87</v>
      </c>
      <c r="F30" s="374">
        <f>SUMIF(95:95,E30,96:96)-SUMIF(95:95,C30,96:96)+100</f>
        <v>100</v>
      </c>
      <c r="G30" s="1810">
        <v>0.72</v>
      </c>
      <c r="H30" s="374">
        <f>SUMIF(95:95,G30,96:96)-SUMIF(95:95,C30,96:96)+100</f>
        <v>100</v>
      </c>
      <c r="I30" s="371">
        <v>0.95</v>
      </c>
      <c r="J30" s="374">
        <f>SUMIF(95:95,I30,96:96)-SUMIF(95:95,C30,96:96)+100</f>
        <v>100</v>
      </c>
      <c r="K30" s="539"/>
      <c r="L30" s="2490"/>
      <c r="M30" s="2485"/>
      <c r="N30" s="2485"/>
      <c r="O30" s="2485"/>
      <c r="P30" s="3423"/>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v>40</v>
      </c>
      <c r="F31" s="374">
        <f>SUMIF(97:97,E31,98:98)-SUMIF(97:97,C31,98:98)+100</f>
        <v>100</v>
      </c>
      <c r="G31" s="1810">
        <v>31</v>
      </c>
      <c r="H31" s="374">
        <f>SUMIF(97:97,G31,98:98)-SUMIF(97:97,C31,98:98)+100</f>
        <v>100</v>
      </c>
      <c r="I31" s="371">
        <v>45</v>
      </c>
      <c r="J31" s="374">
        <f>SUMIF(97:97,I31,98:98)-SUMIF(97:97,C31,98:98)+100</f>
        <v>100</v>
      </c>
      <c r="K31" s="539"/>
      <c r="L31" s="2490"/>
      <c r="M31" s="2485"/>
      <c r="N31" s="2485"/>
      <c r="O31" s="2485"/>
      <c r="P31" s="3423"/>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3"/>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t="s">
        <v>3468</v>
      </c>
      <c r="D33" s="405">
        <v>100</v>
      </c>
      <c r="E33" s="1764" t="s">
        <v>3468</v>
      </c>
      <c r="F33" s="400">
        <f>SUMIF(101:101,E33,102:102)-SUMIF(101:101,C33,102:102)+100</f>
        <v>100</v>
      </c>
      <c r="G33" s="1764" t="s">
        <v>3473</v>
      </c>
      <c r="H33" s="374">
        <f>SUMIF(101:101,G33,102:102)-SUMIF(101:101,C33,102:102)+100</f>
        <v>97</v>
      </c>
      <c r="I33" s="1764" t="s">
        <v>3468</v>
      </c>
      <c r="J33" s="405">
        <f>SUMIF(101:101,I33,102:102)-SUMIF(101:101,C33,102:102)+100</f>
        <v>100</v>
      </c>
      <c r="K33" s="538">
        <v>3</v>
      </c>
      <c r="L33" s="2490"/>
      <c r="M33" s="2485"/>
      <c r="N33" s="2485"/>
      <c r="O33" s="2485"/>
      <c r="P33" s="3426" t="s">
        <v>1696</v>
      </c>
      <c r="Q33" s="1263" t="str">
        <f t="shared" si="11"/>
        <v>建筑类型</v>
      </c>
      <c r="R33" s="667" t="s">
        <v>14</v>
      </c>
      <c r="S33" s="668">
        <f t="shared" si="12"/>
        <v>100</v>
      </c>
      <c r="T33" s="667" t="s">
        <v>14</v>
      </c>
      <c r="U33" s="668">
        <f t="shared" si="13"/>
        <v>97</v>
      </c>
      <c r="V33" s="667" t="s">
        <v>14</v>
      </c>
      <c r="W33" s="668">
        <f t="shared" si="14"/>
        <v>100</v>
      </c>
      <c r="X33" s="1265"/>
      <c r="Y33" s="3429" t="s">
        <v>1696</v>
      </c>
      <c r="Z33" s="1264" t="str">
        <f t="shared" si="15"/>
        <v>建筑类型</v>
      </c>
      <c r="AA33" s="1264">
        <f t="shared" si="3"/>
        <v>1</v>
      </c>
      <c r="AB33" s="1264">
        <f t="shared" si="4"/>
        <v>1.0309278350515463</v>
      </c>
      <c r="AC33" s="1812">
        <f t="shared" si="5"/>
        <v>1</v>
      </c>
    </row>
    <row r="34" spans="1:29" s="408" customFormat="1" ht="15">
      <c r="A34" s="406"/>
      <c r="B34" s="364" t="s">
        <v>1697</v>
      </c>
      <c r="C34" s="407">
        <v>51026.26</v>
      </c>
      <c r="D34" s="119">
        <v>100</v>
      </c>
      <c r="E34" s="369">
        <v>12280.94</v>
      </c>
      <c r="F34" s="364">
        <f>LOOKUP(E34,104:104,105:105)-LOOKUP(C34,104:104,105:105)+100</f>
        <v>100</v>
      </c>
      <c r="G34" s="368">
        <v>28179.63</v>
      </c>
      <c r="H34" s="119">
        <f>LOOKUP(G34,104:104,105:105)-LOOKUP(C34,104:104,105:105)+100</f>
        <v>101</v>
      </c>
      <c r="I34" s="368">
        <v>35283.660000000003</v>
      </c>
      <c r="J34" s="119">
        <f>LOOKUP(I34,104:104,105:105)-LOOKUP(C34,104:104,105:105)+100</f>
        <v>101</v>
      </c>
      <c r="K34" s="539"/>
      <c r="L34" s="2489"/>
      <c r="M34" s="2491"/>
      <c r="N34" s="2491"/>
      <c r="O34" s="2491"/>
      <c r="P34" s="3427"/>
      <c r="Q34" s="531" t="str">
        <f t="shared" si="11"/>
        <v>项目建筑规模</v>
      </c>
      <c r="R34" s="669" t="s">
        <v>14</v>
      </c>
      <c r="S34" s="670">
        <f t="shared" si="12"/>
        <v>100</v>
      </c>
      <c r="T34" s="669" t="s">
        <v>14</v>
      </c>
      <c r="U34" s="670">
        <f t="shared" si="13"/>
        <v>101</v>
      </c>
      <c r="V34" s="669" t="s">
        <v>14</v>
      </c>
      <c r="W34" s="670">
        <f t="shared" si="14"/>
        <v>101</v>
      </c>
      <c r="X34" s="671"/>
      <c r="Y34" s="3429"/>
      <c r="Z34" s="672" t="str">
        <f t="shared" si="15"/>
        <v>项目建筑规模</v>
      </c>
      <c r="AA34" s="1264">
        <f t="shared" si="3"/>
        <v>1</v>
      </c>
      <c r="AB34" s="1264">
        <f t="shared" si="4"/>
        <v>0.99009900990099009</v>
      </c>
      <c r="AC34" s="1812">
        <f t="shared" si="5"/>
        <v>0.99009900990099009</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90"/>
      <c r="M35" s="2485"/>
      <c r="N35" s="2485"/>
      <c r="O35" s="2485"/>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v>0.98</v>
      </c>
      <c r="D37" s="374">
        <v>100</v>
      </c>
      <c r="E37" s="411">
        <v>0.87</v>
      </c>
      <c r="F37" s="400">
        <f>LOOKUP(E37,111:111,112:112)-LOOKUP(C37,111:111,112:112)+100</f>
        <v>99</v>
      </c>
      <c r="G37" s="411">
        <v>0.72</v>
      </c>
      <c r="H37" s="400">
        <f>LOOKUP(G37,111:111,112:112)-LOOKUP(C37,111:111,112:112)+100</f>
        <v>98</v>
      </c>
      <c r="I37" s="411">
        <v>0.95</v>
      </c>
      <c r="J37" s="374">
        <f>LOOKUP(I37,111:111,112:112)-LOOKUP(C37,111:111,112:112)+100</f>
        <v>100</v>
      </c>
      <c r="K37" s="538">
        <v>1</v>
      </c>
      <c r="L37" s="2490"/>
      <c r="M37" s="2485"/>
      <c r="N37" s="2485"/>
      <c r="O37" s="2485"/>
      <c r="P37" s="3427"/>
      <c r="Q37" s="1263" t="str">
        <f t="shared" si="11"/>
        <v>成新度</v>
      </c>
      <c r="R37" s="667" t="s">
        <v>14</v>
      </c>
      <c r="S37" s="668">
        <f t="shared" si="12"/>
        <v>99</v>
      </c>
      <c r="T37" s="667" t="s">
        <v>14</v>
      </c>
      <c r="U37" s="668">
        <f t="shared" si="13"/>
        <v>98</v>
      </c>
      <c r="V37" s="667" t="s">
        <v>14</v>
      </c>
      <c r="W37" s="668">
        <f t="shared" si="14"/>
        <v>100</v>
      </c>
      <c r="X37" s="1265"/>
      <c r="Y37" s="3429"/>
      <c r="Z37" s="1264" t="str">
        <f t="shared" si="15"/>
        <v>成新度</v>
      </c>
      <c r="AA37" s="1264">
        <f t="shared" si="3"/>
        <v>1.0101010101010102</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2</v>
      </c>
      <c r="L39" s="2490"/>
      <c r="M39" s="2485"/>
      <c r="N39" s="2485"/>
      <c r="O39" s="2485"/>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t="s">
        <v>3470</v>
      </c>
      <c r="D41" s="374">
        <v>100</v>
      </c>
      <c r="E41" s="542" t="s">
        <v>3470</v>
      </c>
      <c r="F41" s="400">
        <f>SUMIF(119:119,E41,120:120)-SUMIF(119:119,C41,120:120)+100</f>
        <v>100</v>
      </c>
      <c r="G41" s="542" t="s">
        <v>3470</v>
      </c>
      <c r="H41" s="374">
        <f>SUMIF(119:119,G41,120:120)-SUMIF(119:119,C41,120:120)+100</f>
        <v>100</v>
      </c>
      <c r="I41" s="542" t="s">
        <v>3470</v>
      </c>
      <c r="J41" s="374">
        <f>SUMIF(119:119,I41,120:120)-SUMIF(119:119,C41,120:120)+100</f>
        <v>100</v>
      </c>
      <c r="K41" s="538"/>
      <c r="L41" s="2490"/>
      <c r="M41" s="2485"/>
      <c r="N41" s="2485"/>
      <c r="O41" s="2485"/>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99" t="s">
        <v>3471</v>
      </c>
      <c r="D43" s="374">
        <v>100</v>
      </c>
      <c r="E43" s="399" t="s">
        <v>3471</v>
      </c>
      <c r="F43" s="400">
        <f>SUMIF(123:123,E43,124:124)-SUMIF(123:123,C43,124:124)+100</f>
        <v>100</v>
      </c>
      <c r="G43" s="399" t="s">
        <v>3471</v>
      </c>
      <c r="H43" s="374">
        <f>SUMIF(123:123,G43,124:124)-SUMIF(123:123,C43,124:124)+100</f>
        <v>100</v>
      </c>
      <c r="I43" s="399" t="s">
        <v>3471</v>
      </c>
      <c r="J43" s="374">
        <f>SUMIF(123:123,I43,124:124)-SUMIF(123:123,C43,124:124)+100</f>
        <v>100</v>
      </c>
      <c r="K43" s="538">
        <v>2</v>
      </c>
      <c r="L43" s="2490"/>
      <c r="M43" s="2485"/>
      <c r="N43" s="2485"/>
      <c r="O43" s="2485"/>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28.8">
      <c r="A44" s="409"/>
      <c r="B44" s="364" t="s">
        <v>1707</v>
      </c>
      <c r="C44" s="399" t="s">
        <v>3467</v>
      </c>
      <c r="D44" s="374">
        <v>100</v>
      </c>
      <c r="E44" s="1760" t="s">
        <v>3467</v>
      </c>
      <c r="F44" s="400">
        <f>SUMIF(125:125,E44,126:126)-SUMIF(125:125,C44,126:126)+100</f>
        <v>100</v>
      </c>
      <c r="G44" s="1760" t="s">
        <v>3467</v>
      </c>
      <c r="H44" s="374">
        <f>SUMIF(125:125,G44,126:126)-SUMIF(125:125,C44,126:126)+100</f>
        <v>100</v>
      </c>
      <c r="I44" s="1760" t="s">
        <v>3467</v>
      </c>
      <c r="J44" s="374">
        <f>SUMIF(125:125,I44,126:126)-SUMIF(125:125,C44,126:126)+100</f>
        <v>100</v>
      </c>
      <c r="K44" s="538">
        <v>2</v>
      </c>
      <c r="L44" s="2490"/>
      <c r="M44" s="2485"/>
      <c r="N44" s="2485"/>
      <c r="O44" s="2485"/>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3195" t="s">
        <v>3533</v>
      </c>
      <c r="C45" s="407" t="s">
        <v>3532</v>
      </c>
      <c r="D45" s="119">
        <v>100</v>
      </c>
      <c r="E45" s="371" t="s">
        <v>3472</v>
      </c>
      <c r="F45" s="364">
        <f>SUMIF(127:127,E45,128:128)-SUMIF(127:127,C45,128:128)+100</f>
        <v>128</v>
      </c>
      <c r="G45" s="371" t="s">
        <v>3477</v>
      </c>
      <c r="H45" s="119">
        <f>SUMIF(127:127,G45,128:128)-SUMIF(127:127,C45,128:128)+100</f>
        <v>107</v>
      </c>
      <c r="I45" s="371" t="s">
        <v>3475</v>
      </c>
      <c r="J45" s="119">
        <f>SUMIF(127:127,I45,128:128)-SUMIF(127:127,C45,128:128)+100</f>
        <v>114</v>
      </c>
      <c r="K45" s="539"/>
      <c r="L45" s="2486"/>
      <c r="M45" s="2438"/>
      <c r="N45" s="2438"/>
      <c r="O45" s="2438"/>
      <c r="P45" s="3427"/>
      <c r="Q45" s="530" t="str">
        <f t="shared" si="11"/>
        <v>地下面积占比</v>
      </c>
      <c r="R45" s="664" t="s">
        <v>14</v>
      </c>
      <c r="S45" s="665">
        <f t="shared" si="12"/>
        <v>128</v>
      </c>
      <c r="T45" s="664" t="s">
        <v>14</v>
      </c>
      <c r="U45" s="665">
        <f t="shared" si="13"/>
        <v>107</v>
      </c>
      <c r="V45" s="664" t="s">
        <v>14</v>
      </c>
      <c r="W45" s="665">
        <f t="shared" si="14"/>
        <v>114</v>
      </c>
      <c r="X45" s="666"/>
      <c r="Y45" s="3429"/>
      <c r="Z45" s="50" t="str">
        <f t="shared" si="15"/>
        <v>地下面积占比</v>
      </c>
      <c r="AA45" s="50">
        <f t="shared" si="3"/>
        <v>0.78125</v>
      </c>
      <c r="AB45" s="50">
        <f t="shared" si="4"/>
        <v>0.93457943925233644</v>
      </c>
      <c r="AC45" s="802">
        <f t="shared" si="5"/>
        <v>0.8771929824561403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4.4">
      <c r="A48" s="416" t="s">
        <v>1708</v>
      </c>
      <c r="B48" s="417"/>
      <c r="C48" s="1081" t="s">
        <v>0</v>
      </c>
      <c r="D48" s="418"/>
      <c r="E48" s="419">
        <f>大宗!M4</f>
        <v>26640</v>
      </c>
      <c r="F48" s="420"/>
      <c r="G48" s="421">
        <f>大宗!M2</f>
        <v>21000</v>
      </c>
      <c r="H48" s="422"/>
      <c r="I48" s="419">
        <f>大宗!M3</f>
        <v>25508</v>
      </c>
      <c r="J48" s="422"/>
      <c r="K48" s="674"/>
      <c r="L48" s="2492"/>
      <c r="M48" s="2485"/>
      <c r="N48" s="2485"/>
      <c r="O48" s="2485"/>
      <c r="P48" s="3402" t="str">
        <f>A48</f>
        <v>成交单价（元/平方米）</v>
      </c>
      <c r="Q48" s="3431"/>
      <c r="R48" s="3419">
        <f>E48</f>
        <v>26640</v>
      </c>
      <c r="S48" s="3419"/>
      <c r="T48" s="3419">
        <f>G48</f>
        <v>21000</v>
      </c>
      <c r="U48" s="3419"/>
      <c r="V48" s="3419">
        <f>I48</f>
        <v>25508</v>
      </c>
      <c r="W48" s="3419"/>
      <c r="X48" s="385"/>
      <c r="Y48" s="673"/>
      <c r="Z48" s="385"/>
      <c r="AA48" s="385"/>
      <c r="AB48" s="385"/>
      <c r="AC48" s="555"/>
    </row>
    <row r="49" spans="1:48" ht="15" thickBot="1">
      <c r="A49" s="423" t="s">
        <v>1793</v>
      </c>
      <c r="B49" s="424"/>
      <c r="C49" s="1082">
        <f>R50</f>
        <v>21593</v>
      </c>
      <c r="D49" s="2141" t="s">
        <v>2138</v>
      </c>
      <c r="E49" s="1083">
        <f>R49</f>
        <v>21692</v>
      </c>
      <c r="F49" s="2142"/>
      <c r="G49" s="1082">
        <f>T49</f>
        <v>20460</v>
      </c>
      <c r="H49" s="2142"/>
      <c r="I49" s="1083">
        <f>V49</f>
        <v>22626</v>
      </c>
      <c r="J49" s="2142"/>
      <c r="K49" s="2144">
        <f>F49+H49+J49</f>
        <v>0</v>
      </c>
      <c r="L49" s="2492"/>
      <c r="M49" s="2485"/>
      <c r="N49" s="2485"/>
      <c r="O49" s="2485"/>
      <c r="P49" s="3402" t="str">
        <f>A49</f>
        <v>比较价值（元/平方米）</v>
      </c>
      <c r="Q49" s="3431"/>
      <c r="R49" s="3419">
        <f>IF(F1="售价",ROUND(PRODUCT(R48,AA7:AA47),0),ROUND(PRODUCT(R48,AA7:AA47),1))</f>
        <v>21692</v>
      </c>
      <c r="S49" s="3419"/>
      <c r="T49" s="3419">
        <f>IF(F1="售价",ROUND(PRODUCT(T48,AB7:AB47),0),ROUND(PRODUCT(T48,AB7:AB47),1))</f>
        <v>20460</v>
      </c>
      <c r="U49" s="3419"/>
      <c r="V49" s="3419">
        <f>IF(F1="售价",ROUND(PRODUCT(V48,AC7:AC47),0),ROUND(PRODUCT(V48,AC7:AC47),1))</f>
        <v>22626</v>
      </c>
      <c r="W49" s="3419"/>
      <c r="X49" s="385"/>
      <c r="Y49" s="385"/>
      <c r="Z49" s="385"/>
      <c r="AA49" s="385"/>
      <c r="AB49" s="385"/>
      <c r="AC49" s="555"/>
    </row>
    <row r="50" spans="1:48" ht="15" thickBot="1">
      <c r="A50" s="427" t="s">
        <v>1794</v>
      </c>
      <c r="B50" s="428"/>
      <c r="C50" s="351">
        <f>R50</f>
        <v>21593</v>
      </c>
      <c r="D50" s="351"/>
      <c r="E50" s="351"/>
      <c r="F50" s="351"/>
      <c r="G50" s="351"/>
      <c r="H50" s="351"/>
      <c r="I50" s="351"/>
      <c r="J50" s="429"/>
      <c r="K50" s="675"/>
      <c r="L50" s="2492"/>
      <c r="M50" s="2485"/>
      <c r="N50" s="2485"/>
      <c r="O50" s="2485"/>
      <c r="P50" s="3432" t="str">
        <f>A50</f>
        <v>估价对象XX用房的比较价值（楼面单价，元/平方米）</v>
      </c>
      <c r="Q50" s="3433"/>
      <c r="R50" s="3434">
        <f>IF(F1="售价",ROUND(IF(D49="简单平均",AVERAGE(R49:V49),R49*F49+T49*H49+V49*J49),0),ROUND(IF(D49="简单平均",AVERAGE(R49:V49),R49*F49+T49*H49+V49*J49),1))</f>
        <v>21593</v>
      </c>
      <c r="S50" s="3434"/>
      <c r="T50" s="3434"/>
      <c r="U50" s="3434"/>
      <c r="V50" s="3434"/>
      <c r="W50" s="3434"/>
      <c r="X50" s="1798"/>
      <c r="Y50" s="1798"/>
      <c r="Z50" s="1798"/>
      <c r="AA50" s="1798"/>
      <c r="AB50" s="1798"/>
      <c r="AC50" s="1799"/>
    </row>
    <row r="51" spans="1:48">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8">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8" ht="13.5" customHeight="1">
      <c r="A53" s="2485"/>
      <c r="B53" s="2485"/>
      <c r="C53" s="432" t="s">
        <v>1795</v>
      </c>
      <c r="D53" s="433"/>
      <c r="E53" s="434">
        <f>IF(E48&lt;E49,E49/E48-1,E48/E49-1)</f>
        <v>0.22810252627696848</v>
      </c>
      <c r="F53" s="435" t="str">
        <f>IF(OR(E53&gt;=0.3,E53&lt;=-0.3),"超过30%","")</f>
        <v/>
      </c>
      <c r="G53" s="434">
        <f>IF(G48&lt;G49,G49/G48-1,G48/G49-1)</f>
        <v>2.6392961876832821E-2</v>
      </c>
      <c r="H53" s="435" t="str">
        <f>IF(OR(G53&gt;=0.3,G53&lt;=-0.3),"超过30%","")</f>
        <v/>
      </c>
      <c r="I53" s="434">
        <f>IF(I48&lt;I49,I49/I48-1,I48/I49-1)</f>
        <v>0.12737558560947582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8" ht="13.5" customHeight="1">
      <c r="A54" s="2485"/>
      <c r="B54" s="2485"/>
      <c r="C54" s="432" t="s">
        <v>1796</v>
      </c>
      <c r="D54" s="436"/>
      <c r="E54" s="434">
        <f>IF(E49&lt;G49,G49/E49-1,E49/G49-1)</f>
        <v>6.021505376344094E-2</v>
      </c>
      <c r="F54" s="435" t="str">
        <f>IF(OR(E54&gt;=0.2,E54&lt;=-0.2),"超过20%","")</f>
        <v/>
      </c>
      <c r="G54" s="434">
        <f>IF(G49&lt;I49,I49/G49-1,G49/I49-1)</f>
        <v>0.10586510263929627</v>
      </c>
      <c r="H54" s="435" t="str">
        <f>IF(OR(G54&gt;=0.2,G54&lt;=-0.2),"超过20%","")</f>
        <v/>
      </c>
      <c r="I54" s="434">
        <f>IF(I49&lt;E49,E49/I49-1,I49/E49-1)</f>
        <v>4.3057348331182022E-2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48" s="437" customFormat="1" ht="13.5" customHeight="1">
      <c r="A55" s="2495"/>
      <c r="B55" s="2495"/>
      <c r="C55" s="432" t="s">
        <v>1797</v>
      </c>
      <c r="D55" s="436"/>
      <c r="E55" s="434">
        <f>IF(E48&lt;G48,G48/E48-1,E48/G48-1)</f>
        <v>0.26857142857142846</v>
      </c>
      <c r="F55" s="435" t="str">
        <f>IF(OR(E55&gt;=0.3,E55&lt;=-0.3),"超过30%","")</f>
        <v/>
      </c>
      <c r="G55" s="434">
        <f>IF(G48&lt;I48,I48/G48-1,G48/I48-1)</f>
        <v>0.21466666666666656</v>
      </c>
      <c r="H55" s="435" t="str">
        <f>IF(OR(G55&gt;=0.3,G55&lt;=-0.3),"超过30%","")</f>
        <v/>
      </c>
      <c r="I55" s="434">
        <f>IF(I48&lt;E48,E48/I48-1,I48/E48-1)</f>
        <v>4.4378234279441653E-2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8"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8">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8"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73">
        <f t="shared" ref="P59" si="17">EDATE(O59,-1)</f>
        <v>45383</v>
      </c>
      <c r="Q59" s="3173">
        <f t="shared" ref="Q59" si="18">EDATE(P59,-1)</f>
        <v>45352</v>
      </c>
      <c r="R59" s="3173">
        <f t="shared" ref="R59" si="19">EDATE(Q59,-1)</f>
        <v>45323</v>
      </c>
      <c r="S59" s="3173">
        <f t="shared" ref="S59" si="20">EDATE(R59,-1)</f>
        <v>45292</v>
      </c>
      <c r="T59" s="3173">
        <f t="shared" ref="T59" si="21">EDATE(S59,-1)</f>
        <v>45261</v>
      </c>
      <c r="U59" s="3173">
        <f t="shared" ref="U59" si="22">EDATE(T59,-1)</f>
        <v>45231</v>
      </c>
      <c r="V59" s="3173">
        <f t="shared" ref="V59" si="23">EDATE(U59,-1)</f>
        <v>45200</v>
      </c>
      <c r="W59" s="3173">
        <f t="shared" ref="W59" si="24">EDATE(V59,-1)</f>
        <v>45170</v>
      </c>
      <c r="X59" s="3173">
        <f t="shared" ref="X59" si="25">EDATE(W59,-1)</f>
        <v>45139</v>
      </c>
      <c r="Y59" s="3173">
        <f t="shared" ref="Y59" si="26">EDATE(X59,-1)</f>
        <v>45108</v>
      </c>
      <c r="Z59" s="3173">
        <f t="shared" ref="Z59" si="27">EDATE(Y59,-1)</f>
        <v>45078</v>
      </c>
      <c r="AA59" s="3173">
        <f t="shared" ref="AA59" si="28">EDATE(Z59,-1)</f>
        <v>45047</v>
      </c>
      <c r="AB59" s="3173">
        <f t="shared" ref="AB59" si="29">EDATE(AA59,-1)</f>
        <v>45017</v>
      </c>
      <c r="AC59" s="3173">
        <f t="shared" ref="AC59" si="30">EDATE(AB59,-1)</f>
        <v>44986</v>
      </c>
      <c r="AD59" s="3173">
        <f t="shared" ref="AD59" si="31">EDATE(AC59,-1)</f>
        <v>44958</v>
      </c>
      <c r="AE59" s="3173">
        <f t="shared" ref="AE59" si="32">EDATE(AD59,-1)</f>
        <v>44927</v>
      </c>
      <c r="AF59" s="3173">
        <f t="shared" ref="AF59" si="33">EDATE(AE59,-1)</f>
        <v>44896</v>
      </c>
      <c r="AG59" s="3173">
        <f t="shared" ref="AG59" si="34">EDATE(AF59,-1)</f>
        <v>44866</v>
      </c>
      <c r="AH59" s="3173">
        <f t="shared" ref="AH59" si="35">EDATE(AG59,-1)</f>
        <v>44835</v>
      </c>
      <c r="AI59" s="3173">
        <f t="shared" ref="AI59" si="36">EDATE(AH59,-1)</f>
        <v>44805</v>
      </c>
      <c r="AJ59" s="3173">
        <f t="shared" ref="AJ59" si="37">EDATE(AI59,-1)</f>
        <v>44774</v>
      </c>
      <c r="AK59" s="3173">
        <f t="shared" ref="AK59" si="38">EDATE(AJ59,-1)</f>
        <v>44743</v>
      </c>
      <c r="AL59" s="3173">
        <f t="shared" ref="AL59" si="39">EDATE(AK59,-1)</f>
        <v>44713</v>
      </c>
      <c r="AM59" s="3173">
        <f t="shared" ref="AM59" si="40">EDATE(AL59,-1)</f>
        <v>44682</v>
      </c>
      <c r="AN59" s="3173">
        <f t="shared" ref="AN59" si="41">EDATE(AM59,-1)</f>
        <v>44652</v>
      </c>
      <c r="AO59" s="3173">
        <f t="shared" ref="AO59" si="42">EDATE(AN59,-1)</f>
        <v>44621</v>
      </c>
      <c r="AP59" s="3173">
        <f t="shared" ref="AP59" si="43">EDATE(AO59,-1)</f>
        <v>44593</v>
      </c>
      <c r="AQ59" s="3173">
        <f t="shared" ref="AQ59" si="44">EDATE(AP59,-1)</f>
        <v>44562</v>
      </c>
      <c r="AR59" s="3173">
        <f t="shared" ref="AR59" si="45">EDATE(AQ59,-1)</f>
        <v>44531</v>
      </c>
      <c r="AS59" s="3173">
        <f t="shared" ref="AS59" si="46">EDATE(AR59,-1)</f>
        <v>44501</v>
      </c>
      <c r="AT59" s="3173">
        <f t="shared" ref="AT59" si="47">EDATE(AS59,-1)</f>
        <v>44470</v>
      </c>
      <c r="AU59" s="3173">
        <f t="shared" ref="AU59" si="48">EDATE(AT59,-1)</f>
        <v>44440</v>
      </c>
      <c r="AV59" s="3173">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8" ht="14.4">
      <c r="A64" s="379" t="s">
        <v>1719</v>
      </c>
      <c r="B64" s="460" t="s">
        <v>1685</v>
      </c>
      <c r="C64" s="461" t="str">
        <f>C9</f>
        <v>研发</v>
      </c>
      <c r="D64" s="462" t="s">
        <v>21</v>
      </c>
      <c r="E64" s="3192" t="s">
        <v>3546</v>
      </c>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103</v>
      </c>
      <c r="E65" s="467">
        <v>97</v>
      </c>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3527</v>
      </c>
      <c r="D66" s="513" t="s">
        <v>3464</v>
      </c>
      <c r="E66" s="513" t="s">
        <v>3474</v>
      </c>
      <c r="F66" s="513" t="s">
        <v>3528</v>
      </c>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97</v>
      </c>
      <c r="E82" s="475">
        <f>D82-$K19</f>
        <v>94</v>
      </c>
      <c r="F82" s="475">
        <f>E82-$K19</f>
        <v>91</v>
      </c>
      <c r="G82" s="475">
        <f>F82-$K19</f>
        <v>88</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97</v>
      </c>
      <c r="E86" s="475">
        <f>D86-$K23</f>
        <v>94</v>
      </c>
      <c r="F86" s="475">
        <f>E86-$K23</f>
        <v>91</v>
      </c>
      <c r="G86" s="475">
        <f>F86-$K23</f>
        <v>88</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t="s">
        <v>3529</v>
      </c>
      <c r="D101" s="462" t="s">
        <v>3468</v>
      </c>
      <c r="E101" s="462" t="s">
        <v>3473</v>
      </c>
      <c r="F101" s="462" t="s">
        <v>3530</v>
      </c>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20000</v>
      </c>
      <c r="E104" s="6">
        <v>50000</v>
      </c>
      <c r="F104" s="6">
        <v>100000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99</v>
      </c>
      <c r="D105" s="467">
        <v>100</v>
      </c>
      <c r="E105" s="467">
        <v>99</v>
      </c>
      <c r="F105" s="467">
        <v>98</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t="str">
        <f>B45</f>
        <v>地下面积占比</v>
      </c>
      <c r="C127" s="485" t="s">
        <v>3472</v>
      </c>
      <c r="D127" s="485" t="s">
        <v>3531</v>
      </c>
      <c r="E127" s="485" t="s">
        <v>3475</v>
      </c>
      <c r="F127" s="485" t="s">
        <v>3477</v>
      </c>
      <c r="G127" s="485" t="s">
        <v>3532</v>
      </c>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34" zoomScale="70" zoomScaleNormal="70" zoomScaleSheetLayoutView="70" workbookViewId="0">
      <selection activeCell="K38" sqref="K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3534</v>
      </c>
      <c r="D1" s="1271" t="s">
        <v>43</v>
      </c>
      <c r="E1" s="1272" t="s">
        <v>678</v>
      </c>
      <c r="F1" s="999">
        <f ca="1">J53</f>
        <v>33.590000000000003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77506</v>
      </c>
      <c r="C2" s="1289" t="s">
        <v>805</v>
      </c>
      <c r="D2" s="1289"/>
      <c r="E2" s="1295"/>
      <c r="F2" s="1296"/>
      <c r="G2" s="2476"/>
      <c r="H2" s="2466"/>
      <c r="I2" s="2466"/>
      <c r="J2" s="2466"/>
      <c r="K2" s="2467"/>
      <c r="L2" s="2466"/>
      <c r="M2" s="2466"/>
    </row>
    <row r="3" spans="1:37" ht="18" customHeight="1" thickBot="1">
      <c r="A3" s="1297" t="s">
        <v>806</v>
      </c>
      <c r="B3" s="1298">
        <f ca="1">IF(ISERROR(B2*10000/F43),0,ROUND(B2*10000/F43,0))</f>
        <v>15275</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5006</v>
      </c>
      <c r="D5" s="1273" t="s">
        <v>693</v>
      </c>
      <c r="E5" s="1008"/>
      <c r="F5" s="1009"/>
      <c r="G5" s="1292"/>
      <c r="H5" s="291">
        <v>1</v>
      </c>
      <c r="I5" s="292" t="s">
        <v>692</v>
      </c>
      <c r="J5" s="1007">
        <f ca="1">J6+J10+J12</f>
        <v>0</v>
      </c>
      <c r="K5" s="1273" t="s">
        <v>693</v>
      </c>
      <c r="L5" s="1008"/>
      <c r="M5" s="1009"/>
    </row>
    <row r="6" spans="1:37" ht="18" customHeight="1">
      <c r="A6" s="1006" t="s">
        <v>398</v>
      </c>
      <c r="B6" s="3437" t="s">
        <v>694</v>
      </c>
      <c r="C6" s="1011">
        <f ca="1">ROUND(F6*F8*F7*(1-F9)/10000,0)</f>
        <v>5000</v>
      </c>
      <c r="D6" s="147" t="s">
        <v>2109</v>
      </c>
      <c r="E6" s="294" t="s">
        <v>696</v>
      </c>
      <c r="F6" s="295">
        <f ca="1">INDIRECT("'数据-取费表'!u"&amp;$G$1)</f>
        <v>3</v>
      </c>
      <c r="G6" s="1292"/>
      <c r="H6" s="1006" t="s">
        <v>398</v>
      </c>
      <c r="I6" s="3437" t="s">
        <v>694</v>
      </c>
      <c r="J6" s="293">
        <f ca="1">ROUND(M6*M8*M7*(1-M9)/10000,0)</f>
        <v>0</v>
      </c>
      <c r="K6" s="147" t="s">
        <v>2108</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50739.14</v>
      </c>
      <c r="G7" s="1292"/>
      <c r="H7" s="296"/>
      <c r="I7" s="3438"/>
      <c r="J7" s="298"/>
      <c r="K7" s="299"/>
      <c r="L7" s="294" t="s">
        <v>697</v>
      </c>
      <c r="M7" s="295">
        <f ca="1">F7</f>
        <v>50739.14</v>
      </c>
    </row>
    <row r="8" spans="1:37" ht="18" customHeight="1">
      <c r="A8" s="296"/>
      <c r="B8" s="3438"/>
      <c r="C8" s="298"/>
      <c r="D8" s="299"/>
      <c r="E8" s="294" t="s">
        <v>698</v>
      </c>
      <c r="F8" s="295">
        <f ca="1">INDIRECT("'数据-取费表'!ai"&amp;$G$1)</f>
        <v>365</v>
      </c>
      <c r="G8" s="1292"/>
      <c r="H8" s="296"/>
      <c r="I8" s="3438"/>
      <c r="J8" s="298"/>
      <c r="K8" s="299"/>
      <c r="L8" s="294" t="s">
        <v>698</v>
      </c>
      <c r="M8" s="295">
        <f ca="1">INDIRECT("'数据-取费表'!ai"&amp;$G$1)</f>
        <v>365</v>
      </c>
    </row>
    <row r="9" spans="1:37" ht="18" customHeight="1">
      <c r="A9" s="296"/>
      <c r="B9" s="3439"/>
      <c r="C9" s="298"/>
      <c r="D9" s="299"/>
      <c r="E9" s="294" t="s">
        <v>699</v>
      </c>
      <c r="F9" s="304">
        <f ca="1">INDIRECT("'数据-取费表'!w"&amp;$G$1)</f>
        <v>0.1</v>
      </c>
      <c r="G9" s="1292"/>
      <c r="H9" s="296"/>
      <c r="I9" s="3439"/>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3454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36545</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25514</v>
      </c>
      <c r="D14" s="1257" t="s">
        <v>708</v>
      </c>
      <c r="E14" s="1255"/>
      <c r="F14" s="311"/>
      <c r="G14" s="1292"/>
      <c r="H14" s="928" t="s">
        <v>398</v>
      </c>
      <c r="I14" s="294" t="s">
        <v>709</v>
      </c>
      <c r="J14" s="21">
        <f ca="1">C29</f>
        <v>37291</v>
      </c>
      <c r="K14" s="12"/>
      <c r="L14" s="759"/>
      <c r="M14" s="760"/>
    </row>
    <row r="15" spans="1:37" s="1304" customFormat="1" ht="18" customHeight="1" thickBot="1">
      <c r="A15" s="928" t="s">
        <v>399</v>
      </c>
      <c r="B15" s="294" t="s">
        <v>710</v>
      </c>
      <c r="C15" s="21">
        <f ca="1">ROUND(C14*F15,0)</f>
        <v>1276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152</v>
      </c>
      <c r="K16" s="1024" t="s">
        <v>715</v>
      </c>
      <c r="L16" s="1025"/>
      <c r="M16" s="1009"/>
    </row>
    <row r="17" spans="1:37" s="1304" customFormat="1" ht="18" customHeight="1">
      <c r="A17" s="928" t="s">
        <v>681</v>
      </c>
      <c r="B17" s="294" t="s">
        <v>716</v>
      </c>
      <c r="C17" s="21">
        <f ca="1">ROUND(F17*(F43+INDIRECT("'数据-取费表'!S"&amp;$G$1))/10000,0)</f>
        <v>1021</v>
      </c>
      <c r="D17" s="294" t="s">
        <v>717</v>
      </c>
      <c r="E17" s="294" t="s">
        <v>718</v>
      </c>
      <c r="F17" s="23">
        <f>'数据-取费表'!B35</f>
        <v>200</v>
      </c>
      <c r="G17" s="1303"/>
      <c r="H17" s="928" t="s">
        <v>398</v>
      </c>
      <c r="I17" s="294" t="s">
        <v>719</v>
      </c>
      <c r="J17" s="2140">
        <f ca="1">ROUND(IF(AND(项目基本情况!B11="自然人",项目基本情况!B10="北京市"),J6*M17/(1+'数据-取费表'!C42),J18+J19+J20),2)</f>
        <v>3.22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28321</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850</v>
      </c>
      <c r="D20" s="315" t="s">
        <v>729</v>
      </c>
      <c r="E20" s="294" t="s">
        <v>712</v>
      </c>
      <c r="F20" s="314">
        <f>'数据-取费表'!B37</f>
        <v>0.03</v>
      </c>
      <c r="G20" s="1303"/>
      <c r="H20" s="928" t="s">
        <v>680</v>
      </c>
      <c r="I20" s="147" t="s">
        <v>730</v>
      </c>
      <c r="J20" s="22">
        <f ca="1">ROUND(M20*M21/10000,2)</f>
        <v>3.22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10734.17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149.16</v>
      </c>
      <c r="K22" s="1256" t="s">
        <v>739</v>
      </c>
      <c r="L22" s="294" t="s">
        <v>712</v>
      </c>
      <c r="M22" s="320">
        <f ca="1">INDIRECT("'数据-取费表'!Ak"&amp;$G$1)</f>
        <v>4.0000000000000001E-3</v>
      </c>
    </row>
    <row r="23" spans="1:37" s="1304" customFormat="1" ht="18" customHeight="1">
      <c r="A23" s="928" t="s">
        <v>397</v>
      </c>
      <c r="B23" s="294" t="s">
        <v>740</v>
      </c>
      <c r="C23" s="21">
        <f ca="1">IF('数据-取费表'!B22&lt;=1,ROUND(C19*F24*F23/2,0)+ROUND(C20*F24*F23/2,0),ROUND(C19*(POWER((1+F24),F23/2)-1),0)+ROUND(C20*(POWER((1+F24),F23/2)-1),0))</f>
        <v>876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-152</v>
      </c>
      <c r="K25" s="1032" t="s">
        <v>753</v>
      </c>
      <c r="L25" s="1033"/>
      <c r="M25" s="1034"/>
    </row>
    <row r="26" spans="1:37">
      <c r="A26" s="928" t="s">
        <v>397</v>
      </c>
      <c r="B26" s="294" t="s">
        <v>754</v>
      </c>
      <c r="C26" s="21">
        <f ca="1">ROUND((C19+C20)*F26,0)</f>
        <v>4376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37291</v>
      </c>
      <c r="D29" s="1029"/>
      <c r="E29" s="1027"/>
      <c r="F29" s="1030"/>
      <c r="G29" s="1303"/>
      <c r="H29" s="325" t="s">
        <v>396</v>
      </c>
      <c r="I29" s="326" t="s">
        <v>768</v>
      </c>
      <c r="J29" s="327">
        <f ca="1">ROUND(J26/(1+F40)^F41,0)</f>
        <v>0</v>
      </c>
      <c r="K29" s="328" t="s">
        <v>769</v>
      </c>
      <c r="L29" s="329"/>
      <c r="M29" s="330">
        <f ca="1">INDIRECT("'数据-取费表'!k"&amp;$G$1)</f>
        <v>50739.14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1077</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841.32</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266.67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571.42999999999995</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3.22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10734.17</v>
      </c>
      <c r="G35" s="1292"/>
      <c r="H35" s="2468"/>
      <c r="I35" s="1305"/>
      <c r="J35" s="1306"/>
      <c r="K35" s="2472"/>
      <c r="L35" s="2471"/>
      <c r="M35" s="2471"/>
    </row>
    <row r="36" spans="1:18" ht="18" customHeight="1">
      <c r="A36" s="1039" t="s">
        <v>402</v>
      </c>
      <c r="B36" s="294" t="s">
        <v>738</v>
      </c>
      <c r="C36" s="21">
        <f ca="1">ROUND(C29*F36,2)</f>
        <v>149.16</v>
      </c>
      <c r="D36" s="1256" t="s">
        <v>771</v>
      </c>
      <c r="E36" s="294" t="s">
        <v>712</v>
      </c>
      <c r="F36" s="320">
        <f ca="1">INDIRECT("'数据-取费表'!Ak"&amp;$G$1)</f>
        <v>4.0000000000000001E-3</v>
      </c>
      <c r="G36" s="1292"/>
      <c r="H36" s="2471"/>
      <c r="I36" s="1305"/>
      <c r="J36" s="1306"/>
      <c r="K36" s="2329"/>
      <c r="L36" s="2471"/>
      <c r="M36" s="2471"/>
    </row>
    <row r="37" spans="1:18" ht="18" customHeight="1">
      <c r="A37" s="928" t="s">
        <v>437</v>
      </c>
      <c r="B37" s="294" t="s">
        <v>742</v>
      </c>
      <c r="C37" s="21">
        <f ca="1">ROUND(C13*F37,2)</f>
        <v>36.549999999999997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50.06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3929</v>
      </c>
      <c r="D39" s="1032" t="s">
        <v>773</v>
      </c>
      <c r="E39" s="1033"/>
      <c r="F39" s="1034"/>
      <c r="G39" s="1292"/>
      <c r="H39" s="2471"/>
      <c r="I39" s="1305"/>
      <c r="J39" s="1306"/>
      <c r="K39" s="2469"/>
      <c r="L39" s="2471"/>
      <c r="M39" s="2471"/>
    </row>
    <row r="40" spans="1:18" ht="18" customHeight="1">
      <c r="A40" s="291" t="s">
        <v>395</v>
      </c>
      <c r="B40" s="292" t="s">
        <v>774</v>
      </c>
      <c r="C40" s="293">
        <f ca="1">ROUND(C39*(1-((1+F42)/(1+F40))^F41)/(F40-F42),0)</f>
        <v>76113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33.590000000000003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15001</v>
      </c>
      <c r="D43" s="328" t="s">
        <v>777</v>
      </c>
      <c r="E43" s="329" t="s">
        <v>778</v>
      </c>
      <c r="F43" s="330">
        <f ca="1">INDIRECT("'数据-取费表'!k"&amp;$G$1)</f>
        <v>50739.14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-78980</v>
      </c>
      <c r="D46" s="1313" t="str">
        <f>C2</f>
        <v>万元</v>
      </c>
      <c r="E46" s="1307"/>
      <c r="F46" s="1307"/>
      <c r="I46" s="1314" t="s">
        <v>810</v>
      </c>
      <c r="J46" s="1315"/>
      <c r="K46" s="1316"/>
      <c r="L46" s="1317">
        <f ca="1">IF(M47="住宅",0,IF(L48&gt;J51,L60,J60))</f>
        <v>1393</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76113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33.590000000000003</v>
      </c>
      <c r="O48" s="1325" t="s">
        <v>404</v>
      </c>
      <c r="P48" s="1326" t="s">
        <v>821</v>
      </c>
      <c r="Q48" s="1327">
        <f ca="1">J60</f>
        <v>1393</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2024</v>
      </c>
      <c r="K49" s="1330" t="s">
        <v>824</v>
      </c>
      <c r="L49" s="1333"/>
      <c r="O49" s="1334" t="s">
        <v>405</v>
      </c>
      <c r="P49" s="1326" t="s">
        <v>825</v>
      </c>
      <c r="Q49" s="1327">
        <f ca="1">C29</f>
        <v>37291</v>
      </c>
      <c r="R49" s="1327" t="s">
        <v>818</v>
      </c>
    </row>
    <row r="50" spans="1:18" s="1292" customFormat="1" ht="13.8" thickBot="1">
      <c r="A50" s="922"/>
      <c r="B50" s="925"/>
      <c r="C50" s="1055"/>
      <c r="D50" s="899"/>
      <c r="E50" s="993" t="s">
        <v>697</v>
      </c>
      <c r="F50" s="994">
        <f ca="1">F7</f>
        <v>50739.14</v>
      </c>
      <c r="H50" s="682"/>
      <c r="I50" s="1328" t="s">
        <v>826</v>
      </c>
      <c r="J50" s="1335">
        <f>SUMPRODUCT((I63:I65=J47)*(J62:L62=J48)*(J63:L65))</f>
        <v>60</v>
      </c>
      <c r="K50" s="1330" t="s">
        <v>827</v>
      </c>
      <c r="L50" s="1333"/>
      <c r="M50" s="1336"/>
      <c r="O50" s="1334" t="s">
        <v>406</v>
      </c>
      <c r="P50" s="1326" t="s">
        <v>828</v>
      </c>
      <c r="Q50" s="1337">
        <f ca="1">J58</f>
        <v>0.42399999999999999</v>
      </c>
      <c r="R50" s="1327"/>
    </row>
    <row r="51" spans="1:18" s="1292" customFormat="1" ht="13.8"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25876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33.590000000000003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33.590000000000003</v>
      </c>
      <c r="K53" s="3435" t="s">
        <v>837</v>
      </c>
      <c r="L53" s="3436"/>
      <c r="O53" s="1325" t="s">
        <v>409</v>
      </c>
      <c r="P53" s="1326" t="s">
        <v>838</v>
      </c>
      <c r="Q53" s="1327">
        <f ca="1">Q47+Q48</f>
        <v>77506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36545</v>
      </c>
      <c r="D56" s="1352"/>
      <c r="E56" s="1353"/>
      <c r="F56" s="1345"/>
      <c r="I56" s="1354" t="s">
        <v>842</v>
      </c>
      <c r="J56" s="1355" t="s">
        <v>3457</v>
      </c>
      <c r="K56" s="1328" t="s">
        <v>843</v>
      </c>
      <c r="L56" s="1331" t="str">
        <f ca="1">IF(L48&lt;J51,"——",L48-J53)</f>
        <v>——</v>
      </c>
      <c r="O56" s="1325" t="s">
        <v>403</v>
      </c>
      <c r="P56" s="1326" t="s">
        <v>817</v>
      </c>
      <c r="Q56" s="1327">
        <f ca="1">C40+J29</f>
        <v>76113</v>
      </c>
      <c r="R56" s="1327" t="s">
        <v>818</v>
      </c>
    </row>
    <row r="57" spans="1:18" s="1292" customFormat="1" ht="24.6" thickBot="1">
      <c r="A57" s="1356"/>
      <c r="B57" s="896" t="s">
        <v>767</v>
      </c>
      <c r="C57" s="230">
        <f ca="1">C29</f>
        <v>37291</v>
      </c>
      <c r="D57" s="1357"/>
      <c r="E57" s="1358"/>
      <c r="F57" s="1359"/>
      <c r="I57" s="1360" t="s">
        <v>844</v>
      </c>
      <c r="J57" s="1361">
        <f ca="1">IF(OR(M47="住宅",J51&lt;L48,J56="是"),"——",J51-L48)</f>
        <v>25.409999999999997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189</v>
      </c>
      <c r="D58" s="906" t="s">
        <v>715</v>
      </c>
      <c r="E58" s="907"/>
      <c r="F58" s="908"/>
      <c r="I58" s="1360" t="s">
        <v>848</v>
      </c>
      <c r="J58" s="1362">
        <f ca="1">IF(J55&lt;0.4,0.4,J55)</f>
        <v>0.42399999999999999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1393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3.22</v>
      </c>
      <c r="D62" s="911" t="s">
        <v>786</v>
      </c>
      <c r="E62" s="896" t="s">
        <v>787</v>
      </c>
      <c r="F62" s="317">
        <f t="shared" si="0"/>
        <v>3</v>
      </c>
      <c r="I62" s="1367" t="s">
        <v>858</v>
      </c>
      <c r="J62" s="610" t="s">
        <v>859</v>
      </c>
      <c r="K62" s="610" t="s">
        <v>860</v>
      </c>
      <c r="L62" s="610" t="s">
        <v>861</v>
      </c>
      <c r="M62" s="1368" t="s">
        <v>862</v>
      </c>
      <c r="O62" s="1325" t="s">
        <v>409</v>
      </c>
      <c r="P62" s="1326" t="s">
        <v>863</v>
      </c>
      <c r="Q62" s="1327">
        <f ca="1">Q56+Q57</f>
        <v>76113</v>
      </c>
      <c r="R62" s="1327" t="s">
        <v>410</v>
      </c>
    </row>
    <row r="63" spans="1:18" s="1292" customFormat="1" ht="13.8" thickBot="1">
      <c r="A63" s="318"/>
      <c r="B63" s="902"/>
      <c r="C63" s="26"/>
      <c r="D63" s="912"/>
      <c r="E63" s="896" t="s">
        <v>788</v>
      </c>
      <c r="F63" s="295">
        <f t="shared" ca="1" si="0"/>
        <v>10734.17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149.16</v>
      </c>
      <c r="D64" s="910" t="s">
        <v>791</v>
      </c>
      <c r="E64" s="896" t="s">
        <v>783</v>
      </c>
      <c r="F64" s="320">
        <f t="shared" ca="1" si="0"/>
        <v>4.0000000000000001E-3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36.549999999999997</v>
      </c>
      <c r="D65" s="910" t="s">
        <v>743</v>
      </c>
      <c r="E65" s="896" t="s">
        <v>744</v>
      </c>
      <c r="F65" s="321">
        <f t="shared" ca="1" si="0"/>
        <v>1E-3</v>
      </c>
      <c r="I65" s="1367" t="s">
        <v>867</v>
      </c>
      <c r="J65" s="610">
        <v>40</v>
      </c>
      <c r="K65" s="610">
        <v>30</v>
      </c>
      <c r="L65" s="610">
        <v>50</v>
      </c>
      <c r="M65" s="1369">
        <v>0.02</v>
      </c>
      <c r="O65" s="1325" t="s">
        <v>403</v>
      </c>
      <c r="P65" s="1326" t="s">
        <v>868</v>
      </c>
      <c r="Q65" s="1327">
        <f ca="1">C40+J29</f>
        <v>76113</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-189</v>
      </c>
      <c r="D67" s="909" t="s">
        <v>753</v>
      </c>
      <c r="E67" s="914"/>
      <c r="F67" s="915"/>
      <c r="O67" s="1334" t="s">
        <v>405</v>
      </c>
      <c r="P67" s="1326" t="s">
        <v>850</v>
      </c>
      <c r="Q67" s="1370">
        <f ca="1">L51</f>
        <v>25876</v>
      </c>
      <c r="R67" s="1327" t="s">
        <v>870</v>
      </c>
    </row>
    <row r="68" spans="1:18" s="1292" customFormat="1" ht="16.2" thickBot="1">
      <c r="A68" s="893" t="s">
        <v>395</v>
      </c>
      <c r="B68" s="894" t="s">
        <v>774</v>
      </c>
      <c r="C68" s="293">
        <f ca="1">ROUND(C67*(1-((1+F70)/(1+F68))^F69)/(F68-F70),0)</f>
        <v>-2867</v>
      </c>
      <c r="D68" s="911" t="s">
        <v>758</v>
      </c>
      <c r="E68" s="896" t="s">
        <v>759</v>
      </c>
      <c r="F68" s="304">
        <f ca="1">F40</f>
        <v>5.5E-2</v>
      </c>
      <c r="O68" s="1334" t="s">
        <v>406</v>
      </c>
      <c r="P68" s="1371" t="s">
        <v>871</v>
      </c>
      <c r="Q68" s="1327">
        <f ca="1">ROUND(Q69-Q70*Q71,0)</f>
        <v>1371</v>
      </c>
      <c r="R68" s="1327" t="s">
        <v>414</v>
      </c>
    </row>
    <row r="69" spans="1:18" s="1292" customFormat="1" ht="13.8" thickBot="1">
      <c r="A69" s="897"/>
      <c r="B69" s="898"/>
      <c r="C69" s="298"/>
      <c r="D69" s="916" t="s">
        <v>762</v>
      </c>
      <c r="E69" s="896" t="s">
        <v>763</v>
      </c>
      <c r="F69" s="324">
        <f ca="1">F41</f>
        <v>33.590000000000003</v>
      </c>
      <c r="O69" s="1334" t="s">
        <v>411</v>
      </c>
      <c r="P69" s="1371" t="s">
        <v>872</v>
      </c>
      <c r="Q69" s="1327">
        <f ca="1">C39</f>
        <v>3929</v>
      </c>
      <c r="R69" s="1327" t="s">
        <v>818</v>
      </c>
    </row>
    <row r="70" spans="1:18" s="1292" customFormat="1" ht="13.8" thickBot="1">
      <c r="A70" s="900"/>
      <c r="B70" s="901"/>
      <c r="C70" s="302"/>
      <c r="D70" s="912"/>
      <c r="E70" s="896" t="s">
        <v>766</v>
      </c>
      <c r="F70" s="991"/>
      <c r="O70" s="1334" t="s">
        <v>412</v>
      </c>
      <c r="P70" s="1371" t="s">
        <v>873</v>
      </c>
      <c r="Q70" s="1327">
        <f ca="1">C13</f>
        <v>36545</v>
      </c>
      <c r="R70" s="1327" t="s">
        <v>818</v>
      </c>
    </row>
    <row r="71" spans="1:18" s="1292" customFormat="1" ht="13.8" thickBot="1">
      <c r="A71" s="917" t="s">
        <v>396</v>
      </c>
      <c r="B71" s="918" t="s">
        <v>776</v>
      </c>
      <c r="C71" s="327">
        <f ca="1">ROUND(C68*10000/F71,0)</f>
        <v>-565</v>
      </c>
      <c r="D71" s="919" t="s">
        <v>777</v>
      </c>
      <c r="E71" s="920" t="s">
        <v>778</v>
      </c>
      <c r="F71" s="330">
        <f ca="1">F43</f>
        <v>50739.14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2558</v>
      </c>
      <c r="D75" s="1292"/>
      <c r="E75" s="1292"/>
      <c r="F75" s="1292"/>
      <c r="K75" s="1309"/>
      <c r="L75" s="1292"/>
      <c r="O75" s="1325" t="s">
        <v>409</v>
      </c>
      <c r="P75" s="1326" t="s">
        <v>838</v>
      </c>
      <c r="Q75" s="1327">
        <f ca="1">Q65+Q66</f>
        <v>76113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0.34899999999999998</v>
      </c>
    </row>
    <row r="80" spans="1:18">
      <c r="B80" s="331" t="s">
        <v>800</v>
      </c>
      <c r="C80" s="266">
        <f ca="1">ROUND(C75/C39,3)</f>
        <v>0.65100000000000002</v>
      </c>
    </row>
    <row r="81" spans="2:3">
      <c r="B81" s="262" t="s">
        <v>801</v>
      </c>
      <c r="C81" s="230"/>
    </row>
    <row r="82" spans="2:3">
      <c r="B82" s="265" t="s">
        <v>802</v>
      </c>
      <c r="C82" s="267">
        <f ca="1">1-C83</f>
        <v>0.52</v>
      </c>
    </row>
    <row r="83" spans="2:3">
      <c r="B83" s="265" t="s">
        <v>803</v>
      </c>
      <c r="C83" s="266">
        <f ca="1">ROUND(C13/C40,3)</f>
        <v>0.48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7" t="s">
        <v>694</v>
      </c>
      <c r="C6" s="1011">
        <f ca="1">ROUND(F6*F8*F7*(1-F9),0)</f>
        <v>0</v>
      </c>
      <c r="D6" s="147" t="s">
        <v>2106</v>
      </c>
      <c r="E6" s="294" t="s">
        <v>696</v>
      </c>
      <c r="F6" s="295">
        <f ca="1">INDIRECT("'数据-取费表'!u"&amp;$G$1)</f>
        <v>0</v>
      </c>
      <c r="G6" s="1292"/>
      <c r="H6" s="1006" t="s">
        <v>398</v>
      </c>
      <c r="I6" s="3437" t="s">
        <v>694</v>
      </c>
      <c r="J6" s="293">
        <f ca="1">ROUND(M6*M8*M7*(1-M9),0)</f>
        <v>0</v>
      </c>
      <c r="K6" s="1284" t="s">
        <v>2107</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0</v>
      </c>
      <c r="G7" s="1292"/>
      <c r="H7" s="296"/>
      <c r="I7" s="3438"/>
      <c r="J7" s="298"/>
      <c r="K7" s="299"/>
      <c r="L7" s="294" t="s">
        <v>697</v>
      </c>
      <c r="M7" s="295">
        <f ca="1">F7</f>
        <v>0</v>
      </c>
    </row>
    <row r="8" spans="1:37" ht="18" customHeight="1">
      <c r="A8" s="296"/>
      <c r="B8" s="3438"/>
      <c r="C8" s="298"/>
      <c r="D8" s="299"/>
      <c r="E8" s="294" t="s">
        <v>698</v>
      </c>
      <c r="F8" s="295">
        <f ca="1">INDIRECT("'数据-取费表'!ai"&amp;$G$1)</f>
        <v>0</v>
      </c>
      <c r="G8" s="1292"/>
      <c r="H8" s="296"/>
      <c r="I8" s="3438"/>
      <c r="J8" s="298"/>
      <c r="K8" s="299"/>
      <c r="L8" s="294" t="s">
        <v>698</v>
      </c>
      <c r="M8" s="295">
        <f ca="1">INDIRECT("'数据-取费表'!ai"&amp;$G$1)</f>
        <v>0</v>
      </c>
    </row>
    <row r="9" spans="1:37" ht="18" customHeight="1">
      <c r="A9" s="296"/>
      <c r="B9" s="3439"/>
      <c r="C9" s="298"/>
      <c r="D9" s="299"/>
      <c r="E9" s="294" t="s">
        <v>699</v>
      </c>
      <c r="F9" s="304">
        <f ca="1">INDIRECT("'数据-取费表'!w"&amp;$G$1)</f>
        <v>0</v>
      </c>
      <c r="G9" s="1292"/>
      <c r="H9" s="296"/>
      <c r="I9" s="34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#DIV/0!</v>
      </c>
      <c r="D45" s="3128"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33.590000000000003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5" t="s">
        <v>837</v>
      </c>
      <c r="L53" s="3436"/>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33.590000000000003</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440" t="s">
        <v>2313</v>
      </c>
      <c r="K2" s="3441"/>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442" t="s">
        <v>2323</v>
      </c>
      <c r="K3" s="3443"/>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442" t="s">
        <v>2325</v>
      </c>
      <c r="K4" s="3443"/>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444" t="s">
        <v>2329</v>
      </c>
      <c r="B6" s="3445"/>
      <c r="C6" s="3446"/>
      <c r="D6" s="2619"/>
      <c r="E6" s="2620"/>
      <c r="F6" s="2621"/>
      <c r="G6" s="2622"/>
      <c r="H6" s="2597"/>
      <c r="I6" s="2598"/>
      <c r="J6" s="3447">
        <v>1</v>
      </c>
      <c r="K6" s="3448"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447"/>
      <c r="K7" s="3449"/>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451" t="s">
        <v>2343</v>
      </c>
      <c r="C8" s="3452"/>
      <c r="D8" s="2638" t="s">
        <v>2344</v>
      </c>
      <c r="E8" s="2639" t="s">
        <v>2345</v>
      </c>
      <c r="F8" s="2640" t="s">
        <v>2346</v>
      </c>
      <c r="G8" s="2641"/>
      <c r="H8" s="2597"/>
      <c r="I8" s="2598"/>
      <c r="J8" s="3447"/>
      <c r="K8" s="3449"/>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451" t="s">
        <v>2349</v>
      </c>
      <c r="C9" s="3452"/>
      <c r="D9" s="2638">
        <f>ROUND(D6*E9,0)</f>
        <v>0</v>
      </c>
      <c r="E9" s="2642"/>
      <c r="F9" s="2643" t="s">
        <v>2350</v>
      </c>
      <c r="G9" s="2622"/>
      <c r="H9" s="2597"/>
      <c r="I9" s="2598"/>
      <c r="J9" s="3447"/>
      <c r="K9" s="3449"/>
      <c r="L9" s="2632" t="s">
        <v>2351</v>
      </c>
      <c r="M9" s="2633"/>
      <c r="N9" s="2609"/>
      <c r="O9" s="2634"/>
      <c r="P9" s="2634"/>
      <c r="Q9" s="2635">
        <v>365</v>
      </c>
      <c r="R9" s="2636">
        <f t="shared" si="0"/>
        <v>0</v>
      </c>
      <c r="S9" s="2590"/>
      <c r="T9" s="2590"/>
      <c r="U9" s="2590"/>
      <c r="V9" s="2598"/>
    </row>
    <row r="10" spans="1:22" s="2602" customFormat="1" ht="13.2" customHeight="1">
      <c r="A10" s="2637">
        <v>2</v>
      </c>
      <c r="B10" s="3451" t="s">
        <v>2352</v>
      </c>
      <c r="C10" s="3452"/>
      <c r="D10" s="2638">
        <f>ROUND(D6*E10,0)</f>
        <v>0</v>
      </c>
      <c r="E10" s="2642"/>
      <c r="F10" s="2643" t="s">
        <v>2353</v>
      </c>
      <c r="G10" s="2622"/>
      <c r="H10" s="2597"/>
      <c r="I10" s="2598"/>
      <c r="J10" s="3447"/>
      <c r="K10" s="3449"/>
      <c r="L10" s="2632" t="s">
        <v>2354</v>
      </c>
      <c r="M10" s="2633"/>
      <c r="N10" s="2609"/>
      <c r="O10" s="2634"/>
      <c r="P10" s="2634"/>
      <c r="Q10" s="2635">
        <v>365</v>
      </c>
      <c r="R10" s="2636">
        <f t="shared" si="0"/>
        <v>0</v>
      </c>
      <c r="S10" s="2590"/>
      <c r="T10" s="2590"/>
      <c r="U10" s="2590"/>
      <c r="V10" s="2598"/>
    </row>
    <row r="11" spans="1:22" s="2602" customFormat="1" ht="13.2" customHeight="1">
      <c r="A11" s="2637">
        <v>3</v>
      </c>
      <c r="B11" s="3451" t="s">
        <v>2355</v>
      </c>
      <c r="C11" s="3452"/>
      <c r="D11" s="2638">
        <f>D12+D14+D15+D16</f>
        <v>0</v>
      </c>
      <c r="E11" s="2644" t="e">
        <f>D11/D6</f>
        <v>#DIV/0!</v>
      </c>
      <c r="F11" s="2640"/>
      <c r="G11" s="2641"/>
      <c r="H11" s="2597"/>
      <c r="I11" s="2598"/>
      <c r="J11" s="3447"/>
      <c r="K11" s="3449"/>
      <c r="L11" s="2632" t="s">
        <v>2356</v>
      </c>
      <c r="M11" s="2633"/>
      <c r="N11" s="2609"/>
      <c r="O11" s="2634"/>
      <c r="P11" s="2634"/>
      <c r="Q11" s="2635">
        <v>365</v>
      </c>
      <c r="R11" s="2636">
        <f t="shared" si="0"/>
        <v>0</v>
      </c>
      <c r="S11" s="2590"/>
      <c r="T11" s="2590"/>
      <c r="U11" s="2590"/>
      <c r="V11" s="2598"/>
    </row>
    <row r="12" spans="1:22" s="2602" customFormat="1" ht="13.2" customHeight="1">
      <c r="A12" s="2645" t="s">
        <v>2357</v>
      </c>
      <c r="B12" s="3453" t="s">
        <v>2358</v>
      </c>
      <c r="C12" s="3454"/>
      <c r="D12" s="2646">
        <f>ROUND(D13*1.2%*(1-30%),0)</f>
        <v>0</v>
      </c>
      <c r="E12" s="2647">
        <v>1.2E-2</v>
      </c>
      <c r="F12" s="2640" t="s">
        <v>2359</v>
      </c>
      <c r="G12" s="2641"/>
      <c r="H12" s="2597"/>
      <c r="I12" s="2598"/>
      <c r="J12" s="3447"/>
      <c r="K12" s="3449"/>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447"/>
      <c r="K13" s="3449"/>
      <c r="L13" s="2632" t="s">
        <v>2362</v>
      </c>
      <c r="M13" s="2633"/>
      <c r="N13" s="2609"/>
      <c r="O13" s="2634"/>
      <c r="P13" s="2634"/>
      <c r="Q13" s="2635">
        <v>365</v>
      </c>
      <c r="R13" s="2636">
        <f t="shared" si="0"/>
        <v>0</v>
      </c>
      <c r="S13" s="2590"/>
      <c r="T13" s="2590"/>
      <c r="U13" s="2590"/>
      <c r="V13" s="2598"/>
    </row>
    <row r="14" spans="1:22" s="2602" customFormat="1" ht="13.2" customHeight="1">
      <c r="A14" s="2645" t="s">
        <v>2363</v>
      </c>
      <c r="B14" s="3453" t="s">
        <v>2364</v>
      </c>
      <c r="C14" s="3454"/>
      <c r="D14" s="2646">
        <f>ROUND(E14*B5/10000,0)</f>
        <v>0</v>
      </c>
      <c r="E14" s="2635"/>
      <c r="F14" s="2640" t="s">
        <v>2365</v>
      </c>
      <c r="G14" s="2641"/>
      <c r="H14" s="2597"/>
      <c r="I14" s="2598"/>
      <c r="J14" s="3447"/>
      <c r="K14" s="3450"/>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453" t="s">
        <v>2368</v>
      </c>
      <c r="C15" s="3454"/>
      <c r="D15" s="2646">
        <f>ROUND(D6*E15,0)</f>
        <v>0</v>
      </c>
      <c r="E15" s="2647">
        <v>5.5E-2</v>
      </c>
      <c r="F15" s="2640" t="s">
        <v>2369</v>
      </c>
      <c r="G15" s="2622"/>
      <c r="H15" s="2597"/>
      <c r="I15" s="2598"/>
      <c r="J15" s="3447">
        <v>2</v>
      </c>
      <c r="K15" s="3448"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453" t="s">
        <v>2377</v>
      </c>
      <c r="C16" s="3454"/>
      <c r="D16" s="2657">
        <f>D6*E16</f>
        <v>0</v>
      </c>
      <c r="E16" s="2658"/>
      <c r="F16" s="2643" t="s">
        <v>2378</v>
      </c>
      <c r="G16" s="2622"/>
      <c r="H16" s="2597"/>
      <c r="I16" s="2598"/>
      <c r="J16" s="3447"/>
      <c r="K16" s="3449"/>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455" t="s">
        <v>2380</v>
      </c>
      <c r="C17" s="3456"/>
      <c r="D17" s="2660">
        <f>ROUND(D6*E17,0)</f>
        <v>0</v>
      </c>
      <c r="E17" s="2661"/>
      <c r="F17" s="2662" t="s">
        <v>2381</v>
      </c>
      <c r="G17" s="2622"/>
      <c r="H17" s="2597"/>
      <c r="I17" s="2598"/>
      <c r="J17" s="3447"/>
      <c r="K17" s="3449"/>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447"/>
      <c r="K18" s="3449"/>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447"/>
      <c r="K19" s="3450"/>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47">
        <v>3</v>
      </c>
      <c r="K20" s="3448"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447"/>
      <c r="K21" s="3449"/>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447"/>
      <c r="K22" s="3449"/>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447"/>
      <c r="K23" s="3449"/>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447"/>
      <c r="K24" s="3450"/>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457">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45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440" t="s">
        <v>2313</v>
      </c>
      <c r="K32" s="3441"/>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442" t="s">
        <v>2323</v>
      </c>
      <c r="K33" s="3443"/>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442" t="s">
        <v>2325</v>
      </c>
      <c r="K34" s="3443"/>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447">
        <v>1</v>
      </c>
      <c r="K36" s="3448"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447"/>
      <c r="K37" s="3449"/>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47"/>
      <c r="K38" s="3449"/>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447"/>
      <c r="K39" s="3449"/>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447"/>
      <c r="K40" s="3450"/>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457">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45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77506</v>
      </c>
      <c r="C2" s="1729" t="s">
        <v>1651</v>
      </c>
      <c r="D2" s="1730" t="s">
        <v>1652</v>
      </c>
      <c r="E2" s="2391">
        <f>SUM(E6:E13)</f>
        <v>51026.26</v>
      </c>
      <c r="F2" s="2477"/>
      <c r="G2" s="459"/>
      <c r="H2" s="459"/>
      <c r="I2" s="459"/>
      <c r="J2" s="459"/>
      <c r="K2" s="459"/>
      <c r="L2" s="459"/>
      <c r="M2" s="459"/>
      <c r="N2" s="459"/>
      <c r="O2" s="459"/>
      <c r="P2" s="459"/>
      <c r="Q2" s="459"/>
      <c r="R2" s="459"/>
      <c r="S2" s="459"/>
    </row>
    <row r="3" spans="1:22" ht="15.6">
      <c r="A3" s="1728" t="s">
        <v>686</v>
      </c>
      <c r="B3" s="2385">
        <f ca="1">ROUND(B2*10000/E2,0)</f>
        <v>15189</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59" t="s">
        <v>1654</v>
      </c>
      <c r="C5" s="3460"/>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77506</v>
      </c>
      <c r="C6" s="1729" t="s">
        <v>1651</v>
      </c>
      <c r="D6" s="2477"/>
      <c r="E6" s="2390">
        <f>IF(OR(A6=0,F6="否"),0,'数据-取费表'!K6+'数据-取费表'!S6)</f>
        <v>51026.26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51026.259999999995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6" t="s">
        <v>1667</v>
      </c>
      <c r="D4" s="3407"/>
      <c r="E4" s="3408" t="s">
        <v>1668</v>
      </c>
      <c r="F4" s="3409"/>
      <c r="G4" s="3406" t="s">
        <v>1669</v>
      </c>
      <c r="H4" s="3407"/>
      <c r="I4" s="3406" t="s">
        <v>1670</v>
      </c>
      <c r="J4" s="3407"/>
      <c r="K4" s="1744" t="s">
        <v>1671</v>
      </c>
      <c r="L4" s="2484"/>
      <c r="M4" s="2485"/>
      <c r="N4" s="2485"/>
      <c r="O4" s="2485"/>
      <c r="P4" s="3464" t="s">
        <v>1672</v>
      </c>
      <c r="Q4" s="3465"/>
      <c r="R4" s="3462" t="s">
        <v>1668</v>
      </c>
      <c r="S4" s="3463"/>
      <c r="T4" s="3462" t="s">
        <v>1669</v>
      </c>
      <c r="U4" s="3463"/>
      <c r="V4" s="3419" t="s">
        <v>1670</v>
      </c>
      <c r="W4" s="3419"/>
      <c r="X4" s="1265"/>
      <c r="Y4" s="3462" t="s">
        <v>1672</v>
      </c>
      <c r="Z4" s="3463"/>
      <c r="AA4" s="3461" t="s">
        <v>1668</v>
      </c>
      <c r="AB4" s="3461" t="s">
        <v>1669</v>
      </c>
      <c r="AC4" s="3461" t="s">
        <v>1670</v>
      </c>
    </row>
    <row r="5" spans="1:29">
      <c r="A5" s="348"/>
      <c r="B5" s="349"/>
      <c r="C5" s="3396" t="s">
        <v>1673</v>
      </c>
      <c r="D5" s="3397"/>
      <c r="E5" s="3394" t="s">
        <v>1674</v>
      </c>
      <c r="F5" s="3395"/>
      <c r="G5" s="3396" t="s">
        <v>1675</v>
      </c>
      <c r="H5" s="3397"/>
      <c r="I5" s="3396" t="s">
        <v>1676</v>
      </c>
      <c r="J5" s="3397"/>
      <c r="K5" s="1745"/>
      <c r="L5" s="2484"/>
      <c r="M5" s="2485"/>
      <c r="N5" s="2485"/>
      <c r="O5" s="2485"/>
      <c r="P5" s="3466"/>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1745" t="s">
        <v>1678</v>
      </c>
      <c r="L6" s="2484"/>
      <c r="M6" s="2485"/>
      <c r="N6" s="2485"/>
      <c r="O6" s="2485"/>
      <c r="P6" s="3467"/>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8" t="s">
        <v>1680</v>
      </c>
      <c r="Q7" s="3421"/>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2"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2"/>
      <c r="Q11" s="530" t="str">
        <f t="shared" si="6"/>
        <v>容积率</v>
      </c>
      <c r="R11" s="664" t="s">
        <v>18</v>
      </c>
      <c r="S11" s="665" t="e">
        <f t="shared" si="0"/>
        <v>#N/A</v>
      </c>
      <c r="T11" s="664" t="s">
        <v>18</v>
      </c>
      <c r="U11" s="665" t="e">
        <f t="shared" si="1"/>
        <v>#N/A</v>
      </c>
      <c r="V11" s="664" t="s">
        <v>18</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2"/>
      <c r="Q12" s="530">
        <f t="shared" si="6"/>
        <v>111</v>
      </c>
      <c r="R12" s="664" t="s">
        <v>18</v>
      </c>
      <c r="S12" s="665">
        <f t="shared" si="0"/>
        <v>100</v>
      </c>
      <c r="T12" s="664" t="s">
        <v>18</v>
      </c>
      <c r="U12" s="665">
        <f t="shared" si="1"/>
        <v>100</v>
      </c>
      <c r="V12" s="664" t="s">
        <v>18</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2"/>
      <c r="Q13" s="530">
        <f t="shared" si="6"/>
        <v>111</v>
      </c>
      <c r="R13" s="664" t="s">
        <v>18</v>
      </c>
      <c r="S13" s="665">
        <f t="shared" si="0"/>
        <v>100</v>
      </c>
      <c r="T13" s="664" t="s">
        <v>18</v>
      </c>
      <c r="U13" s="665">
        <f t="shared" si="1"/>
        <v>100</v>
      </c>
      <c r="V13" s="664" t="s">
        <v>18</v>
      </c>
      <c r="W13" s="665">
        <f t="shared" si="2"/>
        <v>100</v>
      </c>
      <c r="X13" s="666"/>
      <c r="Y13" s="33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2"/>
      <c r="Q14" s="530">
        <f t="shared" si="6"/>
        <v>111</v>
      </c>
      <c r="R14" s="664" t="s">
        <v>18</v>
      </c>
      <c r="S14" s="665">
        <f t="shared" si="0"/>
        <v>100</v>
      </c>
      <c r="T14" s="664" t="s">
        <v>18</v>
      </c>
      <c r="U14" s="665">
        <f t="shared" si="1"/>
        <v>100</v>
      </c>
      <c r="V14" s="664" t="s">
        <v>18</v>
      </c>
      <c r="W14" s="665">
        <f t="shared" si="2"/>
        <v>100</v>
      </c>
      <c r="X14" s="666"/>
      <c r="Y14" s="335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2"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3"/>
      <c r="Q16" s="1263"/>
      <c r="R16" s="667"/>
      <c r="S16" s="668"/>
      <c r="T16" s="667"/>
      <c r="U16" s="668"/>
      <c r="V16" s="667"/>
      <c r="W16" s="668"/>
      <c r="X16" s="1265"/>
      <c r="Y16" s="3425"/>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3"/>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3"/>
      <c r="Q18" s="1263"/>
      <c r="R18" s="667"/>
      <c r="S18" s="668"/>
      <c r="T18" s="667"/>
      <c r="U18" s="668"/>
      <c r="V18" s="667"/>
      <c r="W18" s="668"/>
      <c r="X18" s="1265"/>
      <c r="Y18" s="342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3"/>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3"/>
      <c r="Q20" s="1263"/>
      <c r="R20" s="667"/>
      <c r="S20" s="668"/>
      <c r="T20" s="667"/>
      <c r="U20" s="668"/>
      <c r="V20" s="667"/>
      <c r="W20" s="668"/>
      <c r="X20" s="1265"/>
      <c r="Y20" s="342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3"/>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3"/>
      <c r="Q22" s="1263"/>
      <c r="R22" s="667"/>
      <c r="S22" s="668"/>
      <c r="T22" s="667"/>
      <c r="U22" s="668"/>
      <c r="V22" s="667"/>
      <c r="W22" s="668"/>
      <c r="X22" s="1265"/>
      <c r="Y22" s="3425"/>
      <c r="Z22" s="1264"/>
      <c r="AA22" s="1264">
        <v>1</v>
      </c>
      <c r="AB22" s="1264">
        <v>1</v>
      </c>
      <c r="AC22" s="1264">
        <v>1</v>
      </c>
    </row>
    <row r="23" spans="1:29" ht="82.8">
      <c r="A23" s="367"/>
      <c r="B23" s="390" t="s">
        <v>1261</v>
      </c>
      <c r="C23" s="1754"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3"/>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3"/>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3"/>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3"/>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3"/>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3"/>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3"/>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3"/>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1" t="str">
        <f>A47</f>
        <v>成交单价（元/平方米）</v>
      </c>
      <c r="Q47" s="3431"/>
      <c r="R47" s="3419">
        <f>E47</f>
        <v>0</v>
      </c>
      <c r="S47" s="3419"/>
      <c r="T47" s="3419">
        <f>G47</f>
        <v>0</v>
      </c>
      <c r="U47" s="3419"/>
      <c r="V47" s="3419">
        <f>I47</f>
        <v>0</v>
      </c>
      <c r="W47" s="341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1" t="str">
        <f>A48</f>
        <v>比较价值（元/平方米）</v>
      </c>
      <c r="Q48" s="3431"/>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51026.259999999995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6" t="s">
        <v>1770</v>
      </c>
      <c r="D4" s="3407"/>
      <c r="E4" s="3408" t="s">
        <v>1771</v>
      </c>
      <c r="F4" s="3409"/>
      <c r="G4" s="3406" t="s">
        <v>1772</v>
      </c>
      <c r="H4" s="3407"/>
      <c r="I4" s="3406" t="s">
        <v>1773</v>
      </c>
      <c r="J4" s="3407"/>
      <c r="K4" s="537" t="s">
        <v>1774</v>
      </c>
      <c r="L4" s="2484"/>
      <c r="M4" s="2485"/>
      <c r="N4" s="2485"/>
      <c r="O4" s="2485"/>
      <c r="P4" s="3464" t="s">
        <v>1775</v>
      </c>
      <c r="Q4" s="3465"/>
      <c r="R4" s="3462" t="s">
        <v>1771</v>
      </c>
      <c r="S4" s="3463"/>
      <c r="T4" s="3462" t="s">
        <v>1772</v>
      </c>
      <c r="U4" s="3463"/>
      <c r="V4" s="3419" t="s">
        <v>1773</v>
      </c>
      <c r="W4" s="3419"/>
      <c r="X4" s="1265"/>
      <c r="Y4" s="3462" t="s">
        <v>1775</v>
      </c>
      <c r="Z4" s="3463"/>
      <c r="AA4" s="3461" t="s">
        <v>1771</v>
      </c>
      <c r="AB4" s="3419" t="s">
        <v>1772</v>
      </c>
      <c r="AC4" s="3461" t="s">
        <v>1773</v>
      </c>
    </row>
    <row r="5" spans="1:29">
      <c r="A5" s="348"/>
      <c r="B5" s="349"/>
      <c r="C5" s="3396" t="s">
        <v>1673</v>
      </c>
      <c r="D5" s="3397"/>
      <c r="E5" s="3394" t="s">
        <v>1674</v>
      </c>
      <c r="F5" s="3395"/>
      <c r="G5" s="3396" t="s">
        <v>1675</v>
      </c>
      <c r="H5" s="3397"/>
      <c r="I5" s="3396" t="s">
        <v>1676</v>
      </c>
      <c r="J5" s="3397"/>
      <c r="K5" s="537"/>
      <c r="L5" s="2484"/>
      <c r="M5" s="2485"/>
      <c r="N5" s="2485"/>
      <c r="O5" s="2485"/>
      <c r="P5" s="3466"/>
      <c r="Q5" s="3413"/>
      <c r="R5" s="3392"/>
      <c r="S5" s="3393"/>
      <c r="T5" s="3392"/>
      <c r="U5" s="3393"/>
      <c r="V5" s="3419"/>
      <c r="W5" s="3419"/>
      <c r="X5" s="1265"/>
      <c r="Y5" s="3392"/>
      <c r="Z5" s="3393"/>
      <c r="AA5" s="3386"/>
      <c r="AB5" s="3419"/>
      <c r="AC5" s="3386"/>
    </row>
    <row r="6" spans="1:29" ht="15" thickBot="1">
      <c r="A6" s="350"/>
      <c r="B6" s="351"/>
      <c r="C6" s="3398" t="s">
        <v>1677</v>
      </c>
      <c r="D6" s="3399"/>
      <c r="E6" s="3400" t="s">
        <v>1677</v>
      </c>
      <c r="F6" s="3401"/>
      <c r="G6" s="3398" t="s">
        <v>1677</v>
      </c>
      <c r="H6" s="3399"/>
      <c r="I6" s="3398" t="s">
        <v>1677</v>
      </c>
      <c r="J6" s="3399"/>
      <c r="K6" s="537" t="s">
        <v>1678</v>
      </c>
      <c r="L6" s="2484"/>
      <c r="M6" s="2485"/>
      <c r="N6" s="2485"/>
      <c r="O6" s="2485"/>
      <c r="P6" s="3467"/>
      <c r="Q6" s="3415"/>
      <c r="R6" s="3392"/>
      <c r="S6" s="3393"/>
      <c r="T6" s="3416"/>
      <c r="U6" s="3417"/>
      <c r="V6" s="3419"/>
      <c r="W6" s="3419"/>
      <c r="X6" s="1265"/>
      <c r="Y6" s="3416"/>
      <c r="Z6" s="3417"/>
      <c r="AA6" s="3387"/>
      <c r="AB6" s="3419"/>
      <c r="AC6" s="3387"/>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8" t="s">
        <v>1683</v>
      </c>
      <c r="Q8" s="3389"/>
      <c r="R8" s="664" t="s">
        <v>14</v>
      </c>
      <c r="S8" s="665">
        <f t="shared" si="0"/>
        <v>100</v>
      </c>
      <c r="T8" s="664" t="s">
        <v>14</v>
      </c>
      <c r="U8" s="665">
        <f t="shared" si="1"/>
        <v>100</v>
      </c>
      <c r="V8" s="664" t="s">
        <v>14</v>
      </c>
      <c r="W8" s="665">
        <f t="shared" si="2"/>
        <v>100</v>
      </c>
      <c r="X8" s="666"/>
      <c r="Y8" s="3388" t="s">
        <v>1683</v>
      </c>
      <c r="Z8" s="338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2"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2"/>
      <c r="Q11" s="530" t="str">
        <f t="shared" si="6"/>
        <v>容积率</v>
      </c>
      <c r="R11" s="664" t="s">
        <v>14</v>
      </c>
      <c r="S11" s="665" t="e">
        <f t="shared" si="0"/>
        <v>#N/A</v>
      </c>
      <c r="T11" s="664" t="s">
        <v>14</v>
      </c>
      <c r="U11" s="665" t="e">
        <f t="shared" si="1"/>
        <v>#N/A</v>
      </c>
      <c r="V11" s="664" t="s">
        <v>14</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2"/>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2"/>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2"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3"/>
      <c r="Q16" s="1263"/>
      <c r="R16" s="667"/>
      <c r="S16" s="668"/>
      <c r="T16" s="667"/>
      <c r="U16" s="668"/>
      <c r="V16" s="667"/>
      <c r="W16" s="668"/>
      <c r="X16" s="1265"/>
      <c r="Y16" s="3425"/>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3"/>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3"/>
      <c r="Q18" s="1263"/>
      <c r="R18" s="667"/>
      <c r="S18" s="668"/>
      <c r="T18" s="667"/>
      <c r="U18" s="668"/>
      <c r="V18" s="667"/>
      <c r="W18" s="668"/>
      <c r="X18" s="1265"/>
      <c r="Y18" s="342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3"/>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3"/>
      <c r="Q20" s="1263"/>
      <c r="R20" s="667"/>
      <c r="S20" s="668"/>
      <c r="T20" s="667"/>
      <c r="U20" s="668"/>
      <c r="V20" s="667"/>
      <c r="W20" s="668"/>
      <c r="X20" s="1265"/>
      <c r="Y20" s="342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3"/>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3"/>
      <c r="Q22" s="1263"/>
      <c r="R22" s="667"/>
      <c r="S22" s="668"/>
      <c r="T22" s="667"/>
      <c r="U22" s="668"/>
      <c r="V22" s="667"/>
      <c r="W22" s="668"/>
      <c r="X22" s="1265"/>
      <c r="Y22" s="3425"/>
      <c r="Z22" s="1264"/>
      <c r="AA22" s="1264">
        <v>1</v>
      </c>
      <c r="AB22" s="1264">
        <v>1</v>
      </c>
      <c r="AC22" s="1264">
        <v>1</v>
      </c>
    </row>
    <row r="23" spans="1:29" ht="82.8">
      <c r="A23" s="367"/>
      <c r="B23" s="390" t="s">
        <v>1261</v>
      </c>
      <c r="C23" s="1806"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3"/>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3"/>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3"/>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3"/>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3"/>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3"/>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3"/>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3"/>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1" t="str">
        <f>A47</f>
        <v>成交单价（元/平方米）</v>
      </c>
      <c r="Q47" s="3431"/>
      <c r="R47" s="3419">
        <f>E47</f>
        <v>0</v>
      </c>
      <c r="S47" s="3419"/>
      <c r="T47" s="3419">
        <f>G47</f>
        <v>0</v>
      </c>
      <c r="U47" s="3419"/>
      <c r="V47" s="3419">
        <f>I47</f>
        <v>0</v>
      </c>
      <c r="W47" s="341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1" t="str">
        <f>A48</f>
        <v>比较价值（元/平方米）</v>
      </c>
      <c r="Q48" s="3431"/>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51026.259999999995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64" t="s">
        <v>1775</v>
      </c>
      <c r="Q4" s="3465"/>
      <c r="R4" s="3462" t="s">
        <v>1771</v>
      </c>
      <c r="S4" s="3463"/>
      <c r="T4" s="3462" t="s">
        <v>1772</v>
      </c>
      <c r="U4" s="3463"/>
      <c r="V4" s="3419" t="s">
        <v>1773</v>
      </c>
      <c r="W4" s="3419"/>
      <c r="X4" s="1265"/>
      <c r="Y4" s="3462" t="s">
        <v>1775</v>
      </c>
      <c r="Z4" s="3463"/>
      <c r="AA4" s="3461" t="s">
        <v>1771</v>
      </c>
      <c r="AB4" s="3386" t="s">
        <v>1772</v>
      </c>
      <c r="AC4" s="3461" t="s">
        <v>1773</v>
      </c>
    </row>
    <row r="5" spans="1:29">
      <c r="A5" s="348"/>
      <c r="B5" s="349"/>
      <c r="C5" s="3396" t="s">
        <v>1673</v>
      </c>
      <c r="D5" s="3397"/>
      <c r="E5" s="3394" t="s">
        <v>1674</v>
      </c>
      <c r="F5" s="3395"/>
      <c r="G5" s="3396" t="s">
        <v>1675</v>
      </c>
      <c r="H5" s="3397"/>
      <c r="I5" s="3396" t="s">
        <v>1676</v>
      </c>
      <c r="J5" s="3397"/>
      <c r="K5" s="537"/>
      <c r="L5" s="860"/>
      <c r="M5" s="861"/>
      <c r="N5" s="861"/>
      <c r="O5" s="861"/>
      <c r="P5" s="3466"/>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860"/>
      <c r="M6" s="861"/>
      <c r="N6" s="861"/>
      <c r="O6" s="861"/>
      <c r="P6" s="3467"/>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1"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1" t="str">
        <f>A41</f>
        <v>成交单价（元/平方米）</v>
      </c>
      <c r="Q41" s="3431"/>
      <c r="R41" s="3419">
        <f>E41</f>
        <v>0</v>
      </c>
      <c r="S41" s="3419"/>
      <c r="T41" s="3419">
        <f>G41</f>
        <v>0</v>
      </c>
      <c r="U41" s="3419"/>
      <c r="V41" s="3419">
        <f>I41</f>
        <v>0</v>
      </c>
      <c r="W41" s="341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受贵公司委托，我公司对北京市朝阳区朝运街40号院1-3号楼房地产抵押价值进行了预评估。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估价对象为北京市朝阳区朝运街40号院1-3号楼房地产，为所有。根据《国有土地使用证》[]，估价对象（分摊）出让国有建设用地使用权面积为10734.17平方米，建筑面积为51026.26平方米。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51026.26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4"/>
      <c r="M4" s="2485"/>
      <c r="N4" s="2485"/>
      <c r="O4" s="2485"/>
      <c r="P4" s="3464" t="s">
        <v>1775</v>
      </c>
      <c r="Q4" s="3465"/>
      <c r="R4" s="3462" t="s">
        <v>1771</v>
      </c>
      <c r="S4" s="3463"/>
      <c r="T4" s="3462" t="s">
        <v>1772</v>
      </c>
      <c r="U4" s="3463"/>
      <c r="V4" s="3419" t="s">
        <v>1773</v>
      </c>
      <c r="W4" s="3419"/>
      <c r="X4" s="1265"/>
      <c r="Y4" s="3462" t="s">
        <v>1775</v>
      </c>
      <c r="Z4" s="3463"/>
      <c r="AA4" s="3461" t="s">
        <v>1771</v>
      </c>
      <c r="AB4" s="3386" t="s">
        <v>1772</v>
      </c>
      <c r="AC4" s="3461" t="s">
        <v>1773</v>
      </c>
    </row>
    <row r="5" spans="1:29">
      <c r="A5" s="348"/>
      <c r="B5" s="349"/>
      <c r="C5" s="3396" t="s">
        <v>1673</v>
      </c>
      <c r="D5" s="3397"/>
      <c r="E5" s="3394" t="s">
        <v>1674</v>
      </c>
      <c r="F5" s="3395"/>
      <c r="G5" s="3396" t="s">
        <v>1675</v>
      </c>
      <c r="H5" s="3397"/>
      <c r="I5" s="3396" t="s">
        <v>1676</v>
      </c>
      <c r="J5" s="3397"/>
      <c r="K5" s="537"/>
      <c r="L5" s="2484"/>
      <c r="M5" s="2485"/>
      <c r="N5" s="2485"/>
      <c r="O5" s="2485"/>
      <c r="P5" s="3466"/>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4"/>
      <c r="M6" s="2485"/>
      <c r="N6" s="2485"/>
      <c r="O6" s="2485"/>
      <c r="P6" s="3467"/>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8" t="s">
        <v>1680</v>
      </c>
      <c r="Q7" s="3421"/>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1" t="s">
        <v>1686</v>
      </c>
      <c r="Q9" s="530" t="str">
        <f t="shared" ref="Q9:Q14" si="6">B9</f>
        <v>用途</v>
      </c>
      <c r="R9" s="664" t="s">
        <v>14</v>
      </c>
      <c r="S9" s="665">
        <f t="shared" si="0"/>
        <v>100</v>
      </c>
      <c r="T9" s="664" t="s">
        <v>14</v>
      </c>
      <c r="U9" s="665">
        <f t="shared" si="1"/>
        <v>100</v>
      </c>
      <c r="V9" s="664" t="s">
        <v>14</v>
      </c>
      <c r="W9" s="665">
        <f t="shared" si="2"/>
        <v>100</v>
      </c>
      <c r="X9" s="666"/>
      <c r="Y9" s="335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1"/>
      <c r="Q11" s="530">
        <f t="shared" si="6"/>
        <v>111</v>
      </c>
      <c r="R11" s="664" t="s">
        <v>14</v>
      </c>
      <c r="S11" s="665">
        <f t="shared" si="0"/>
        <v>100</v>
      </c>
      <c r="T11" s="664" t="s">
        <v>14</v>
      </c>
      <c r="U11" s="665">
        <f t="shared" si="1"/>
        <v>100</v>
      </c>
      <c r="V11" s="664" t="s">
        <v>14</v>
      </c>
      <c r="W11" s="665">
        <f t="shared" si="2"/>
        <v>100</v>
      </c>
      <c r="X11" s="666"/>
      <c r="Y11" s="33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24.2">
      <c r="A14" s="345" t="s">
        <v>1690</v>
      </c>
      <c r="B14" s="554"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5"/>
      <c r="Q15" s="1263"/>
      <c r="R15" s="667"/>
      <c r="S15" s="668"/>
      <c r="T15" s="667"/>
      <c r="U15" s="668"/>
      <c r="V15" s="667"/>
      <c r="W15" s="668"/>
      <c r="X15" s="1265"/>
      <c r="Y15" s="342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5"/>
      <c r="Q17" s="1263"/>
      <c r="R17" s="667"/>
      <c r="S17" s="668"/>
      <c r="T17" s="667"/>
      <c r="U17" s="668"/>
      <c r="V17" s="667"/>
      <c r="W17" s="668"/>
      <c r="X17" s="1265"/>
      <c r="Y17" s="342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5"/>
      <c r="Q19" s="1263"/>
      <c r="R19" s="667"/>
      <c r="S19" s="668"/>
      <c r="T19" s="667"/>
      <c r="U19" s="668"/>
      <c r="V19" s="667"/>
      <c r="W19" s="668"/>
      <c r="X19" s="1265"/>
      <c r="Y19" s="3425"/>
      <c r="Z19" s="1264"/>
      <c r="AA19" s="1264">
        <v>1</v>
      </c>
      <c r="AB19" s="1264">
        <v>1</v>
      </c>
      <c r="AC19" s="1264">
        <v>1</v>
      </c>
    </row>
    <row r="20" spans="1:29" ht="96.6">
      <c r="A20" s="348"/>
      <c r="B20" s="556" t="s">
        <v>1834</v>
      </c>
      <c r="C20" s="1754"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431" t="str">
        <f>A37</f>
        <v>成交单价</v>
      </c>
      <c r="Q37" s="3431"/>
      <c r="R37" s="3419">
        <f>E37</f>
        <v>0</v>
      </c>
      <c r="S37" s="3419"/>
      <c r="T37" s="3419">
        <f>G37</f>
        <v>0</v>
      </c>
      <c r="U37" s="3419"/>
      <c r="V37" s="3419">
        <f>I37</f>
        <v>0</v>
      </c>
      <c r="W37" s="341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1" t="str">
        <f>A38</f>
        <v>比较价值（元/平方米）</v>
      </c>
      <c r="Q38" s="3431"/>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68" t="str">
        <f>A39</f>
        <v>估价对象XX用房的比较价值（楼面单价，元/平方米）</v>
      </c>
      <c r="Q39" s="3469"/>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4"/>
      <c r="M4" s="2485"/>
      <c r="N4" s="2485"/>
      <c r="O4" s="2485"/>
      <c r="P4" s="3464" t="s">
        <v>1775</v>
      </c>
      <c r="Q4" s="3465"/>
      <c r="R4" s="3462" t="s">
        <v>1771</v>
      </c>
      <c r="S4" s="3463"/>
      <c r="T4" s="3462" t="s">
        <v>1772</v>
      </c>
      <c r="U4" s="3463"/>
      <c r="V4" s="3419" t="s">
        <v>1773</v>
      </c>
      <c r="W4" s="3419"/>
      <c r="X4" s="1265"/>
      <c r="Y4" s="3462" t="s">
        <v>1775</v>
      </c>
      <c r="Z4" s="3463"/>
      <c r="AA4" s="3461" t="s">
        <v>1771</v>
      </c>
      <c r="AB4" s="3386" t="s">
        <v>1772</v>
      </c>
      <c r="AC4" s="3461" t="s">
        <v>1773</v>
      </c>
    </row>
    <row r="5" spans="1:29">
      <c r="A5" s="348"/>
      <c r="B5" s="349"/>
      <c r="C5" s="3396" t="s">
        <v>1673</v>
      </c>
      <c r="D5" s="3397"/>
      <c r="E5" s="3394" t="s">
        <v>1674</v>
      </c>
      <c r="F5" s="3395"/>
      <c r="G5" s="3396" t="s">
        <v>1675</v>
      </c>
      <c r="H5" s="3397"/>
      <c r="I5" s="3396" t="s">
        <v>1676</v>
      </c>
      <c r="J5" s="3397"/>
      <c r="K5" s="537"/>
      <c r="L5" s="2484"/>
      <c r="M5" s="2485"/>
      <c r="N5" s="2485"/>
      <c r="O5" s="2485"/>
      <c r="P5" s="3466"/>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4"/>
      <c r="M6" s="2485"/>
      <c r="N6" s="2485"/>
      <c r="O6" s="2485"/>
      <c r="P6" s="3467"/>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45799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8" t="s">
        <v>1680</v>
      </c>
      <c r="Q7" s="3421"/>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1" t="s">
        <v>1686</v>
      </c>
      <c r="Q9" s="530" t="str">
        <f t="shared" ref="Q9:Q14" si="6">B9</f>
        <v>用途</v>
      </c>
      <c r="R9" s="664" t="s">
        <v>14</v>
      </c>
      <c r="S9" s="665">
        <f t="shared" si="0"/>
        <v>100</v>
      </c>
      <c r="T9" s="664" t="s">
        <v>14</v>
      </c>
      <c r="U9" s="665">
        <f t="shared" si="1"/>
        <v>100</v>
      </c>
      <c r="V9" s="664" t="s">
        <v>14</v>
      </c>
      <c r="W9" s="665">
        <f t="shared" si="2"/>
        <v>100</v>
      </c>
      <c r="X9" s="666"/>
      <c r="Y9" s="335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1"/>
      <c r="Q10" s="530" t="str">
        <f t="shared" si="6"/>
        <v>土地使用年限（年）</v>
      </c>
      <c r="R10" s="664" t="s">
        <v>14</v>
      </c>
      <c r="S10" s="665">
        <f t="shared" si="0"/>
        <v>100</v>
      </c>
      <c r="T10" s="664" t="s">
        <v>14</v>
      </c>
      <c r="U10" s="665">
        <f t="shared" si="1"/>
        <v>100</v>
      </c>
      <c r="V10" s="664" t="s">
        <v>14</v>
      </c>
      <c r="W10" s="665">
        <f t="shared" si="2"/>
        <v>100</v>
      </c>
      <c r="X10" s="666"/>
      <c r="Y10" s="33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1"/>
      <c r="Q11" s="530">
        <f t="shared" si="6"/>
        <v>111</v>
      </c>
      <c r="R11" s="664" t="s">
        <v>14</v>
      </c>
      <c r="S11" s="665">
        <f t="shared" si="0"/>
        <v>100</v>
      </c>
      <c r="T11" s="664" t="s">
        <v>14</v>
      </c>
      <c r="U11" s="665">
        <f t="shared" si="1"/>
        <v>100</v>
      </c>
      <c r="V11" s="664" t="s">
        <v>14</v>
      </c>
      <c r="W11" s="665">
        <f t="shared" si="2"/>
        <v>100</v>
      </c>
      <c r="X11" s="666"/>
      <c r="Y11" s="33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1"/>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24.2">
      <c r="A14" s="379" t="s">
        <v>1690</v>
      </c>
      <c r="B14" s="58"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5"/>
      <c r="Q15" s="1263"/>
      <c r="R15" s="667"/>
      <c r="S15" s="668"/>
      <c r="T15" s="667"/>
      <c r="U15" s="668"/>
      <c r="V15" s="667"/>
      <c r="W15" s="668"/>
      <c r="X15" s="1265"/>
      <c r="Y15" s="342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5"/>
      <c r="Q17" s="1263"/>
      <c r="R17" s="667"/>
      <c r="S17" s="668"/>
      <c r="T17" s="667"/>
      <c r="U17" s="668"/>
      <c r="V17" s="667"/>
      <c r="W17" s="668"/>
      <c r="X17" s="1265"/>
      <c r="Y17" s="342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5"/>
      <c r="Q19" s="1263"/>
      <c r="R19" s="667"/>
      <c r="S19" s="668"/>
      <c r="T19" s="667"/>
      <c r="U19" s="668"/>
      <c r="V19" s="667"/>
      <c r="W19" s="668"/>
      <c r="X19" s="1265"/>
      <c r="Y19" s="3425"/>
      <c r="Z19" s="1264"/>
      <c r="AA19" s="1264">
        <v>1</v>
      </c>
      <c r="AB19" s="1264">
        <v>1</v>
      </c>
      <c r="AC19" s="1264">
        <v>1</v>
      </c>
    </row>
    <row r="20" spans="1:29" ht="96.6">
      <c r="A20" s="367"/>
      <c r="B20" s="390" t="s">
        <v>1834</v>
      </c>
      <c r="C20" s="1754"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1" t="str">
        <f>A35</f>
        <v>成交单价（元/平方米）</v>
      </c>
      <c r="Q35" s="3431"/>
      <c r="R35" s="3419">
        <f>E35</f>
        <v>0</v>
      </c>
      <c r="S35" s="3419"/>
      <c r="T35" s="3419">
        <f>G35</f>
        <v>0</v>
      </c>
      <c r="U35" s="3419"/>
      <c r="V35" s="3419">
        <f>I35</f>
        <v>0</v>
      </c>
      <c r="W35" s="341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1" t="str">
        <f>A36</f>
        <v>比较价值（元/平方米）</v>
      </c>
      <c r="Q36" s="3431"/>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68" t="str">
        <f>A37</f>
        <v>估价对象XX用房的比较价值（楼面单价，元/平方米）</v>
      </c>
      <c r="Q37" s="3469"/>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4"/>
      <c r="M4" s="2485"/>
      <c r="N4" s="2485"/>
      <c r="O4" s="2485"/>
      <c r="P4" s="3464" t="s">
        <v>1775</v>
      </c>
      <c r="Q4" s="3465"/>
      <c r="R4" s="3462" t="s">
        <v>1771</v>
      </c>
      <c r="S4" s="3463"/>
      <c r="T4" s="3462" t="s">
        <v>1772</v>
      </c>
      <c r="U4" s="3463"/>
      <c r="V4" s="3419" t="s">
        <v>1773</v>
      </c>
      <c r="W4" s="3419"/>
      <c r="X4" s="1265"/>
      <c r="Y4" s="3462" t="s">
        <v>1775</v>
      </c>
      <c r="Z4" s="3463"/>
      <c r="AA4" s="3461" t="s">
        <v>1771</v>
      </c>
      <c r="AB4" s="3386" t="s">
        <v>1772</v>
      </c>
      <c r="AC4" s="3461" t="s">
        <v>1773</v>
      </c>
    </row>
    <row r="5" spans="1:29">
      <c r="A5" s="348"/>
      <c r="B5" s="349"/>
      <c r="C5" s="3396" t="s">
        <v>1673</v>
      </c>
      <c r="D5" s="3397"/>
      <c r="E5" s="3394" t="s">
        <v>1674</v>
      </c>
      <c r="F5" s="3395"/>
      <c r="G5" s="3396" t="s">
        <v>1675</v>
      </c>
      <c r="H5" s="3397"/>
      <c r="I5" s="3396" t="s">
        <v>1676</v>
      </c>
      <c r="J5" s="3397"/>
      <c r="K5" s="537"/>
      <c r="L5" s="2484"/>
      <c r="M5" s="2485"/>
      <c r="N5" s="2485"/>
      <c r="O5" s="2485"/>
      <c r="P5" s="3466"/>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4"/>
      <c r="M6" s="2485"/>
      <c r="N6" s="2485"/>
      <c r="O6" s="2485"/>
      <c r="P6" s="3467"/>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45799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1"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431"/>
      <c r="Q10" s="530" t="str">
        <f t="shared" si="6"/>
        <v>土地使用年限（年）</v>
      </c>
      <c r="R10" s="664" t="s">
        <v>14</v>
      </c>
      <c r="S10" s="665">
        <f t="shared" si="0"/>
        <v>113</v>
      </c>
      <c r="T10" s="664" t="s">
        <v>14</v>
      </c>
      <c r="U10" s="665">
        <f t="shared" si="1"/>
        <v>113</v>
      </c>
      <c r="V10" s="664" t="s">
        <v>14</v>
      </c>
      <c r="W10" s="665">
        <f t="shared" si="2"/>
        <v>113</v>
      </c>
      <c r="X10" s="666"/>
      <c r="Y10" s="3358"/>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1"/>
      <c r="Q11" s="530" t="str">
        <f t="shared" si="6"/>
        <v>容积率</v>
      </c>
      <c r="R11" s="664" t="s">
        <v>14</v>
      </c>
      <c r="S11" s="665" t="e">
        <f t="shared" si="0"/>
        <v>#N/A</v>
      </c>
      <c r="T11" s="664" t="s">
        <v>14</v>
      </c>
      <c r="U11" s="665" t="e">
        <f t="shared" si="1"/>
        <v>#N/A</v>
      </c>
      <c r="V11" s="664" t="s">
        <v>14</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1"/>
      <c r="Q12" s="530" t="str">
        <f t="shared" si="6"/>
        <v>配建</v>
      </c>
      <c r="R12" s="664" t="s">
        <v>14</v>
      </c>
      <c r="S12" s="665">
        <f t="shared" si="0"/>
        <v>100</v>
      </c>
      <c r="T12" s="664" t="s">
        <v>14</v>
      </c>
      <c r="U12" s="665">
        <f t="shared" si="1"/>
        <v>100</v>
      </c>
      <c r="V12" s="664" t="s">
        <v>14</v>
      </c>
      <c r="W12" s="665">
        <f t="shared" si="2"/>
        <v>100</v>
      </c>
      <c r="X12" s="666"/>
      <c r="Y12" s="33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3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1"/>
      <c r="Q14" s="530">
        <f t="shared" si="6"/>
        <v>111</v>
      </c>
      <c r="R14" s="664" t="s">
        <v>14</v>
      </c>
      <c r="S14" s="665">
        <f t="shared" si="0"/>
        <v>100</v>
      </c>
      <c r="T14" s="664" t="s">
        <v>14</v>
      </c>
      <c r="U14" s="665">
        <f t="shared" si="1"/>
        <v>100</v>
      </c>
      <c r="V14" s="664" t="s">
        <v>14</v>
      </c>
      <c r="W14" s="665">
        <f t="shared" si="2"/>
        <v>100</v>
      </c>
      <c r="X14" s="666"/>
      <c r="Y14" s="335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5"/>
      <c r="Q16" s="1263"/>
      <c r="R16" s="667"/>
      <c r="S16" s="668"/>
      <c r="T16" s="667"/>
      <c r="U16" s="668"/>
      <c r="V16" s="667"/>
      <c r="W16" s="668"/>
      <c r="X16" s="1265"/>
      <c r="Y16" s="342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5"/>
      <c r="Q18" s="1263"/>
      <c r="R18" s="667"/>
      <c r="S18" s="668"/>
      <c r="T18" s="667"/>
      <c r="U18" s="668"/>
      <c r="V18" s="667"/>
      <c r="W18" s="668"/>
      <c r="X18" s="1265"/>
      <c r="Y18" s="3425"/>
      <c r="Z18" s="1264"/>
      <c r="AA18" s="1264">
        <v>1</v>
      </c>
      <c r="AB18" s="1264">
        <v>1</v>
      </c>
      <c r="AC18" s="1264">
        <v>1</v>
      </c>
    </row>
    <row r="19" spans="1:29" ht="69">
      <c r="A19" s="367"/>
      <c r="B19" s="390" t="s">
        <v>1811</v>
      </c>
      <c r="C19" s="1806"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5"/>
      <c r="Q20" s="1263"/>
      <c r="R20" s="667"/>
      <c r="S20" s="668"/>
      <c r="T20" s="667"/>
      <c r="U20" s="668"/>
      <c r="V20" s="667"/>
      <c r="W20" s="668"/>
      <c r="X20" s="1265"/>
      <c r="Y20" s="3425"/>
      <c r="Z20" s="1264"/>
      <c r="AA20" s="1264">
        <v>1</v>
      </c>
      <c r="AB20" s="1264">
        <v>1</v>
      </c>
      <c r="AC20" s="1264">
        <v>1</v>
      </c>
    </row>
    <row r="21" spans="1:29" ht="124.2">
      <c r="A21" s="367"/>
      <c r="B21" s="390" t="s">
        <v>1833</v>
      </c>
      <c r="C21" s="1754"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5"/>
      <c r="Q22" s="1263"/>
      <c r="R22" s="667"/>
      <c r="S22" s="668"/>
      <c r="T22" s="667"/>
      <c r="U22" s="668"/>
      <c r="V22" s="667"/>
      <c r="W22" s="668"/>
      <c r="X22" s="1265"/>
      <c r="Y22" s="342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5"/>
      <c r="Q24" s="1263"/>
      <c r="R24" s="667"/>
      <c r="S24" s="668"/>
      <c r="T24" s="667"/>
      <c r="U24" s="668"/>
      <c r="V24" s="667"/>
      <c r="W24" s="668"/>
      <c r="X24" s="1265"/>
      <c r="Y24" s="3425"/>
      <c r="Z24" s="1264"/>
      <c r="AA24" s="1264"/>
      <c r="AB24" s="1264"/>
      <c r="AC24" s="1264"/>
    </row>
    <row r="25" spans="1:29" ht="96.6">
      <c r="A25" s="348"/>
      <c r="B25" s="586" t="s">
        <v>1872</v>
      </c>
      <c r="C25" s="1806"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5"/>
      <c r="Q26" s="1263"/>
      <c r="R26" s="667"/>
      <c r="S26" s="668"/>
      <c r="T26" s="667"/>
      <c r="U26" s="668"/>
      <c r="V26" s="667"/>
      <c r="W26" s="668"/>
      <c r="X26" s="1265"/>
      <c r="Y26" s="342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5"/>
      <c r="Q28" s="530"/>
      <c r="R28" s="664"/>
      <c r="S28" s="665"/>
      <c r="T28" s="664"/>
      <c r="U28" s="665"/>
      <c r="V28" s="664"/>
      <c r="W28" s="665"/>
      <c r="X28" s="666"/>
      <c r="Y28" s="342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1" t="str">
        <f>A46</f>
        <v>成交单价</v>
      </c>
      <c r="Q46" s="3431"/>
      <c r="R46" s="3419">
        <f>E46</f>
        <v>0</v>
      </c>
      <c r="S46" s="3419"/>
      <c r="T46" s="3419">
        <f>G46</f>
        <v>0</v>
      </c>
      <c r="U46" s="3419"/>
      <c r="V46" s="3419">
        <f>I46</f>
        <v>0</v>
      </c>
      <c r="W46" s="341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1" t="str">
        <f>A47</f>
        <v>比较价值（元/平方米）</v>
      </c>
      <c r="Q47" s="3431"/>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68" t="str">
        <f>A48</f>
        <v>估价对象XX用房的比较价值（楼面单价，元/平方米）</v>
      </c>
      <c r="Q48" s="3469"/>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6" t="s">
        <v>1887</v>
      </c>
      <c r="H55" s="347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37009.42</v>
      </c>
      <c r="F56" s="833" t="e">
        <f t="shared" ref="F56:F64" si="15">ROUND(B56*E56/10000,0)</f>
        <v>#DIV/0!</v>
      </c>
      <c r="G56" s="3402"/>
      <c r="H56" s="343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37009.42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4"/>
      <c r="M4" s="2485"/>
      <c r="N4" s="2485"/>
      <c r="O4" s="2485"/>
      <c r="P4" s="3464" t="s">
        <v>1775</v>
      </c>
      <c r="Q4" s="3465"/>
      <c r="R4" s="3462" t="s">
        <v>1771</v>
      </c>
      <c r="S4" s="3463"/>
      <c r="T4" s="3462" t="s">
        <v>1772</v>
      </c>
      <c r="U4" s="3463"/>
      <c r="V4" s="3419" t="s">
        <v>1773</v>
      </c>
      <c r="W4" s="3419"/>
      <c r="X4" s="1265"/>
      <c r="Y4" s="3462" t="s">
        <v>1775</v>
      </c>
      <c r="Z4" s="3463"/>
      <c r="AA4" s="3461" t="s">
        <v>1771</v>
      </c>
      <c r="AB4" s="3386" t="s">
        <v>1772</v>
      </c>
      <c r="AC4" s="3461" t="s">
        <v>1773</v>
      </c>
    </row>
    <row r="5" spans="1:29">
      <c r="A5" s="348"/>
      <c r="B5" s="349"/>
      <c r="C5" s="3396" t="s">
        <v>1673</v>
      </c>
      <c r="D5" s="3397"/>
      <c r="E5" s="3394" t="s">
        <v>1674</v>
      </c>
      <c r="F5" s="3395"/>
      <c r="G5" s="3396" t="s">
        <v>1675</v>
      </c>
      <c r="H5" s="3397"/>
      <c r="I5" s="3396" t="s">
        <v>1676</v>
      </c>
      <c r="J5" s="3397"/>
      <c r="K5" s="537"/>
      <c r="L5" s="2484"/>
      <c r="M5" s="2485"/>
      <c r="N5" s="2485"/>
      <c r="O5" s="2485"/>
      <c r="P5" s="3466"/>
      <c r="Q5" s="3413"/>
      <c r="R5" s="3392"/>
      <c r="S5" s="3393"/>
      <c r="T5" s="3392"/>
      <c r="U5" s="3393"/>
      <c r="V5" s="3419"/>
      <c r="W5" s="3419"/>
      <c r="X5" s="1265"/>
      <c r="Y5" s="3392"/>
      <c r="Z5" s="3393"/>
      <c r="AA5" s="3386"/>
      <c r="AB5" s="3386"/>
      <c r="AC5" s="3386"/>
    </row>
    <row r="6" spans="1:29" ht="15" thickBot="1">
      <c r="A6" s="350"/>
      <c r="B6" s="351"/>
      <c r="C6" s="3476" t="s">
        <v>1919</v>
      </c>
      <c r="D6" s="3477"/>
      <c r="E6" s="3478" t="s">
        <v>1919</v>
      </c>
      <c r="F6" s="3479"/>
      <c r="G6" s="3476" t="s">
        <v>1919</v>
      </c>
      <c r="H6" s="3477"/>
      <c r="I6" s="3476" t="s">
        <v>1919</v>
      </c>
      <c r="J6" s="3477"/>
      <c r="K6" s="537" t="s">
        <v>1678</v>
      </c>
      <c r="L6" s="2484"/>
      <c r="M6" s="2485"/>
      <c r="N6" s="2485"/>
      <c r="O6" s="2485"/>
      <c r="P6" s="3467"/>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45799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1" t="s">
        <v>1686</v>
      </c>
      <c r="Q9" s="530" t="str">
        <f t="shared" ref="Q9:Q15" si="6">B9</f>
        <v>用途</v>
      </c>
      <c r="R9" s="664" t="s">
        <v>14</v>
      </c>
      <c r="S9" s="665">
        <f t="shared" si="0"/>
        <v>100</v>
      </c>
      <c r="T9" s="664" t="s">
        <v>14</v>
      </c>
      <c r="U9" s="665">
        <f t="shared" si="1"/>
        <v>100</v>
      </c>
      <c r="V9" s="664" t="s">
        <v>14</v>
      </c>
      <c r="W9" s="665">
        <f t="shared" si="2"/>
        <v>100</v>
      </c>
      <c r="X9" s="666"/>
      <c r="Y9" s="33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431"/>
      <c r="Q10" s="530" t="str">
        <f t="shared" si="6"/>
        <v>土地使用年限（年）</v>
      </c>
      <c r="R10" s="664" t="s">
        <v>14</v>
      </c>
      <c r="S10" s="665">
        <f t="shared" si="0"/>
        <v>113</v>
      </c>
      <c r="T10" s="664" t="s">
        <v>14</v>
      </c>
      <c r="U10" s="665">
        <f t="shared" si="1"/>
        <v>113</v>
      </c>
      <c r="V10" s="664" t="s">
        <v>14</v>
      </c>
      <c r="W10" s="665">
        <f t="shared" si="2"/>
        <v>113</v>
      </c>
      <c r="X10" s="666"/>
      <c r="Y10" s="3358"/>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1"/>
      <c r="Q11" s="530" t="str">
        <f t="shared" si="6"/>
        <v>容积率</v>
      </c>
      <c r="R11" s="664" t="s">
        <v>14</v>
      </c>
      <c r="S11" s="665" t="e">
        <f t="shared" si="0"/>
        <v>#N/A</v>
      </c>
      <c r="T11" s="664" t="s">
        <v>14</v>
      </c>
      <c r="U11" s="665" t="e">
        <f t="shared" si="1"/>
        <v>#N/A</v>
      </c>
      <c r="V11" s="664" t="s">
        <v>14</v>
      </c>
      <c r="W11" s="665" t="e">
        <f t="shared" si="2"/>
        <v>#N/A</v>
      </c>
      <c r="X11" s="666"/>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1"/>
      <c r="Q12" s="530">
        <f t="shared" si="6"/>
        <v>111</v>
      </c>
      <c r="R12" s="664" t="s">
        <v>14</v>
      </c>
      <c r="S12" s="665">
        <f t="shared" si="0"/>
        <v>100</v>
      </c>
      <c r="T12" s="664" t="s">
        <v>14</v>
      </c>
      <c r="U12" s="665">
        <f t="shared" si="1"/>
        <v>100</v>
      </c>
      <c r="V12" s="664" t="s">
        <v>14</v>
      </c>
      <c r="W12" s="665">
        <f t="shared" si="2"/>
        <v>100</v>
      </c>
      <c r="X12" s="666"/>
      <c r="Y12" s="33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3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1"/>
      <c r="Q14" s="530">
        <f t="shared" si="6"/>
        <v>111</v>
      </c>
      <c r="R14" s="664" t="s">
        <v>14</v>
      </c>
      <c r="S14" s="665">
        <f t="shared" si="0"/>
        <v>100</v>
      </c>
      <c r="T14" s="664" t="s">
        <v>14</v>
      </c>
      <c r="U14" s="665">
        <f t="shared" si="1"/>
        <v>100</v>
      </c>
      <c r="V14" s="664" t="s">
        <v>14</v>
      </c>
      <c r="W14" s="665">
        <f t="shared" si="2"/>
        <v>100</v>
      </c>
      <c r="X14" s="666"/>
      <c r="Y14" s="33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5"/>
      <c r="Q16" s="1263"/>
      <c r="R16" s="667"/>
      <c r="S16" s="668"/>
      <c r="T16" s="667"/>
      <c r="U16" s="668"/>
      <c r="V16" s="667"/>
      <c r="W16" s="668"/>
      <c r="X16" s="1265"/>
      <c r="Y16" s="342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5"/>
      <c r="Q18" s="1263"/>
      <c r="R18" s="667"/>
      <c r="S18" s="668"/>
      <c r="T18" s="667"/>
      <c r="U18" s="668"/>
      <c r="V18" s="667"/>
      <c r="W18" s="668"/>
      <c r="X18" s="1265"/>
      <c r="Y18" s="342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5"/>
      <c r="Q20" s="1263"/>
      <c r="R20" s="667"/>
      <c r="S20" s="668"/>
      <c r="T20" s="667"/>
      <c r="U20" s="668"/>
      <c r="V20" s="667"/>
      <c r="W20" s="668"/>
      <c r="X20" s="1265"/>
      <c r="Y20" s="342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5"/>
      <c r="Q22" s="1263"/>
      <c r="R22" s="667"/>
      <c r="S22" s="668"/>
      <c r="T22" s="667"/>
      <c r="U22" s="668"/>
      <c r="V22" s="667"/>
      <c r="W22" s="668"/>
      <c r="X22" s="1265"/>
      <c r="Y22" s="342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5"/>
      <c r="Q24" s="530"/>
      <c r="R24" s="664"/>
      <c r="S24" s="665"/>
      <c r="T24" s="664"/>
      <c r="U24" s="665"/>
      <c r="V24" s="664"/>
      <c r="W24" s="665"/>
      <c r="X24" s="666"/>
      <c r="Y24" s="342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1" t="str">
        <f>A41</f>
        <v>成交单价</v>
      </c>
      <c r="Q41" s="3431"/>
      <c r="R41" s="3419">
        <f>E41</f>
        <v>0</v>
      </c>
      <c r="S41" s="3419"/>
      <c r="T41" s="3419">
        <f>G41</f>
        <v>0</v>
      </c>
      <c r="U41" s="3419"/>
      <c r="V41" s="3419">
        <f>I41</f>
        <v>0</v>
      </c>
      <c r="W41" s="341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1" t="str">
        <f>A42</f>
        <v>比较价值（元/平方米）</v>
      </c>
      <c r="Q42" s="3431"/>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68" t="str">
        <f>A43</f>
        <v>估价对象XX用房的比较价值（楼面单价，元/平方米）</v>
      </c>
      <c r="Q43" s="3469"/>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6" t="s">
        <v>1887</v>
      </c>
      <c r="H50" s="347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37009.42</v>
      </c>
      <c r="F51" s="611" t="e">
        <f t="shared" ref="F51:F60" si="15">ROUND(B51*E51/10000,0)</f>
        <v>#DIV/0!</v>
      </c>
      <c r="G51" s="3402"/>
      <c r="H51" s="343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887</v>
      </c>
      <c r="C2" s="1984" t="s">
        <v>2074</v>
      </c>
      <c r="D2" s="1984" t="s">
        <v>2075</v>
      </c>
      <c r="E2" s="2396">
        <f ca="1">SUMIF(E6:E13,"&lt;&gt;#ref!",E6:E13)</f>
        <v>8210.7675546084174</v>
      </c>
      <c r="F2" s="2542"/>
      <c r="G2" s="2542"/>
      <c r="H2" s="2542"/>
      <c r="I2" s="2542"/>
      <c r="J2" s="2542"/>
      <c r="K2" s="2542"/>
      <c r="L2" s="2542"/>
      <c r="M2" s="2542"/>
      <c r="N2" s="2542"/>
      <c r="O2" s="2542"/>
      <c r="P2" s="2542"/>
    </row>
    <row r="3" spans="1:16" ht="15.6">
      <c r="A3" s="1984" t="s">
        <v>2076</v>
      </c>
      <c r="B3" s="2386">
        <f ca="1">ROUND(B2*10000/E2,0)</f>
        <v>1080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887</v>
      </c>
      <c r="C6" s="1984" t="s">
        <v>2074</v>
      </c>
      <c r="D6" s="2542"/>
      <c r="E6" s="2396">
        <f ca="1">SUMIF(INDIRECT("'"&amp;A6&amp;"'"&amp;"!C:C"),"建筑面积",INDIRECT("'"&amp;A6&amp;"'"&amp;"!D:D"))</f>
        <v>8210.7675546084174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8210.7675546084174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887</v>
      </c>
      <c r="C2" s="1846" t="s">
        <v>1935</v>
      </c>
      <c r="D2" s="162" t="s">
        <v>1936</v>
      </c>
      <c r="E2" s="3118"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9037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1080</v>
      </c>
      <c r="C3" s="1846" t="s">
        <v>1941</v>
      </c>
      <c r="D3" s="162" t="s">
        <v>1942</v>
      </c>
      <c r="E3" s="3116" t="s">
        <v>2454</v>
      </c>
      <c r="F3" s="1848" t="s">
        <v>3440</v>
      </c>
      <c r="G3" s="708">
        <f>IF(F3="宗地容积率",'数据-汇总表'!I4,IF(F3="估价对象容积率",'数据-汇总表'!I6,'数据-汇总表'!I7))</f>
        <v>3.47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7123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3"/>
      <c r="B4" s="3494"/>
      <c r="C4" s="3494"/>
      <c r="D4" s="3495"/>
      <c r="E4" s="3495"/>
      <c r="F4" s="3495"/>
      <c r="G4" s="3495"/>
      <c r="H4" s="3495"/>
      <c r="I4" s="3495"/>
      <c r="J4" s="349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6020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8595</v>
      </c>
      <c r="D5" s="1252">
        <f>ROUND(C6*C17+C20,0)</f>
        <v>8595</v>
      </c>
      <c r="E5" s="1252"/>
      <c r="F5" s="1851"/>
      <c r="G5" s="1852"/>
      <c r="H5" s="1852"/>
      <c r="I5" s="1852"/>
      <c r="J5" s="1853"/>
      <c r="K5" s="1854"/>
      <c r="L5" s="1847" t="s">
        <v>1948</v>
      </c>
      <c r="M5" s="811">
        <f>SUMPRODUCT((区片价!B87:B126=I2)*(区片价!C3:G3=E2)*(区片价!C87:G126))</f>
        <v>8620</v>
      </c>
      <c r="N5" s="813">
        <f>SUMPRODUCT((因素修正幅度!B87:B126=I2)*(因素修正幅度!C3:G3=E2)*(因素修正幅度!C87:G126))</f>
        <v>9.9000000000000005E-2</v>
      </c>
      <c r="O5" s="1056"/>
      <c r="P5" s="1056"/>
      <c r="Q5" s="1056"/>
      <c r="R5" s="1129">
        <v>4</v>
      </c>
      <c r="S5" s="3061">
        <f>ROUND(SUMPRODUCT((B106:B110=R5)*(C105:N105=G2)*(C106:N110)),4)</f>
        <v>0.88239999999999996</v>
      </c>
      <c r="T5" s="3061">
        <f t="shared" si="0"/>
        <v>5310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5103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3.47</v>
      </c>
      <c r="AA7" s="1133"/>
      <c r="AB7" s="1133"/>
      <c r="AC7" s="1134"/>
      <c r="AD7" s="1135"/>
      <c r="AE7" s="1135"/>
      <c r="AF7" s="1135"/>
      <c r="AG7" s="1135"/>
      <c r="AH7" s="1135"/>
      <c r="AI7" s="1135"/>
      <c r="AJ7" s="1136"/>
    </row>
    <row r="8" spans="1:36" ht="26.4">
      <c r="A8" s="3007"/>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0" t="s">
        <v>1960</v>
      </c>
      <c r="X8" s="349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2"/>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7" t="s">
        <v>3250</v>
      </c>
      <c r="B20" s="159" t="s">
        <v>1994</v>
      </c>
      <c r="C20" s="3029">
        <f>ROUND(IF(F21="与级别开发程度一致",0,(G21-E21)/C21),0)</f>
        <v>-25</v>
      </c>
      <c r="D20" s="3044" t="s">
        <v>1998</v>
      </c>
      <c r="E20" s="3045"/>
      <c r="F20" s="3503" t="s">
        <v>1995</v>
      </c>
      <c r="G20" s="3504"/>
      <c r="H20" s="3030" t="s">
        <v>3444</v>
      </c>
      <c r="I20" s="3030" t="s">
        <v>3445</v>
      </c>
      <c r="J20" s="3031" t="s">
        <v>3446</v>
      </c>
      <c r="K20" s="1889" t="s">
        <v>3447</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98"/>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0.8</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45799</v>
      </c>
      <c r="H23" s="3046" t="s">
        <v>3252</v>
      </c>
      <c r="I23" s="3047" t="str">
        <f>IF(H23="季度增幅（自定义）",SUMIF(N25:N28,E2,O25:O28),"")</f>
        <v/>
      </c>
      <c r="J23" s="3139" t="s">
        <v>3251</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0.88280000000000003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33.590000000000003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0.89259999999999995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0.89259999999999995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887</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222</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5371</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1343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1"/>
      <c r="B37" s="1955" t="s">
        <v>2036</v>
      </c>
      <c r="C37" s="167">
        <f>ROUND(D5*C22*C23*C24*C28*F37,0)</f>
        <v>3610</v>
      </c>
      <c r="D37" s="1940"/>
      <c r="E37" s="163">
        <f>ROUND(C37*D37/10000,0)</f>
        <v>0</v>
      </c>
      <c r="F37" s="163">
        <f>SUMIF(修正!A57:A68,G2,修正!B57:B68)</f>
        <v>0.6</v>
      </c>
      <c r="G37" s="163">
        <f>ROUND(IF(E2="工业",C37*$M$42,C37*$M$41),0)</f>
        <v>903</v>
      </c>
      <c r="H37" s="163">
        <f>D37</f>
        <v>0</v>
      </c>
      <c r="I37" s="163">
        <f>ROUND(G37*H37/10000,0)</f>
        <v>0</v>
      </c>
      <c r="J37" s="2752"/>
      <c r="K37" s="3059"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2"/>
      <c r="B38" s="1884" t="s">
        <v>2037</v>
      </c>
      <c r="C38" s="167">
        <f>ROUND(D5*C22*C23*C24*C28*F38,0)</f>
        <v>1805</v>
      </c>
      <c r="D38" s="1940"/>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2"/>
      <c r="B39" s="1884" t="s">
        <v>3255</v>
      </c>
      <c r="C39" s="167">
        <f>ROUND(D5*C22*C23*C24*C28*F39,0)</f>
        <v>1504</v>
      </c>
      <c r="D39" s="1940"/>
      <c r="E39" s="163">
        <f t="shared" si="4"/>
        <v>0</v>
      </c>
      <c r="F39" s="163">
        <f>SUMIF(修正!A57:A68,G2,修正!D57:D68)</f>
        <v>0.25</v>
      </c>
      <c r="G39" s="163">
        <f>ROUND(IF(E2="工业",C39*$M$42,C39*$M$41),0)</f>
        <v>376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1504</v>
      </c>
      <c r="D40" s="3171">
        <f>信息!D9</f>
        <v>2428.4853702717101</v>
      </c>
      <c r="E40" s="163">
        <f t="shared" si="4"/>
        <v>365</v>
      </c>
      <c r="F40" s="167">
        <f>SUMIF(修正!A57:A68,G2,修正!E57:E68)</f>
        <v>0.25</v>
      </c>
      <c r="G40" s="163">
        <f>ROUND(IF(E2="工业",C40*$M$42,C40*$M$41),0)</f>
        <v>376</v>
      </c>
      <c r="H40" s="163">
        <f t="shared" si="5"/>
        <v>2428.4853702717101</v>
      </c>
      <c r="I40" s="163">
        <f t="shared" si="6"/>
        <v>91</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1504</v>
      </c>
      <c r="D41" s="1940"/>
      <c r="E41" s="163">
        <f t="shared" si="4"/>
        <v>0</v>
      </c>
      <c r="F41" s="167">
        <f>SUMIF(修正!A57:A68,G2,修正!F57:F68)</f>
        <v>0.25</v>
      </c>
      <c r="G41" s="163">
        <f>ROUND(IF(E2="工业",C41*$M$42,C41*$M$41),0)</f>
        <v>376</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903</v>
      </c>
      <c r="D42" s="3172">
        <f>信息!E9</f>
        <v>5782.2821843367074</v>
      </c>
      <c r="E42" s="179">
        <f t="shared" si="4"/>
        <v>522</v>
      </c>
      <c r="F42" s="723">
        <f>SUMIF(修正!A57:A68,G2,修正!G57:G68)</f>
        <v>0.15</v>
      </c>
      <c r="G42" s="179">
        <f>ROUND(IF(E2="工业",C42*$M$42,C42*$M$41),0)</f>
        <v>226</v>
      </c>
      <c r="H42" s="179">
        <f t="shared" si="5"/>
        <v>5782.2821843367074</v>
      </c>
      <c r="I42" s="179">
        <f t="shared" si="6"/>
        <v>131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0.88280000000000003</v>
      </c>
      <c r="D44" s="163" t="s">
        <v>1999</v>
      </c>
      <c r="E44" s="1991">
        <f>G24</f>
        <v>0.05</v>
      </c>
      <c r="F44" s="163" t="s">
        <v>2008</v>
      </c>
      <c r="G44" s="175">
        <f>I24</f>
        <v>33.590000000000003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6">
      <c r="A51" s="1970" t="s">
        <v>2053</v>
      </c>
      <c r="B51" s="1262" t="str">
        <f>估价对象房地状况!C18</f>
        <v>估价对象周边道路状况、公共交通通达情况350、640、、659等、3号线东坝站 、停车便捷程度，综合评价交通便捷度较好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区域自然环境：东坝公园；人文环境：北京信息职业技术学院；综合评价环境状况一般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北京中材人工晶体研究院、鼎石元素数字文化产业园，一般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6">
      <c r="A62" s="1970" t="s">
        <v>2053</v>
      </c>
      <c r="B62" s="1262" t="str">
        <f>估价对象房地状况!C18</f>
        <v>估价对象周边道路状况、公共交通通达情况350、640、、659等、3号线东坝站 、停车便捷程度，综合评价交通便捷度较好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区域自然环境：东坝公园；人文环境：北京信息职业技术学院；综合评价环境状况一般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6">
      <c r="A73" s="1970" t="s">
        <v>2053</v>
      </c>
      <c r="B73" s="1262" t="str">
        <f>估价对象房地状况!C18</f>
        <v>估价对象周边道路状况、公共交通通达情况350、640、、659等、3号线东坝站 、停车便捷程度，综合评价交通便捷度较好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区域自然环境：东坝公园；人文环境：北京信息职业技术学院；综合评价环境状况一般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f>IF(E2="公共服务",SUMIF(L1:L12,G2,N1:N12),"——")</f>
        <v>9.9000000000000005E-2</v>
      </c>
      <c r="G93" s="3072"/>
      <c r="H93" s="3117">
        <f>IFERROR(ROUNDDOWN($F$93*I93/2,4),"——")</f>
        <v>1.23E-2</v>
      </c>
      <c r="I93" s="3066">
        <v>0.25</v>
      </c>
      <c r="J93" s="1912">
        <f t="shared" ref="J93:J101" si="27">K93+$G93</f>
        <v>0</v>
      </c>
      <c r="K93" s="1912">
        <f t="shared" ref="K93:K101" si="28">$L93+$G93</f>
        <v>0</v>
      </c>
      <c r="L93" s="1912">
        <v>0</v>
      </c>
      <c r="M93" s="1912">
        <f t="shared" ref="M93:N101" si="29">L93-$G93</f>
        <v>0</v>
      </c>
      <c r="N93" s="1912">
        <f t="shared" si="29"/>
        <v>0</v>
      </c>
    </row>
    <row r="94" spans="1:37" ht="66">
      <c r="A94" s="3078" t="s">
        <v>3269</v>
      </c>
      <c r="B94" s="3069" t="str">
        <f>估价对象房地状况!C18</f>
        <v>估价对象周边道路状况、公共交通通达情况350、640、、659等、3号线东坝站 、停车便捷程度，综合评价交通便捷度较好</v>
      </c>
      <c r="C94" s="1887"/>
      <c r="D94" s="2308">
        <f t="shared" ref="D94:D101" si="30">SUMIF($J$60:$N$60,C94,J94:N94)</f>
        <v>0</v>
      </c>
      <c r="E94" s="3082"/>
      <c r="F94" s="1675"/>
      <c r="G94" s="3072"/>
      <c r="H94" s="3117">
        <f>IFERROR(ROUNDDOWN($F$93*I94/2,4),"——")</f>
        <v>1.2800000000000001E-2</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f t="shared" ref="H95:H101" si="31">IFERROR(ROUNDDOWN($F$93*I95/2,4),"——")</f>
        <v>5.4000000000000003E-3</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f t="shared" si="31"/>
        <v>2.3999999999999998E-3</v>
      </c>
      <c r="I96" s="3066">
        <v>0.05</v>
      </c>
      <c r="J96" s="1912">
        <f t="shared" si="27"/>
        <v>0</v>
      </c>
      <c r="K96" s="1912">
        <f t="shared" si="28"/>
        <v>0</v>
      </c>
      <c r="L96" s="1912">
        <v>0</v>
      </c>
      <c r="M96" s="1912">
        <f t="shared" si="29"/>
        <v>0</v>
      </c>
      <c r="N96" s="1912">
        <f t="shared" si="29"/>
        <v>0</v>
      </c>
    </row>
    <row r="97" spans="1:14" ht="24">
      <c r="A97" s="3078" t="s">
        <v>3271</v>
      </c>
      <c r="B97" s="3069" t="str">
        <f>估价对象房地状况!C24</f>
        <v>次干道-朝运街</v>
      </c>
      <c r="C97" s="1887"/>
      <c r="D97" s="2308">
        <f t="shared" si="30"/>
        <v>0</v>
      </c>
      <c r="E97" s="3082"/>
      <c r="F97" s="1675"/>
      <c r="G97" s="3072"/>
      <c r="H97" s="3117">
        <f t="shared" si="31"/>
        <v>2.3999999999999998E-3</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f t="shared" si="31"/>
        <v>2.8999999999999998E-3</v>
      </c>
      <c r="I98" s="3066">
        <v>0.06</v>
      </c>
      <c r="J98" s="1912">
        <f t="shared" si="27"/>
        <v>0</v>
      </c>
      <c r="K98" s="1912">
        <f t="shared" si="28"/>
        <v>0</v>
      </c>
      <c r="L98" s="1912">
        <v>0</v>
      </c>
      <c r="M98" s="1912">
        <f t="shared" si="29"/>
        <v>0</v>
      </c>
      <c r="N98" s="1912">
        <f t="shared" si="29"/>
        <v>0</v>
      </c>
    </row>
    <row r="99" spans="1:14" ht="26.4">
      <c r="A99" s="3078" t="s">
        <v>3273</v>
      </c>
      <c r="B99" s="3069" t="str">
        <f>估价对象房地状况!C21</f>
        <v>估价对象所在区域公共配套设施齐备情况</v>
      </c>
      <c r="C99" s="1887"/>
      <c r="D99" s="2308">
        <f t="shared" si="30"/>
        <v>0</v>
      </c>
      <c r="E99" s="3082"/>
      <c r="F99" s="1675"/>
      <c r="G99" s="3072"/>
      <c r="H99" s="3117">
        <f t="shared" si="31"/>
        <v>2.8999999999999998E-3</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v>
      </c>
      <c r="C100" s="1887"/>
      <c r="D100" s="2308">
        <f t="shared" si="30"/>
        <v>0</v>
      </c>
      <c r="E100" s="3082"/>
      <c r="F100" s="1675"/>
      <c r="G100" s="3072"/>
      <c r="H100" s="3117">
        <f t="shared" si="31"/>
        <v>4.4000000000000003E-3</v>
      </c>
      <c r="I100" s="3066">
        <v>0.09</v>
      </c>
      <c r="J100" s="1912">
        <f t="shared" si="27"/>
        <v>0</v>
      </c>
      <c r="K100" s="1912">
        <f t="shared" si="28"/>
        <v>0</v>
      </c>
      <c r="L100" s="1912">
        <v>0</v>
      </c>
      <c r="M100" s="1912">
        <f t="shared" si="29"/>
        <v>0</v>
      </c>
      <c r="N100" s="1912">
        <f t="shared" si="29"/>
        <v>0</v>
      </c>
    </row>
    <row r="101" spans="1:14" ht="53.4" thickBot="1">
      <c r="A101" s="3079" t="s">
        <v>3275</v>
      </c>
      <c r="B101" s="3086" t="str">
        <f>估价对象房地状况!C20</f>
        <v>区域自然环境：东坝公园；人文环境：北京信息职业技术学院；综合评价环境状况一般</v>
      </c>
      <c r="C101" s="1887"/>
      <c r="D101" s="2308">
        <f t="shared" si="30"/>
        <v>0</v>
      </c>
      <c r="E101" s="3083"/>
      <c r="F101" s="1675"/>
      <c r="G101" s="3072"/>
      <c r="H101" s="3117">
        <f t="shared" si="31"/>
        <v>3.3999999999999998E-3</v>
      </c>
      <c r="I101" s="3067">
        <v>7.0000000000000007E-2</v>
      </c>
      <c r="J101" s="1912">
        <f t="shared" si="27"/>
        <v>0</v>
      </c>
      <c r="K101" s="1912">
        <f t="shared" si="28"/>
        <v>0</v>
      </c>
      <c r="L101" s="1912">
        <v>0</v>
      </c>
      <c r="M101" s="1912">
        <f t="shared" si="29"/>
        <v>0</v>
      </c>
      <c r="N101" s="1912">
        <f t="shared" si="29"/>
        <v>0</v>
      </c>
    </row>
    <row r="103" spans="1:14">
      <c r="A103" s="3499" t="s">
        <v>3290</v>
      </c>
      <c r="B103" s="3499"/>
      <c r="C103" s="3499"/>
      <c r="D103" s="3499"/>
      <c r="E103" s="3499"/>
      <c r="F103" s="3499"/>
      <c r="G103" s="3499"/>
      <c r="H103" s="3499"/>
      <c r="I103" s="3499"/>
      <c r="J103" s="3499"/>
      <c r="K103" s="1667"/>
      <c r="L103" s="1667"/>
      <c r="M103" s="1667"/>
      <c r="N103" s="1667"/>
    </row>
    <row r="104" spans="1:14">
      <c r="A104" s="3500" t="s">
        <v>3291</v>
      </c>
      <c r="B104" s="3500" t="s">
        <v>3292</v>
      </c>
      <c r="C104" s="3088" t="s">
        <v>3293</v>
      </c>
      <c r="D104" s="3089"/>
      <c r="E104" s="3089"/>
      <c r="F104" s="3089"/>
      <c r="G104" s="3089"/>
      <c r="H104" s="3089"/>
      <c r="I104" s="3089"/>
      <c r="J104" s="3090"/>
      <c r="K104" s="3091"/>
      <c r="L104" s="3091"/>
      <c r="M104" s="3091"/>
      <c r="N104" s="3091"/>
    </row>
    <row r="105" spans="1:14">
      <c r="A105" s="3500"/>
      <c r="B105" s="3500"/>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86"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3307</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3.47</v>
      </c>
      <c r="C116" s="3097" t="s">
        <v>3309</v>
      </c>
      <c r="D116" s="3098">
        <f>SUMPRODUCT((A118:A122=F116)*(B117:M117=H116)*B118:M122)</f>
        <v>0.84870000000000001</v>
      </c>
      <c r="E116" s="162" t="s">
        <v>3310</v>
      </c>
      <c r="F116" s="3099" t="str">
        <f>E2</f>
        <v>公共服务</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0.95860000000000001</v>
      </c>
      <c r="C118" s="3087">
        <f>B118</f>
        <v>0.95860000000000001</v>
      </c>
      <c r="D118" s="3087">
        <f>ROUND(0.949-0.014*B116,4)</f>
        <v>0.90039999999999998</v>
      </c>
      <c r="E118" s="3087">
        <f>D118</f>
        <v>0.90039999999999998</v>
      </c>
      <c r="F118" s="3087">
        <f>E118</f>
        <v>0.90039999999999998</v>
      </c>
      <c r="G118" s="3087">
        <f>F118</f>
        <v>0.90039999999999998</v>
      </c>
      <c r="H118" s="3087">
        <f>G118</f>
        <v>0.90039999999999998</v>
      </c>
      <c r="I118" s="3087">
        <f>ROUND(0.8486-0.018*B116,4)</f>
        <v>0.78610000000000002</v>
      </c>
      <c r="J118" s="3087">
        <f t="shared" ref="J118:M122" si="35">I118</f>
        <v>0.78610000000000002</v>
      </c>
      <c r="K118" s="3087">
        <f t="shared" si="35"/>
        <v>0.78610000000000002</v>
      </c>
      <c r="L118" s="3087">
        <f t="shared" si="35"/>
        <v>0.78610000000000002</v>
      </c>
      <c r="M118" s="3107">
        <f t="shared" si="35"/>
        <v>0.78610000000000002</v>
      </c>
      <c r="N118" s="3095"/>
    </row>
    <row r="119" spans="1:14">
      <c r="A119" s="3055" t="s">
        <v>3325</v>
      </c>
      <c r="B119" s="3087">
        <f>ROUND(0.993-0.0112*B116,4)</f>
        <v>0.95409999999999995</v>
      </c>
      <c r="C119" s="3087">
        <f>B119</f>
        <v>0.95409999999999995</v>
      </c>
      <c r="D119" s="3087">
        <f>ROUND(0.9415-0.0142*B116,4)</f>
        <v>0.89219999999999999</v>
      </c>
      <c r="E119" s="3087">
        <f t="shared" ref="E119:H120" si="36">D119</f>
        <v>0.89219999999999999</v>
      </c>
      <c r="F119" s="3087">
        <f t="shared" si="36"/>
        <v>0.89219999999999999</v>
      </c>
      <c r="G119" s="3087">
        <f t="shared" si="36"/>
        <v>0.89219999999999999</v>
      </c>
      <c r="H119" s="3087">
        <f t="shared" si="36"/>
        <v>0.89219999999999999</v>
      </c>
      <c r="I119" s="3087">
        <f>ROUND(0.838-0.0182*B116,4)</f>
        <v>0.77480000000000004</v>
      </c>
      <c r="J119" s="3087">
        <f t="shared" si="35"/>
        <v>0.77480000000000004</v>
      </c>
      <c r="K119" s="3087">
        <f t="shared" si="35"/>
        <v>0.77480000000000004</v>
      </c>
      <c r="L119" s="3087">
        <f t="shared" si="35"/>
        <v>0.77480000000000004</v>
      </c>
      <c r="M119" s="3107">
        <f t="shared" si="35"/>
        <v>0.77480000000000004</v>
      </c>
      <c r="N119" s="3095"/>
    </row>
    <row r="120" spans="1:14">
      <c r="A120" s="3055" t="s">
        <v>3326</v>
      </c>
      <c r="B120" s="3087">
        <f>ROUND(0.9448-0.0115*B116,4)</f>
        <v>0.90490000000000004</v>
      </c>
      <c r="C120" s="3087">
        <f>B120</f>
        <v>0.90490000000000004</v>
      </c>
      <c r="D120" s="3087">
        <f>ROUND(0.937-0.0145*B116,4)</f>
        <v>0.88670000000000004</v>
      </c>
      <c r="E120" s="3087">
        <f t="shared" si="36"/>
        <v>0.88670000000000004</v>
      </c>
      <c r="F120" s="3087">
        <f t="shared" si="36"/>
        <v>0.88670000000000004</v>
      </c>
      <c r="G120" s="3087">
        <f t="shared" si="36"/>
        <v>0.88670000000000004</v>
      </c>
      <c r="H120" s="3087">
        <f t="shared" si="36"/>
        <v>0.88670000000000004</v>
      </c>
      <c r="I120" s="3087">
        <f>ROUND(0.7965-0.0185*B116,4)</f>
        <v>0.73229999999999995</v>
      </c>
      <c r="J120" s="3087">
        <f t="shared" si="35"/>
        <v>0.73229999999999995</v>
      </c>
      <c r="K120" s="3087">
        <f t="shared" si="35"/>
        <v>0.73229999999999995</v>
      </c>
      <c r="L120" s="3087">
        <f t="shared" si="35"/>
        <v>0.73229999999999995</v>
      </c>
      <c r="M120" s="3107">
        <f t="shared" si="35"/>
        <v>0.73229999999999995</v>
      </c>
      <c r="N120" s="3095"/>
    </row>
    <row r="121" spans="1:14" ht="13.8" thickBot="1">
      <c r="A121" s="3108" t="s">
        <v>3327</v>
      </c>
      <c r="B121" s="3109">
        <f>ROUND(0.7836-0.012*B116,4)</f>
        <v>0.74199999999999999</v>
      </c>
      <c r="C121" s="3109">
        <f>B121</f>
        <v>0.74199999999999999</v>
      </c>
      <c r="D121" s="3109">
        <f>ROUND(0.753-0.015*B116,4)</f>
        <v>0.70099999999999996</v>
      </c>
      <c r="E121" s="3109">
        <f>D121</f>
        <v>0.70099999999999996</v>
      </c>
      <c r="F121" s="3109">
        <f>E121</f>
        <v>0.70099999999999996</v>
      </c>
      <c r="G121" s="3109">
        <f>ROUND(0.6612-0.018*B116,4)</f>
        <v>0.59870000000000001</v>
      </c>
      <c r="H121" s="3109">
        <f>G121</f>
        <v>0.59870000000000001</v>
      </c>
      <c r="I121" s="3109">
        <f>ROUND(0.5905-0.019*B116,4)</f>
        <v>0.52459999999999996</v>
      </c>
      <c r="J121" s="3109">
        <f t="shared" si="35"/>
        <v>0.52459999999999996</v>
      </c>
      <c r="K121" s="3109">
        <f t="shared" si="35"/>
        <v>0.52459999999999996</v>
      </c>
      <c r="L121" s="3109">
        <f t="shared" si="35"/>
        <v>0.52459999999999996</v>
      </c>
      <c r="M121" s="3110">
        <f t="shared" si="35"/>
        <v>0.52459999999999996</v>
      </c>
      <c r="N121" s="3095"/>
    </row>
    <row r="122" spans="1:14">
      <c r="A122" s="3111" t="s">
        <v>2608</v>
      </c>
      <c r="B122" s="3087">
        <f>ROUND(0.9404-0.0106*B116,4)</f>
        <v>0.90359999999999996</v>
      </c>
      <c r="C122" s="3087">
        <f>B122</f>
        <v>0.90359999999999996</v>
      </c>
      <c r="D122" s="3087">
        <f>ROUND(0.8955-0.0135*B116,4)</f>
        <v>0.84870000000000001</v>
      </c>
      <c r="E122" s="3087">
        <f t="shared" ref="E122:H122" si="37">D122</f>
        <v>0.84870000000000001</v>
      </c>
      <c r="F122" s="3087">
        <f t="shared" si="37"/>
        <v>0.84870000000000001</v>
      </c>
      <c r="G122" s="3087">
        <f t="shared" si="37"/>
        <v>0.84870000000000001</v>
      </c>
      <c r="H122" s="3087">
        <f t="shared" si="37"/>
        <v>0.84870000000000001</v>
      </c>
      <c r="I122" s="3087">
        <f>ROUND(0.7632-0.0166*B116,4)</f>
        <v>0.7056</v>
      </c>
      <c r="J122" s="3087">
        <f t="shared" si="35"/>
        <v>0.7056</v>
      </c>
      <c r="K122" s="3087">
        <f t="shared" si="35"/>
        <v>0.7056</v>
      </c>
      <c r="L122" s="3087">
        <f t="shared" si="35"/>
        <v>0.7056</v>
      </c>
      <c r="M122" s="3107">
        <f t="shared" si="35"/>
        <v>0.7056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12" t="s">
        <v>2603</v>
      </c>
      <c r="B20" s="3505" t="s">
        <v>2624</v>
      </c>
      <c r="C20" s="2840" t="s">
        <v>2435</v>
      </c>
      <c r="D20" s="2841"/>
      <c r="E20" s="2842">
        <v>1</v>
      </c>
      <c r="F20" s="2843" t="s">
        <v>2436</v>
      </c>
      <c r="G20" s="2843"/>
    </row>
    <row r="21" spans="1:13" ht="19.5" customHeight="1">
      <c r="A21" s="3513"/>
      <c r="B21" s="3506"/>
      <c r="C21" s="2844" t="s">
        <v>2437</v>
      </c>
      <c r="D21" s="2845"/>
      <c r="E21" s="2846">
        <v>1</v>
      </c>
      <c r="F21" s="2843" t="s">
        <v>2438</v>
      </c>
      <c r="G21" s="2843"/>
    </row>
    <row r="22" spans="1:13" ht="19.5" customHeight="1">
      <c r="A22" s="3513"/>
      <c r="B22" s="3506"/>
      <c r="C22" s="2844" t="s">
        <v>2439</v>
      </c>
      <c r="D22" s="2845"/>
      <c r="E22" s="2846">
        <v>0.9</v>
      </c>
      <c r="F22" s="2843" t="s">
        <v>2440</v>
      </c>
      <c r="G22" s="2843"/>
    </row>
    <row r="23" spans="1:13" ht="19.5" customHeight="1">
      <c r="A23" s="3513"/>
      <c r="B23" s="3506"/>
      <c r="C23" s="2844" t="s">
        <v>2441</v>
      </c>
      <c r="D23" s="2845"/>
      <c r="E23" s="2846">
        <v>0.9</v>
      </c>
      <c r="F23" s="2843" t="s">
        <v>2442</v>
      </c>
      <c r="G23" s="2843"/>
    </row>
    <row r="24" spans="1:13" ht="19.5" customHeight="1">
      <c r="A24" s="3513"/>
      <c r="B24" s="3506"/>
      <c r="C24" s="2844" t="s">
        <v>2443</v>
      </c>
      <c r="D24" s="2845"/>
      <c r="E24" s="2846">
        <v>0.8</v>
      </c>
      <c r="F24" s="2843" t="s">
        <v>2444</v>
      </c>
      <c r="G24" s="2843"/>
    </row>
    <row r="25" spans="1:13" ht="19.5" customHeight="1" thickBot="1">
      <c r="A25" s="3514"/>
      <c r="B25" s="3507"/>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08" t="s">
        <v>2627</v>
      </c>
      <c r="B27" s="3505" t="s">
        <v>2608</v>
      </c>
      <c r="C27" s="2840" t="s">
        <v>2448</v>
      </c>
      <c r="D27" s="2841"/>
      <c r="E27" s="2842">
        <v>1</v>
      </c>
      <c r="F27" s="2843" t="s">
        <v>2449</v>
      </c>
      <c r="G27" s="2843"/>
    </row>
    <row r="28" spans="1:13" ht="19.5" customHeight="1">
      <c r="A28" s="3509"/>
      <c r="B28" s="3506"/>
      <c r="C28" s="2844" t="s">
        <v>2450</v>
      </c>
      <c r="D28" s="2845"/>
      <c r="E28" s="2846">
        <v>1</v>
      </c>
      <c r="F28" s="2843" t="s">
        <v>2451</v>
      </c>
      <c r="G28" s="2843"/>
    </row>
    <row r="29" spans="1:13" ht="19.5" customHeight="1">
      <c r="A29" s="3509"/>
      <c r="B29" s="3506"/>
      <c r="C29" s="2844" t="s">
        <v>2452</v>
      </c>
      <c r="D29" s="2845"/>
      <c r="E29" s="2846">
        <v>0.8</v>
      </c>
      <c r="F29" s="2843" t="s">
        <v>2453</v>
      </c>
      <c r="G29" s="2843"/>
    </row>
    <row r="30" spans="1:13" ht="19.5" customHeight="1">
      <c r="A30" s="3509"/>
      <c r="B30" s="3506"/>
      <c r="C30" s="2844" t="s">
        <v>2454</v>
      </c>
      <c r="D30" s="2845"/>
      <c r="E30" s="2846">
        <v>0.8</v>
      </c>
      <c r="F30" s="2843" t="s">
        <v>2455</v>
      </c>
      <c r="G30" s="2843"/>
    </row>
    <row r="31" spans="1:13" ht="19.5" customHeight="1">
      <c r="A31" s="3509"/>
      <c r="B31" s="3506"/>
      <c r="C31" s="2844" t="s">
        <v>2456</v>
      </c>
      <c r="D31" s="2845"/>
      <c r="E31" s="2846">
        <v>0.8</v>
      </c>
      <c r="F31" s="2843" t="s">
        <v>2457</v>
      </c>
      <c r="G31" s="2843"/>
    </row>
    <row r="32" spans="1:13" ht="19.5" customHeight="1">
      <c r="A32" s="3509"/>
      <c r="B32" s="3506"/>
      <c r="C32" s="2844" t="s">
        <v>2458</v>
      </c>
      <c r="D32" s="2845"/>
      <c r="E32" s="2846">
        <v>0.7</v>
      </c>
      <c r="F32" s="2843" t="s">
        <v>2459</v>
      </c>
      <c r="G32" s="2843"/>
    </row>
    <row r="33" spans="1:7" ht="19.5" customHeight="1">
      <c r="A33" s="3509"/>
      <c r="B33" s="3506"/>
      <c r="C33" s="2844" t="s">
        <v>2460</v>
      </c>
      <c r="D33" s="2845"/>
      <c r="E33" s="2846">
        <v>0.8</v>
      </c>
      <c r="F33" s="2843" t="s">
        <v>2461</v>
      </c>
      <c r="G33" s="2843"/>
    </row>
    <row r="34" spans="1:7" ht="19.5" customHeight="1">
      <c r="A34" s="3509"/>
      <c r="B34" s="3506"/>
      <c r="C34" s="2844" t="s">
        <v>2462</v>
      </c>
      <c r="D34" s="2845"/>
      <c r="E34" s="2846">
        <v>0.6</v>
      </c>
      <c r="F34" s="2843" t="s">
        <v>2463</v>
      </c>
      <c r="G34" s="2843"/>
    </row>
    <row r="35" spans="1:7" ht="19.5" customHeight="1">
      <c r="A35" s="3509"/>
      <c r="B35" s="3506"/>
      <c r="C35" s="2844" t="s">
        <v>2464</v>
      </c>
      <c r="D35" s="2845"/>
      <c r="E35" s="2846">
        <v>0.2</v>
      </c>
      <c r="F35" s="2843" t="s">
        <v>2465</v>
      </c>
      <c r="G35" s="2843"/>
    </row>
    <row r="36" spans="1:7" ht="19.5" customHeight="1">
      <c r="A36" s="3509"/>
      <c r="B36" s="3506"/>
      <c r="C36" s="2844" t="s">
        <v>2466</v>
      </c>
      <c r="D36" s="2845"/>
      <c r="E36" s="2846">
        <v>0.2</v>
      </c>
      <c r="F36" s="2843" t="s">
        <v>2467</v>
      </c>
      <c r="G36" s="2843"/>
    </row>
    <row r="37" spans="1:7" ht="19.5" customHeight="1">
      <c r="A37" s="3509"/>
      <c r="B37" s="3511" t="s">
        <v>2628</v>
      </c>
      <c r="C37" s="2844" t="s">
        <v>2468</v>
      </c>
      <c r="D37" s="2845"/>
      <c r="E37" s="2846">
        <v>0.6</v>
      </c>
      <c r="F37" s="2843" t="s">
        <v>2469</v>
      </c>
      <c r="G37" s="2843"/>
    </row>
    <row r="38" spans="1:7" ht="19.5" customHeight="1">
      <c r="A38" s="3509"/>
      <c r="B38" s="3506"/>
      <c r="C38" s="2844" t="s">
        <v>2470</v>
      </c>
      <c r="D38" s="2845"/>
      <c r="E38" s="2846">
        <v>0.6</v>
      </c>
      <c r="F38" s="2843" t="s">
        <v>2471</v>
      </c>
      <c r="G38" s="2843"/>
    </row>
    <row r="39" spans="1:7" ht="19.5" customHeight="1" thickBot="1">
      <c r="A39" s="3510"/>
      <c r="B39" s="3507"/>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12" t="s">
        <v>2606</v>
      </c>
      <c r="B41" s="3505" t="s">
        <v>2630</v>
      </c>
      <c r="C41" s="2840" t="s">
        <v>2475</v>
      </c>
      <c r="D41" s="2841"/>
      <c r="E41" s="2842">
        <v>1</v>
      </c>
      <c r="F41" s="2843" t="s">
        <v>2476</v>
      </c>
      <c r="G41" s="2843"/>
    </row>
    <row r="42" spans="1:7" ht="19.5" customHeight="1">
      <c r="A42" s="3513"/>
      <c r="B42" s="3506"/>
      <c r="C42" s="2844" t="s">
        <v>2477</v>
      </c>
      <c r="D42" s="2845"/>
      <c r="E42" s="2846">
        <v>1</v>
      </c>
      <c r="F42" s="2843" t="s">
        <v>2478</v>
      </c>
      <c r="G42" s="2843"/>
    </row>
    <row r="43" spans="1:7" ht="19.5" customHeight="1">
      <c r="A43" s="3513"/>
      <c r="B43" s="3515"/>
      <c r="C43" s="2844" t="s">
        <v>2479</v>
      </c>
      <c r="D43" s="2845"/>
      <c r="E43" s="2846">
        <v>1.5</v>
      </c>
      <c r="F43" s="2843" t="s">
        <v>2480</v>
      </c>
      <c r="G43" s="2843"/>
    </row>
    <row r="44" spans="1:7" ht="19.5" customHeight="1">
      <c r="A44" s="3513"/>
      <c r="B44" s="2855" t="s">
        <v>2631</v>
      </c>
      <c r="C44" s="2844" t="s">
        <v>2632</v>
      </c>
      <c r="D44" s="2845"/>
      <c r="E44" s="2846">
        <v>2</v>
      </c>
      <c r="F44" s="2843" t="s">
        <v>2481</v>
      </c>
      <c r="G44" s="2843"/>
    </row>
    <row r="45" spans="1:7" ht="19.5" customHeight="1">
      <c r="A45" s="3513"/>
      <c r="B45" s="3511" t="s">
        <v>2633</v>
      </c>
      <c r="C45" s="2844" t="s">
        <v>2482</v>
      </c>
      <c r="D45" s="2845"/>
      <c r="E45" s="2846">
        <v>1</v>
      </c>
      <c r="F45" s="2843" t="s">
        <v>2483</v>
      </c>
      <c r="G45" s="2843"/>
    </row>
    <row r="46" spans="1:7" ht="19.5" customHeight="1">
      <c r="A46" s="3513"/>
      <c r="B46" s="3506"/>
      <c r="C46" s="2844" t="s">
        <v>2484</v>
      </c>
      <c r="D46" s="2845"/>
      <c r="E46" s="2846">
        <v>1</v>
      </c>
      <c r="F46" s="2843" t="s">
        <v>2485</v>
      </c>
      <c r="G46" s="2843"/>
    </row>
    <row r="47" spans="1:7" ht="19.5" customHeight="1">
      <c r="A47" s="3513"/>
      <c r="B47" s="3506"/>
      <c r="C47" s="2844" t="s">
        <v>2486</v>
      </c>
      <c r="D47" s="2845"/>
      <c r="E47" s="2846">
        <v>1</v>
      </c>
      <c r="F47" s="2843" t="s">
        <v>2487</v>
      </c>
      <c r="G47" s="2843"/>
    </row>
    <row r="48" spans="1:7" ht="19.5" customHeight="1">
      <c r="A48" s="3513"/>
      <c r="B48" s="3506"/>
      <c r="C48" s="2844" t="s">
        <v>2488</v>
      </c>
      <c r="D48" s="2845"/>
      <c r="E48" s="2846">
        <v>1</v>
      </c>
      <c r="F48" s="2843" t="s">
        <v>2489</v>
      </c>
      <c r="G48" s="2843"/>
    </row>
    <row r="49" spans="1:7" ht="19.5" customHeight="1">
      <c r="A49" s="3513"/>
      <c r="B49" s="3506"/>
      <c r="C49" s="2844" t="s">
        <v>2490</v>
      </c>
      <c r="D49" s="2845"/>
      <c r="E49" s="2846">
        <v>1</v>
      </c>
      <c r="F49" s="2843" t="s">
        <v>2491</v>
      </c>
      <c r="G49" s="2843"/>
    </row>
    <row r="50" spans="1:7" ht="19.5" customHeight="1">
      <c r="A50" s="3513"/>
      <c r="B50" s="3506"/>
      <c r="C50" s="2844" t="s">
        <v>2492</v>
      </c>
      <c r="D50" s="2845"/>
      <c r="E50" s="2846">
        <v>1</v>
      </c>
      <c r="F50" s="2843" t="s">
        <v>2493</v>
      </c>
      <c r="G50" s="2843"/>
    </row>
    <row r="51" spans="1:7" ht="19.5" customHeight="1" thickBot="1">
      <c r="A51" s="3514"/>
      <c r="B51" s="3507"/>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511" t="s">
        <v>2647</v>
      </c>
      <c r="C73" s="2829" t="s">
        <v>2648</v>
      </c>
      <c r="D73" s="2829" t="s">
        <v>2649</v>
      </c>
      <c r="E73" s="2855">
        <v>0.2</v>
      </c>
      <c r="F73" s="2855">
        <v>25</v>
      </c>
    </row>
    <row r="74" spans="1:7" ht="24">
      <c r="A74" s="2855">
        <v>2</v>
      </c>
      <c r="B74" s="3506"/>
      <c r="C74" s="2829" t="s">
        <v>2650</v>
      </c>
      <c r="D74" s="2829" t="s">
        <v>2651</v>
      </c>
      <c r="E74" s="2855">
        <v>0.2</v>
      </c>
      <c r="F74" s="2855">
        <v>25</v>
      </c>
    </row>
    <row r="75" spans="1:7" ht="24">
      <c r="A75" s="2855">
        <v>3</v>
      </c>
      <c r="B75" s="3506"/>
      <c r="C75" s="2829" t="s">
        <v>2652</v>
      </c>
      <c r="D75" s="2829" t="s">
        <v>2653</v>
      </c>
      <c r="E75" s="2855">
        <v>0.2</v>
      </c>
      <c r="F75" s="2855">
        <v>25</v>
      </c>
    </row>
    <row r="76" spans="1:7" ht="14.4">
      <c r="A76" s="2855">
        <v>4</v>
      </c>
      <c r="B76" s="3506"/>
      <c r="C76" s="2829" t="s">
        <v>2654</v>
      </c>
      <c r="D76" s="2829" t="s">
        <v>2655</v>
      </c>
      <c r="E76" s="2855">
        <v>0.15</v>
      </c>
      <c r="F76" s="2855">
        <v>20</v>
      </c>
    </row>
    <row r="77" spans="1:7" ht="24">
      <c r="A77" s="2855">
        <v>5</v>
      </c>
      <c r="B77" s="3506"/>
      <c r="C77" s="2829" t="s">
        <v>2656</v>
      </c>
      <c r="D77" s="2829" t="s">
        <v>2657</v>
      </c>
      <c r="E77" s="2855">
        <v>0.15</v>
      </c>
      <c r="F77" s="2855">
        <v>20</v>
      </c>
    </row>
    <row r="78" spans="1:7" ht="24">
      <c r="A78" s="2855">
        <v>6</v>
      </c>
      <c r="B78" s="3506"/>
      <c r="C78" s="2829" t="s">
        <v>2658</v>
      </c>
      <c r="D78" s="2829" t="s">
        <v>2659</v>
      </c>
      <c r="E78" s="2855">
        <v>0.15</v>
      </c>
      <c r="F78" s="2855">
        <v>20</v>
      </c>
    </row>
    <row r="79" spans="1:7" ht="24">
      <c r="A79" s="2855">
        <v>7</v>
      </c>
      <c r="B79" s="3506"/>
      <c r="C79" s="2829" t="s">
        <v>2660</v>
      </c>
      <c r="D79" s="2829" t="s">
        <v>2661</v>
      </c>
      <c r="E79" s="2855">
        <v>0.15</v>
      </c>
      <c r="F79" s="2855">
        <v>20</v>
      </c>
    </row>
    <row r="80" spans="1:7" ht="24">
      <c r="A80" s="2855">
        <v>8</v>
      </c>
      <c r="B80" s="3506"/>
      <c r="C80" s="2829" t="s">
        <v>2662</v>
      </c>
      <c r="D80" s="2829" t="s">
        <v>2663</v>
      </c>
      <c r="E80" s="2855">
        <v>0.1</v>
      </c>
      <c r="F80" s="2855">
        <v>15</v>
      </c>
    </row>
    <row r="81" spans="1:6" ht="24">
      <c r="A81" s="2855">
        <v>9</v>
      </c>
      <c r="B81" s="3506"/>
      <c r="C81" s="2829" t="s">
        <v>2664</v>
      </c>
      <c r="D81" s="2829" t="s">
        <v>2665</v>
      </c>
      <c r="E81" s="2855">
        <v>0.1</v>
      </c>
      <c r="F81" s="2855">
        <v>15</v>
      </c>
    </row>
    <row r="82" spans="1:6" ht="24">
      <c r="A82" s="2855">
        <v>10</v>
      </c>
      <c r="B82" s="3506"/>
      <c r="C82" s="2829" t="s">
        <v>2666</v>
      </c>
      <c r="D82" s="2829" t="s">
        <v>2667</v>
      </c>
      <c r="E82" s="2855">
        <v>0.1</v>
      </c>
      <c r="F82" s="2855">
        <v>15</v>
      </c>
    </row>
    <row r="83" spans="1:6" ht="24">
      <c r="A83" s="2855">
        <v>11</v>
      </c>
      <c r="B83" s="3506"/>
      <c r="C83" s="2829" t="s">
        <v>2668</v>
      </c>
      <c r="D83" s="2829" t="s">
        <v>2669</v>
      </c>
      <c r="E83" s="2855">
        <v>0.1</v>
      </c>
      <c r="F83" s="2855">
        <v>15</v>
      </c>
    </row>
    <row r="84" spans="1:6" ht="24">
      <c r="A84" s="2855">
        <v>12</v>
      </c>
      <c r="B84" s="3506"/>
      <c r="C84" s="2829" t="s">
        <v>2670</v>
      </c>
      <c r="D84" s="2829" t="s">
        <v>2671</v>
      </c>
      <c r="E84" s="2855">
        <v>0.1</v>
      </c>
      <c r="F84" s="2855">
        <v>15</v>
      </c>
    </row>
    <row r="85" spans="1:6" ht="24">
      <c r="A85" s="2855">
        <v>13</v>
      </c>
      <c r="B85" s="3506"/>
      <c r="C85" s="2829" t="s">
        <v>2672</v>
      </c>
      <c r="D85" s="2829" t="s">
        <v>2673</v>
      </c>
      <c r="E85" s="2855">
        <v>0.1</v>
      </c>
      <c r="F85" s="2855">
        <v>15</v>
      </c>
    </row>
    <row r="86" spans="1:6" ht="24">
      <c r="A86" s="2855">
        <v>14</v>
      </c>
      <c r="B86" s="3506"/>
      <c r="C86" s="2829" t="s">
        <v>2674</v>
      </c>
      <c r="D86" s="2829" t="s">
        <v>2675</v>
      </c>
      <c r="E86" s="2855">
        <v>0.1</v>
      </c>
      <c r="F86" s="2855">
        <v>15</v>
      </c>
    </row>
    <row r="87" spans="1:6" ht="24">
      <c r="A87" s="2855">
        <v>15</v>
      </c>
      <c r="B87" s="3506"/>
      <c r="C87" s="2829" t="s">
        <v>2676</v>
      </c>
      <c r="D87" s="2829" t="s">
        <v>2677</v>
      </c>
      <c r="E87" s="2855">
        <v>0.1</v>
      </c>
      <c r="F87" s="2855">
        <v>15</v>
      </c>
    </row>
    <row r="88" spans="1:6" ht="24">
      <c r="A88" s="2855">
        <v>16</v>
      </c>
      <c r="B88" s="3506"/>
      <c r="C88" s="2829" t="s">
        <v>2678</v>
      </c>
      <c r="D88" s="2829" t="s">
        <v>2679</v>
      </c>
      <c r="E88" s="2855">
        <v>0.1</v>
      </c>
      <c r="F88" s="2855">
        <v>15</v>
      </c>
    </row>
    <row r="89" spans="1:6" ht="24">
      <c r="A89" s="2855">
        <v>17</v>
      </c>
      <c r="B89" s="3515"/>
      <c r="C89" s="2829" t="s">
        <v>2680</v>
      </c>
      <c r="D89" s="2829" t="s">
        <v>2681</v>
      </c>
      <c r="E89" s="2855">
        <v>0.1</v>
      </c>
      <c r="F89" s="2855">
        <v>15</v>
      </c>
    </row>
    <row r="90" spans="1:6" ht="14.4">
      <c r="A90" s="2855">
        <v>18</v>
      </c>
      <c r="B90" s="3511" t="s">
        <v>2682</v>
      </c>
      <c r="C90" s="2829" t="s">
        <v>2683</v>
      </c>
      <c r="D90" s="2829" t="s">
        <v>2684</v>
      </c>
      <c r="E90" s="2855">
        <v>0.2</v>
      </c>
      <c r="F90" s="2855">
        <v>25</v>
      </c>
    </row>
    <row r="91" spans="1:6" ht="24">
      <c r="A91" s="2855">
        <v>19</v>
      </c>
      <c r="B91" s="3506"/>
      <c r="C91" s="2829" t="s">
        <v>2685</v>
      </c>
      <c r="D91" s="2829" t="s">
        <v>2686</v>
      </c>
      <c r="E91" s="2855">
        <v>0.2</v>
      </c>
      <c r="F91" s="2855">
        <v>25</v>
      </c>
    </row>
    <row r="92" spans="1:6" ht="14.4">
      <c r="A92" s="2855">
        <v>20</v>
      </c>
      <c r="B92" s="3506"/>
      <c r="C92" s="2829" t="s">
        <v>2687</v>
      </c>
      <c r="D92" s="2829" t="s">
        <v>2688</v>
      </c>
      <c r="E92" s="2855">
        <v>0.15</v>
      </c>
      <c r="F92" s="2855">
        <v>20</v>
      </c>
    </row>
    <row r="93" spans="1:6" ht="24">
      <c r="A93" s="2855">
        <v>21</v>
      </c>
      <c r="B93" s="3506"/>
      <c r="C93" s="2829" t="s">
        <v>2689</v>
      </c>
      <c r="D93" s="2829" t="s">
        <v>2690</v>
      </c>
      <c r="E93" s="2855">
        <v>0.15</v>
      </c>
      <c r="F93" s="2855">
        <v>20</v>
      </c>
    </row>
    <row r="94" spans="1:6" ht="24">
      <c r="A94" s="2855">
        <v>22</v>
      </c>
      <c r="B94" s="3506"/>
      <c r="C94" s="2829" t="s">
        <v>2691</v>
      </c>
      <c r="D94" s="2829" t="s">
        <v>2692</v>
      </c>
      <c r="E94" s="2855">
        <v>0.15</v>
      </c>
      <c r="F94" s="2855">
        <v>20</v>
      </c>
    </row>
    <row r="95" spans="1:6" ht="36">
      <c r="A95" s="2855">
        <v>23</v>
      </c>
      <c r="B95" s="3506"/>
      <c r="C95" s="2829" t="s">
        <v>2693</v>
      </c>
      <c r="D95" s="2829" t="s">
        <v>2694</v>
      </c>
      <c r="E95" s="2855">
        <v>0.15</v>
      </c>
      <c r="F95" s="2855">
        <v>20</v>
      </c>
    </row>
    <row r="96" spans="1:6" ht="24">
      <c r="A96" s="2855">
        <v>24</v>
      </c>
      <c r="B96" s="3506"/>
      <c r="C96" s="2829" t="s">
        <v>2695</v>
      </c>
      <c r="D96" s="2829" t="s">
        <v>2696</v>
      </c>
      <c r="E96" s="2855">
        <v>0.1</v>
      </c>
      <c r="F96" s="2855">
        <v>15</v>
      </c>
    </row>
    <row r="97" spans="1:6" ht="24">
      <c r="A97" s="2855">
        <v>25</v>
      </c>
      <c r="B97" s="3506"/>
      <c r="C97" s="2829" t="s">
        <v>2697</v>
      </c>
      <c r="D97" s="2829" t="s">
        <v>2698</v>
      </c>
      <c r="E97" s="2855">
        <v>0.1</v>
      </c>
      <c r="F97" s="2855">
        <v>15</v>
      </c>
    </row>
    <row r="98" spans="1:6" ht="24">
      <c r="A98" s="2855">
        <v>26</v>
      </c>
      <c r="B98" s="3506"/>
      <c r="C98" s="2829" t="s">
        <v>2699</v>
      </c>
      <c r="D98" s="2829" t="s">
        <v>2700</v>
      </c>
      <c r="E98" s="2855">
        <v>0.1</v>
      </c>
      <c r="F98" s="2855">
        <v>15</v>
      </c>
    </row>
    <row r="99" spans="1:6" ht="24">
      <c r="A99" s="2855">
        <v>27</v>
      </c>
      <c r="B99" s="3506"/>
      <c r="C99" s="2829" t="s">
        <v>2701</v>
      </c>
      <c r="D99" s="2829" t="s">
        <v>2702</v>
      </c>
      <c r="E99" s="2855">
        <v>0.1</v>
      </c>
      <c r="F99" s="2855">
        <v>15</v>
      </c>
    </row>
    <row r="100" spans="1:6" ht="24">
      <c r="A100" s="2855">
        <v>28</v>
      </c>
      <c r="B100" s="3506"/>
      <c r="C100" s="2829" t="s">
        <v>2703</v>
      </c>
      <c r="D100" s="2829" t="s">
        <v>2704</v>
      </c>
      <c r="E100" s="2855">
        <v>0.1</v>
      </c>
      <c r="F100" s="2855">
        <v>15</v>
      </c>
    </row>
    <row r="101" spans="1:6" ht="24">
      <c r="A101" s="2855">
        <v>29</v>
      </c>
      <c r="B101" s="3506"/>
      <c r="C101" s="2829" t="s">
        <v>2705</v>
      </c>
      <c r="D101" s="2829" t="s">
        <v>2706</v>
      </c>
      <c r="E101" s="2855">
        <v>0.1</v>
      </c>
      <c r="F101" s="2855">
        <v>15</v>
      </c>
    </row>
    <row r="102" spans="1:6" ht="24">
      <c r="A102" s="2855">
        <v>30</v>
      </c>
      <c r="B102" s="3506"/>
      <c r="C102" s="2829" t="s">
        <v>2707</v>
      </c>
      <c r="D102" s="2829" t="s">
        <v>2708</v>
      </c>
      <c r="E102" s="2855">
        <v>0.1</v>
      </c>
      <c r="F102" s="2855">
        <v>15</v>
      </c>
    </row>
    <row r="103" spans="1:6" ht="24">
      <c r="A103" s="2855">
        <v>31</v>
      </c>
      <c r="B103" s="3506"/>
      <c r="C103" s="2829" t="s">
        <v>2709</v>
      </c>
      <c r="D103" s="2829" t="s">
        <v>2710</v>
      </c>
      <c r="E103" s="2855">
        <v>0.1</v>
      </c>
      <c r="F103" s="2855">
        <v>15</v>
      </c>
    </row>
    <row r="104" spans="1:6" ht="24">
      <c r="A104" s="2855">
        <v>32</v>
      </c>
      <c r="B104" s="3506"/>
      <c r="C104" s="2829" t="s">
        <v>2711</v>
      </c>
      <c r="D104" s="2829" t="s">
        <v>2712</v>
      </c>
      <c r="E104" s="2855">
        <v>0.1</v>
      </c>
      <c r="F104" s="2855">
        <v>15</v>
      </c>
    </row>
    <row r="105" spans="1:6" ht="24">
      <c r="A105" s="2855">
        <v>33</v>
      </c>
      <c r="B105" s="3506"/>
      <c r="C105" s="2829" t="s">
        <v>2713</v>
      </c>
      <c r="D105" s="2829" t="s">
        <v>2714</v>
      </c>
      <c r="E105" s="2855">
        <v>0.1</v>
      </c>
      <c r="F105" s="2855">
        <v>15</v>
      </c>
    </row>
    <row r="106" spans="1:6" ht="24">
      <c r="A106" s="2855">
        <v>34</v>
      </c>
      <c r="B106" s="3515"/>
      <c r="C106" s="2829" t="s">
        <v>2715</v>
      </c>
      <c r="D106" s="2829" t="s">
        <v>2716</v>
      </c>
      <c r="E106" s="2855">
        <v>0.1</v>
      </c>
      <c r="F106" s="2855">
        <v>15</v>
      </c>
    </row>
    <row r="107" spans="1:6" ht="36">
      <c r="A107" s="2855">
        <v>35</v>
      </c>
      <c r="B107" s="3511" t="s">
        <v>2717</v>
      </c>
      <c r="C107" s="2855" t="s">
        <v>2718</v>
      </c>
      <c r="D107" s="2829" t="s">
        <v>2719</v>
      </c>
      <c r="E107" s="2855">
        <v>0.15</v>
      </c>
      <c r="F107" s="2855">
        <v>20</v>
      </c>
    </row>
    <row r="108" spans="1:6" ht="24">
      <c r="A108" s="2855">
        <v>36</v>
      </c>
      <c r="B108" s="3506"/>
      <c r="C108" s="2855" t="s">
        <v>2720</v>
      </c>
      <c r="D108" s="2829" t="s">
        <v>2721</v>
      </c>
      <c r="E108" s="2855">
        <v>0.15</v>
      </c>
      <c r="F108" s="2855">
        <v>20</v>
      </c>
    </row>
    <row r="109" spans="1:6" ht="24">
      <c r="A109" s="2855">
        <v>37</v>
      </c>
      <c r="B109" s="3506"/>
      <c r="C109" s="2855" t="s">
        <v>2722</v>
      </c>
      <c r="D109" s="2829" t="s">
        <v>2723</v>
      </c>
      <c r="E109" s="2855">
        <v>0.15</v>
      </c>
      <c r="F109" s="2855">
        <v>20</v>
      </c>
    </row>
    <row r="110" spans="1:6" ht="24">
      <c r="A110" s="2855">
        <v>38</v>
      </c>
      <c r="B110" s="3506"/>
      <c r="C110" s="2855" t="s">
        <v>2724</v>
      </c>
      <c r="D110" s="2829" t="s">
        <v>2725</v>
      </c>
      <c r="E110" s="2855">
        <v>0.1</v>
      </c>
      <c r="F110" s="2855">
        <v>15</v>
      </c>
    </row>
    <row r="111" spans="1:6" ht="24">
      <c r="A111" s="2855">
        <v>39</v>
      </c>
      <c r="B111" s="3506"/>
      <c r="C111" s="2855" t="s">
        <v>2726</v>
      </c>
      <c r="D111" s="2829" t="s">
        <v>2727</v>
      </c>
      <c r="E111" s="2855">
        <v>0.1</v>
      </c>
      <c r="F111" s="2855">
        <v>15</v>
      </c>
    </row>
    <row r="112" spans="1:6" ht="24">
      <c r="A112" s="2855">
        <v>40</v>
      </c>
      <c r="B112" s="3515"/>
      <c r="C112" s="2855" t="s">
        <v>2728</v>
      </c>
      <c r="D112" s="2829" t="s">
        <v>2729</v>
      </c>
      <c r="E112" s="2855">
        <v>0.1</v>
      </c>
      <c r="F112" s="2855">
        <v>15</v>
      </c>
    </row>
    <row r="113" spans="1:6" ht="24">
      <c r="A113" s="2855">
        <v>41</v>
      </c>
      <c r="B113" s="3516" t="s">
        <v>2730</v>
      </c>
      <c r="C113" s="2855" t="s">
        <v>2731</v>
      </c>
      <c r="D113" s="2829" t="s">
        <v>2732</v>
      </c>
      <c r="E113" s="2855">
        <v>0.1</v>
      </c>
      <c r="F113" s="2855">
        <v>15</v>
      </c>
    </row>
    <row r="114" spans="1:6" ht="24">
      <c r="A114" s="2855">
        <v>42</v>
      </c>
      <c r="B114" s="3516"/>
      <c r="C114" s="2855" t="s">
        <v>2733</v>
      </c>
      <c r="D114" s="2829" t="s">
        <v>2734</v>
      </c>
      <c r="E114" s="2855">
        <v>0.1</v>
      </c>
      <c r="F114" s="2855">
        <v>15</v>
      </c>
    </row>
    <row r="115" spans="1:6" ht="24">
      <c r="A115" s="2855">
        <v>43</v>
      </c>
      <c r="B115" s="3516"/>
      <c r="C115" s="2855" t="s">
        <v>2735</v>
      </c>
      <c r="D115" s="2829" t="s">
        <v>2736</v>
      </c>
      <c r="E115" s="2855">
        <v>0.1</v>
      </c>
      <c r="F115" s="2855">
        <v>15</v>
      </c>
    </row>
    <row r="116" spans="1:6" ht="24">
      <c r="A116" s="2855">
        <v>44</v>
      </c>
      <c r="B116" s="3511" t="s">
        <v>2737</v>
      </c>
      <c r="C116" s="2855" t="s">
        <v>2738</v>
      </c>
      <c r="D116" s="2829" t="s">
        <v>2739</v>
      </c>
      <c r="E116" s="2855">
        <v>0.1</v>
      </c>
      <c r="F116" s="2855">
        <v>15</v>
      </c>
    </row>
    <row r="117" spans="1:6" ht="24">
      <c r="A117" s="2855">
        <v>45</v>
      </c>
      <c r="B117" s="3515"/>
      <c r="C117" s="2829" t="s">
        <v>2740</v>
      </c>
      <c r="D117" s="2829" t="s">
        <v>2741</v>
      </c>
      <c r="E117" s="2855">
        <v>0.1</v>
      </c>
      <c r="F117" s="2855">
        <v>15</v>
      </c>
    </row>
    <row r="118" spans="1:6" ht="24">
      <c r="A118" s="2855">
        <v>46</v>
      </c>
      <c r="B118" s="3511" t="s">
        <v>2742</v>
      </c>
      <c r="C118" s="2855" t="s">
        <v>2743</v>
      </c>
      <c r="D118" s="2829" t="s">
        <v>2744</v>
      </c>
      <c r="E118" s="2855">
        <v>0.1</v>
      </c>
      <c r="F118" s="2855">
        <v>15</v>
      </c>
    </row>
    <row r="119" spans="1:6" ht="24">
      <c r="A119" s="2855">
        <v>47</v>
      </c>
      <c r="B119" s="3515"/>
      <c r="C119" s="2855" t="s">
        <v>2745</v>
      </c>
      <c r="D119" s="2829" t="s">
        <v>2746</v>
      </c>
      <c r="E119" s="2855">
        <v>0.1</v>
      </c>
      <c r="F119" s="2855">
        <v>15</v>
      </c>
    </row>
    <row r="120" spans="1:6" ht="24">
      <c r="A120" s="2855">
        <v>48</v>
      </c>
      <c r="B120" s="3511" t="s">
        <v>2747</v>
      </c>
      <c r="C120" s="2855" t="s">
        <v>2748</v>
      </c>
      <c r="D120" s="2829" t="s">
        <v>2749</v>
      </c>
      <c r="E120" s="2855">
        <v>0.1</v>
      </c>
      <c r="F120" s="2855">
        <v>15</v>
      </c>
    </row>
    <row r="121" spans="1:6" ht="24">
      <c r="A121" s="2855">
        <v>49</v>
      </c>
      <c r="B121" s="3515"/>
      <c r="C121" s="2855" t="s">
        <v>2750</v>
      </c>
      <c r="D121" s="2829" t="s">
        <v>2751</v>
      </c>
      <c r="E121" s="2855">
        <v>0.1</v>
      </c>
      <c r="F121" s="2855">
        <v>15</v>
      </c>
    </row>
    <row r="122" spans="1:6" ht="24">
      <c r="A122" s="2855">
        <v>50</v>
      </c>
      <c r="B122" s="3516" t="s">
        <v>2752</v>
      </c>
      <c r="C122" s="2855" t="s">
        <v>2753</v>
      </c>
      <c r="D122" s="2829" t="s">
        <v>2754</v>
      </c>
      <c r="E122" s="2855">
        <v>0.1</v>
      </c>
      <c r="F122" s="2855">
        <v>15</v>
      </c>
    </row>
    <row r="123" spans="1:6" ht="24">
      <c r="A123" s="2855">
        <v>51</v>
      </c>
      <c r="B123" s="3516"/>
      <c r="C123" s="2855" t="s">
        <v>2755</v>
      </c>
      <c r="D123" s="2829" t="s">
        <v>2756</v>
      </c>
      <c r="E123" s="2855">
        <v>0.1</v>
      </c>
      <c r="F123" s="2855">
        <v>15</v>
      </c>
    </row>
    <row r="124" spans="1:6" ht="24">
      <c r="A124" s="2855">
        <v>52</v>
      </c>
      <c r="B124" s="3516" t="s">
        <v>2757</v>
      </c>
      <c r="C124" s="2855" t="s">
        <v>2758</v>
      </c>
      <c r="D124" s="2829" t="s">
        <v>2759</v>
      </c>
      <c r="E124" s="2855">
        <v>0.1</v>
      </c>
      <c r="F124" s="2855">
        <v>15</v>
      </c>
    </row>
    <row r="125" spans="1:6" ht="24">
      <c r="A125" s="2855">
        <v>53</v>
      </c>
      <c r="B125" s="3516"/>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516" t="s">
        <v>2765</v>
      </c>
      <c r="C127" s="2855" t="s">
        <v>2766</v>
      </c>
      <c r="D127" s="2829" t="s">
        <v>2767</v>
      </c>
      <c r="E127" s="2855">
        <v>0.1</v>
      </c>
      <c r="F127" s="2855">
        <v>15</v>
      </c>
    </row>
    <row r="128" spans="1:6" ht="24">
      <c r="A128" s="2855">
        <v>56</v>
      </c>
      <c r="B128" s="3516"/>
      <c r="C128" s="2855" t="s">
        <v>2768</v>
      </c>
      <c r="D128" s="2829" t="s">
        <v>2769</v>
      </c>
      <c r="E128" s="2855">
        <v>0.1</v>
      </c>
      <c r="F128" s="2855">
        <v>15</v>
      </c>
    </row>
    <row r="129" spans="1:6" ht="24">
      <c r="A129" s="2855">
        <v>57</v>
      </c>
      <c r="B129" s="3516"/>
      <c r="C129" s="2855" t="s">
        <v>2770</v>
      </c>
      <c r="D129" s="2829" t="s">
        <v>2771</v>
      </c>
      <c r="E129" s="2855">
        <v>0.1</v>
      </c>
      <c r="F129" s="2855">
        <v>15</v>
      </c>
    </row>
    <row r="130" spans="1:6" ht="24">
      <c r="A130" s="2855">
        <v>58</v>
      </c>
      <c r="B130" s="3516" t="s">
        <v>2772</v>
      </c>
      <c r="C130" s="2855" t="s">
        <v>2773</v>
      </c>
      <c r="D130" s="2829" t="s">
        <v>2774</v>
      </c>
      <c r="E130" s="2855">
        <v>0.1</v>
      </c>
      <c r="F130" s="2855">
        <v>15</v>
      </c>
    </row>
    <row r="131" spans="1:6" ht="24">
      <c r="A131" s="2855">
        <v>59</v>
      </c>
      <c r="B131" s="3516"/>
      <c r="C131" s="2855" t="s">
        <v>2775</v>
      </c>
      <c r="D131" s="2829" t="s">
        <v>2776</v>
      </c>
      <c r="E131" s="2855">
        <v>0.1</v>
      </c>
      <c r="F131" s="2855">
        <v>15</v>
      </c>
    </row>
    <row r="132" spans="1:6" ht="24">
      <c r="A132" s="2855">
        <v>60</v>
      </c>
      <c r="B132" s="3511" t="s">
        <v>2777</v>
      </c>
      <c r="C132" s="2855" t="s">
        <v>2778</v>
      </c>
      <c r="D132" s="2829" t="s">
        <v>2779</v>
      </c>
      <c r="E132" s="2855">
        <v>0.1</v>
      </c>
      <c r="F132" s="2855">
        <v>15</v>
      </c>
    </row>
    <row r="133" spans="1:6" ht="24">
      <c r="A133" s="2855">
        <v>61</v>
      </c>
      <c r="B133" s="3515"/>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516" t="s">
        <v>2785</v>
      </c>
      <c r="C135" s="2855" t="s">
        <v>2786</v>
      </c>
      <c r="D135" s="2829" t="s">
        <v>2787</v>
      </c>
      <c r="E135" s="2855">
        <v>0.1</v>
      </c>
      <c r="F135" s="2855">
        <v>15</v>
      </c>
    </row>
    <row r="136" spans="1:6" ht="24">
      <c r="A136" s="2855">
        <v>64</v>
      </c>
      <c r="B136" s="3516"/>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0.9415</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0.89559999999999995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65751</v>
      </c>
      <c r="C2" s="2" t="s">
        <v>106</v>
      </c>
      <c r="D2" s="191"/>
      <c r="E2" s="191"/>
      <c r="F2" s="191"/>
      <c r="G2" s="191"/>
    </row>
    <row r="3" spans="1:7" s="192" customFormat="1" ht="18" customHeight="1" thickBot="1">
      <c r="A3" s="195" t="s">
        <v>58</v>
      </c>
      <c r="B3" s="196">
        <f ca="1">ROUND(B2*10000/'数据-汇总表'!E3,0)</f>
        <v>12886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1021</v>
      </c>
      <c r="D10" s="795">
        <f>'数据-汇总表'!E6</f>
        <v>51026.259999999995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1021</v>
      </c>
      <c r="D19" s="204">
        <f>'数据-汇总表'!E3</f>
        <v>51026.259999999995</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1336</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3342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25514</v>
      </c>
      <c r="D34" s="209"/>
      <c r="E34" s="212"/>
      <c r="F34" s="249">
        <f>IF('数据-取费表'!B24=0,1,'数据-取费表'!N16)</f>
        <v>1</v>
      </c>
      <c r="G34" s="211" t="s">
        <v>89</v>
      </c>
    </row>
    <row r="35" spans="1:7" ht="13.5" customHeight="1">
      <c r="A35" s="734" t="s">
        <v>351</v>
      </c>
      <c r="B35" s="207" t="s">
        <v>33</v>
      </c>
      <c r="C35" s="212">
        <f>ROUND(C34*F35,0)</f>
        <v>1276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1021</v>
      </c>
      <c r="D37" s="209">
        <f>'数据-汇总表'!E3</f>
        <v>51026.259999999995</v>
      </c>
      <c r="E37" s="241">
        <f>'数据-取费表'!B35</f>
        <v>200</v>
      </c>
      <c r="F37" s="251"/>
      <c r="G37" s="253" t="s">
        <v>92</v>
      </c>
    </row>
    <row r="38" spans="1:7" ht="13.5" customHeight="1">
      <c r="A38" s="734" t="s">
        <v>354</v>
      </c>
      <c r="B38" s="207" t="s">
        <v>36</v>
      </c>
      <c r="C38" s="212">
        <f>ROUND(C34*F38,0)</f>
        <v>510</v>
      </c>
      <c r="D38" s="212"/>
      <c r="E38" s="212"/>
      <c r="F38" s="251">
        <f>'数据-取费表'!B36</f>
        <v>0.02</v>
      </c>
      <c r="G38" s="211" t="s">
        <v>90</v>
      </c>
    </row>
    <row r="39" spans="1:7" s="206" customFormat="1" ht="13.5" customHeight="1">
      <c r="A39" s="731" t="s">
        <v>338</v>
      </c>
      <c r="B39" s="202" t="s">
        <v>77</v>
      </c>
      <c r="C39" s="224">
        <f>ROUND(C33*F20,0)</f>
        <v>850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850</v>
      </c>
      <c r="D42" s="230"/>
      <c r="E42" s="230"/>
      <c r="F42" s="231"/>
      <c r="G42" s="3382" t="s">
        <v>94</v>
      </c>
    </row>
    <row r="43" spans="1:7" ht="13.5" customHeight="1">
      <c r="A43" s="734" t="s">
        <v>347</v>
      </c>
      <c r="B43" s="207" t="s">
        <v>426</v>
      </c>
      <c r="C43" s="230">
        <f ca="1">ROUND(IF('数据-取费表'!B22&lt;=1,C39*F22*'数据-取费表'!B21/2,C39*(POWER((1+F22),'数据-取费表'!B21/2)-1)),0)</f>
        <v>26</v>
      </c>
      <c r="D43" s="230"/>
      <c r="E43" s="230"/>
      <c r="F43" s="231"/>
      <c r="G43" s="3383"/>
    </row>
    <row r="44" spans="1:7" ht="13.5" customHeight="1">
      <c r="A44" s="734" t="s">
        <v>348</v>
      </c>
      <c r="B44" s="207" t="s">
        <v>428</v>
      </c>
      <c r="C44" s="230">
        <f ca="1">ROUND(IF('数据-取费表'!B22&lt;=1,C40*F22*'数据-取费表'!B21/2,C40*(POWER((1+F22),'数据-取费表'!B21/2)-1)),4)</f>
        <v>5.9999999999999995E-4</v>
      </c>
      <c r="D44" s="230"/>
      <c r="E44" s="230"/>
      <c r="F44" s="231"/>
      <c r="G44" s="3384"/>
    </row>
    <row r="45" spans="1:7" s="206" customFormat="1" ht="13.5" customHeight="1">
      <c r="A45" s="731" t="s">
        <v>341</v>
      </c>
      <c r="B45" s="236" t="s">
        <v>85</v>
      </c>
      <c r="C45" s="237">
        <f>C46</f>
        <v>4376</v>
      </c>
      <c r="D45" s="227">
        <f>C47</f>
        <v>3.0000000000000001E-3</v>
      </c>
      <c r="E45" s="228" t="s">
        <v>102</v>
      </c>
      <c r="F45" s="238"/>
      <c r="G45" s="239" t="s">
        <v>434</v>
      </c>
    </row>
    <row r="46" spans="1:7" s="206" customFormat="1" ht="13.5" customHeight="1">
      <c r="A46" s="734" t="s">
        <v>349</v>
      </c>
      <c r="B46" s="240" t="s">
        <v>427</v>
      </c>
      <c r="C46" s="241">
        <f>ROUND((C33+C39)*F27,0)</f>
        <v>4376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37292</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36546</v>
      </c>
      <c r="D51" s="224"/>
      <c r="E51" s="224"/>
      <c r="F51" s="256"/>
      <c r="G51" s="226" t="s">
        <v>37</v>
      </c>
    </row>
    <row r="52" spans="1:7" s="200" customFormat="1" ht="16.8" thickBot="1">
      <c r="A52" s="257" t="s">
        <v>38</v>
      </c>
      <c r="B52" s="258"/>
      <c r="C52" s="259">
        <f ca="1">C31+C51</f>
        <v>65751</v>
      </c>
      <c r="D52" s="258"/>
      <c r="E52" s="258"/>
      <c r="F52" s="258"/>
      <c r="G52" s="260"/>
    </row>
    <row r="55" spans="1:7" ht="15">
      <c r="B55" s="262" t="s">
        <v>39</v>
      </c>
      <c r="C55" s="263"/>
    </row>
    <row r="56" spans="1:7">
      <c r="B56" s="265" t="s">
        <v>40</v>
      </c>
      <c r="C56" s="266">
        <f ca="1">ROUND(C51/C52,3)</f>
        <v>0.55600000000000005</v>
      </c>
    </row>
    <row r="57" spans="1:7">
      <c r="B57" s="265" t="s">
        <v>41</v>
      </c>
      <c r="C57" s="267">
        <f ca="1">1-C56</f>
        <v>0.44399999999999995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v>
      </c>
      <c r="B3" s="3206"/>
      <c r="C3" s="3206"/>
      <c r="D3" s="3206"/>
      <c r="E3" s="3206"/>
    </row>
    <row r="4" spans="1:5" ht="18" thickBot="1">
      <c r="A4" s="1391"/>
      <c r="B4" s="3204" t="s">
        <v>917</v>
      </c>
      <c r="C4" s="3204"/>
      <c r="D4" s="3204"/>
      <c r="E4" s="1391"/>
    </row>
    <row r="5" spans="1:5" ht="16.2" thickTop="1">
      <c r="B5" s="3202" t="s">
        <v>909</v>
      </c>
      <c r="C5" s="1392" t="s">
        <v>910</v>
      </c>
      <c r="D5" s="797">
        <f ca="1">结果表!H101</f>
        <v>90328</v>
      </c>
    </row>
    <row r="6" spans="1:5" ht="15.6">
      <c r="B6" s="3202"/>
      <c r="C6" s="1392" t="s">
        <v>911</v>
      </c>
      <c r="D6" s="797" t="str">
        <f ca="1">NUMBERSTRING(INT(D5*10000),2)&amp;"元整"</f>
        <v>玖亿零叁佰贰拾捌万元整</v>
      </c>
    </row>
    <row r="7" spans="1:5" ht="15.6">
      <c r="B7" s="3207"/>
      <c r="C7" s="1393" t="s">
        <v>912</v>
      </c>
      <c r="D7" s="798">
        <f ca="1">结果表!H102</f>
        <v>17802</v>
      </c>
    </row>
    <row r="8" spans="1:5" ht="15.6">
      <c r="B8" s="3208" t="str">
        <f>结果表!E103</f>
        <v>2.估价师知悉的法定优先受偿款</v>
      </c>
      <c r="C8" s="1394" t="s">
        <v>913</v>
      </c>
      <c r="D8" s="798">
        <f>结果表!H103</f>
        <v>0</v>
      </c>
    </row>
    <row r="9" spans="1:5" ht="15.6">
      <c r="B9" s="321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1" t="str">
        <f>结果表!E107</f>
        <v>3.房地产抵押价值</v>
      </c>
      <c r="C13" s="1397" t="s">
        <v>910</v>
      </c>
      <c r="D13" s="800">
        <f ca="1">结果表!H107</f>
        <v>90328</v>
      </c>
    </row>
    <row r="14" spans="1:5" ht="15.6">
      <c r="B14" s="3202"/>
      <c r="C14" s="1392" t="s">
        <v>911</v>
      </c>
      <c r="D14" s="797" t="str">
        <f ca="1">NUMBERSTRING(INT(D13*10000),2)&amp;"元整"</f>
        <v>玖亿零叁佰贰拾捌万元整</v>
      </c>
    </row>
    <row r="15" spans="1:5" ht="15.6">
      <c r="B15" s="3207"/>
      <c r="C15" s="1393" t="s">
        <v>921</v>
      </c>
      <c r="D15" s="806">
        <f ca="1">结果表!H108</f>
        <v>17802</v>
      </c>
    </row>
    <row r="16" spans="1:5" ht="15.6">
      <c r="B16" s="3208" t="str">
        <f>结果表!E109</f>
        <v>——</v>
      </c>
      <c r="C16" s="1397" t="s">
        <v>922</v>
      </c>
      <c r="D16" s="1398" t="str">
        <f>结果表!H109</f>
        <v>——</v>
      </c>
    </row>
    <row r="17" spans="1:5" ht="15.6">
      <c r="B17" s="3209"/>
      <c r="C17" s="1392" t="s">
        <v>923</v>
      </c>
      <c r="D17" s="797" t="e">
        <f>NUMBERSTRING(INT(D16*10000),2)&amp;"元整"</f>
        <v>#VALUE!</v>
      </c>
    </row>
    <row r="18" spans="1:5" ht="15.6">
      <c r="B18" s="3210"/>
      <c r="C18" s="1393" t="s">
        <v>912</v>
      </c>
      <c r="D18" s="806" t="str">
        <f>结果表!H110</f>
        <v>——</v>
      </c>
    </row>
    <row r="19" spans="1:5" ht="15.6">
      <c r="B19" s="3201" t="str">
        <f>结果表!E111</f>
        <v>4.抵押净值</v>
      </c>
      <c r="C19" s="1397" t="s">
        <v>910</v>
      </c>
      <c r="D19" s="798">
        <f ca="1">结果表!H111</f>
        <v>34340</v>
      </c>
    </row>
    <row r="20" spans="1:5" ht="15.6">
      <c r="B20" s="3202"/>
      <c r="C20" s="1392" t="s">
        <v>923</v>
      </c>
      <c r="D20" s="797" t="str">
        <f ca="1">NUMBERSTRING(INT(D19*10000),2)&amp;"元整"</f>
        <v>叁亿肆仟叁佰肆拾万元整</v>
      </c>
    </row>
    <row r="21" spans="1:5" ht="16.2" thickBot="1">
      <c r="B21" s="3203"/>
      <c r="C21" s="1399" t="s">
        <v>921</v>
      </c>
      <c r="D21" s="807">
        <f ca="1">结果表!H112</f>
        <v>6730</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7" t="s">
        <v>3177</v>
      </c>
      <c r="B1" s="3517"/>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18" t="s">
        <v>3228</v>
      </c>
      <c r="B1" s="3518"/>
      <c r="C1" s="3518"/>
      <c r="D1" s="3518"/>
      <c r="E1" s="3518"/>
      <c r="F1" s="3519"/>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3418</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3451</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3452</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3453</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2" t="s">
        <v>1544</v>
      </c>
    </row>
    <row r="43" spans="1:7" ht="13.5" customHeight="1">
      <c r="A43" s="734" t="s">
        <v>347</v>
      </c>
      <c r="B43" s="207" t="s">
        <v>1545</v>
      </c>
      <c r="C43" s="230" t="e">
        <f ca="1">ROUND(IF('数据-取费表'!B22&lt;=1,C39*F22*'数据-取费表'!B21/2,C39*(POWER((1+F22),'数据-取费表'!B21/2)-1)),0)</f>
        <v>#N/A</v>
      </c>
      <c r="D43" s="230"/>
      <c r="E43" s="230"/>
      <c r="F43" s="231"/>
      <c r="G43" s="3383"/>
    </row>
    <row r="44" spans="1:7" ht="13.5" customHeight="1">
      <c r="A44" s="734" t="s">
        <v>348</v>
      </c>
      <c r="B44" s="207" t="s">
        <v>1546</v>
      </c>
      <c r="C44" s="230">
        <f ca="1">ROUND(IF('数据-取费表'!B22&lt;=1,C40*F22*'数据-取费表'!B21/2,C40*(POWER((1+F22),'数据-取费表'!B21/2)-1)),4)</f>
        <v>5.9999999999999995E-4</v>
      </c>
      <c r="D44" s="230"/>
      <c r="E44" s="230"/>
      <c r="F44" s="231"/>
      <c r="G44" s="3384"/>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8"/>
  <sheetViews>
    <sheetView workbookViewId="0">
      <selection activeCell="O13" sqref="O13"/>
    </sheetView>
  </sheetViews>
  <sheetFormatPr defaultColWidth="8.88671875" defaultRowHeight="14.4"/>
  <cols>
    <col min="1" max="15" width="8.88671875" style="3188"/>
    <col min="16" max="16" width="13.88671875" style="3188" customWidth="1"/>
    <col min="17" max="16384" width="8.88671875" style="3188"/>
  </cols>
  <sheetData>
    <row r="1" spans="1:23" s="3178" customFormat="1" ht="36" customHeight="1">
      <c r="A1" s="3175" t="s">
        <v>2640</v>
      </c>
      <c r="B1" s="3175" t="s">
        <v>3478</v>
      </c>
      <c r="C1" s="3175" t="s">
        <v>3479</v>
      </c>
      <c r="D1" s="3175" t="s">
        <v>3480</v>
      </c>
      <c r="E1" s="3175" t="s">
        <v>3481</v>
      </c>
      <c r="F1" s="3175" t="s">
        <v>3482</v>
      </c>
      <c r="G1" s="3175" t="s">
        <v>3483</v>
      </c>
      <c r="H1" s="3175" t="s">
        <v>3484</v>
      </c>
      <c r="I1" s="3175" t="s">
        <v>3485</v>
      </c>
      <c r="J1" s="3176" t="s">
        <v>3486</v>
      </c>
      <c r="K1" s="3175" t="s">
        <v>3487</v>
      </c>
      <c r="L1" s="3175" t="s">
        <v>3488</v>
      </c>
      <c r="M1" s="3175" t="s">
        <v>3489</v>
      </c>
      <c r="N1" s="3175" t="s">
        <v>3490</v>
      </c>
      <c r="O1" s="3175" t="s">
        <v>3491</v>
      </c>
      <c r="P1" s="3177" t="s">
        <v>3492</v>
      </c>
      <c r="Q1" s="3175" t="s">
        <v>3493</v>
      </c>
      <c r="R1" s="3175" t="s">
        <v>3494</v>
      </c>
      <c r="S1" s="3175" t="s">
        <v>3495</v>
      </c>
      <c r="T1" s="3175" t="s">
        <v>3496</v>
      </c>
      <c r="U1" s="3175" t="s">
        <v>3497</v>
      </c>
      <c r="V1" s="3175" t="s">
        <v>3498</v>
      </c>
      <c r="W1" s="3175" t="s">
        <v>3499</v>
      </c>
    </row>
    <row r="2" spans="1:23" s="3178" customFormat="1" ht="36" customHeight="1">
      <c r="A2" s="3175" t="s">
        <v>3500</v>
      </c>
      <c r="B2" s="3175" t="s">
        <v>3501</v>
      </c>
      <c r="C2" s="3175" t="s">
        <v>3502</v>
      </c>
      <c r="D2" s="3175" t="s">
        <v>2717</v>
      </c>
      <c r="E2" s="3179" t="s">
        <v>3503</v>
      </c>
      <c r="F2" s="3175" t="s">
        <v>3504</v>
      </c>
      <c r="G2" s="3175" t="s">
        <v>3505</v>
      </c>
      <c r="H2" s="3179"/>
      <c r="I2" s="3180">
        <v>28179.63</v>
      </c>
      <c r="J2" s="3180">
        <v>22543.704000000002</v>
      </c>
      <c r="K2" s="3180">
        <v>5635.9259999999995</v>
      </c>
      <c r="L2" s="3179">
        <v>59177.22</v>
      </c>
      <c r="M2" s="3175">
        <v>21000</v>
      </c>
      <c r="N2" s="3181">
        <v>26249.998669251512</v>
      </c>
      <c r="O2" s="3175" t="s">
        <v>3506</v>
      </c>
      <c r="P2" s="3182">
        <v>44795</v>
      </c>
      <c r="Q2" s="3183" t="s">
        <v>3507</v>
      </c>
      <c r="R2" s="3184" t="s">
        <v>3508</v>
      </c>
      <c r="S2" s="3179"/>
      <c r="T2" s="3179"/>
      <c r="U2" s="3185"/>
      <c r="V2" s="3179"/>
      <c r="W2" s="3179" t="s">
        <v>3509</v>
      </c>
    </row>
    <row r="3" spans="1:23" s="3178" customFormat="1" ht="36" customHeight="1">
      <c r="A3" s="3175" t="s">
        <v>3510</v>
      </c>
      <c r="B3" s="3175" t="s">
        <v>3511</v>
      </c>
      <c r="C3" s="3175" t="s">
        <v>3512</v>
      </c>
      <c r="D3" s="3175" t="s">
        <v>2717</v>
      </c>
      <c r="E3" s="3179" t="s">
        <v>3503</v>
      </c>
      <c r="F3" s="3175" t="s">
        <v>3504</v>
      </c>
      <c r="G3" s="3175" t="s">
        <v>3505</v>
      </c>
      <c r="H3" s="3179"/>
      <c r="I3" s="3180">
        <v>35283.660000000003</v>
      </c>
      <c r="J3" s="3180">
        <v>29000</v>
      </c>
      <c r="K3" s="3180">
        <v>6283.6600000000035</v>
      </c>
      <c r="L3" s="3179">
        <v>90000</v>
      </c>
      <c r="M3" s="3175">
        <v>25508</v>
      </c>
      <c r="N3" s="3179">
        <v>31034</v>
      </c>
      <c r="O3" s="3175" t="s">
        <v>3513</v>
      </c>
      <c r="P3" s="3186" t="s">
        <v>3514</v>
      </c>
      <c r="Q3" s="3183" t="s">
        <v>3515</v>
      </c>
      <c r="R3" s="3184" t="s">
        <v>3516</v>
      </c>
      <c r="S3" s="3179"/>
      <c r="T3" s="3179"/>
      <c r="U3" s="3179"/>
      <c r="V3" s="3179"/>
      <c r="W3" s="3179" t="s">
        <v>3517</v>
      </c>
    </row>
    <row r="4" spans="1:23" s="3178" customFormat="1" ht="36" customHeight="1">
      <c r="A4" s="3175" t="s">
        <v>3518</v>
      </c>
      <c r="B4" s="3179" t="s">
        <v>3519</v>
      </c>
      <c r="C4" s="3175" t="s">
        <v>3520</v>
      </c>
      <c r="D4" s="3179" t="s">
        <v>2772</v>
      </c>
      <c r="E4" s="3179" t="s">
        <v>3521</v>
      </c>
      <c r="F4" s="3179" t="s">
        <v>3522</v>
      </c>
      <c r="G4" s="3175" t="s">
        <v>460</v>
      </c>
      <c r="H4" s="3179"/>
      <c r="I4" s="3179">
        <v>12280.94</v>
      </c>
      <c r="J4" s="3180">
        <v>12280.94</v>
      </c>
      <c r="K4" s="3179"/>
      <c r="L4" s="3181">
        <v>32716.42</v>
      </c>
      <c r="M4" s="3175">
        <v>26640</v>
      </c>
      <c r="N4" s="3181">
        <v>26639.99661263714</v>
      </c>
      <c r="O4" s="3179" t="s">
        <v>0</v>
      </c>
      <c r="P4" s="3182">
        <v>45217</v>
      </c>
      <c r="Q4" s="3179" t="s">
        <v>3523</v>
      </c>
      <c r="R4" s="3179" t="s">
        <v>3524</v>
      </c>
      <c r="S4" s="3179">
        <v>42983.29</v>
      </c>
      <c r="T4" s="3181">
        <v>35000</v>
      </c>
      <c r="U4" s="3179" t="s">
        <v>3525</v>
      </c>
      <c r="V4" s="3187">
        <v>0.76114276036106121</v>
      </c>
      <c r="W4" s="3179" t="s">
        <v>3526</v>
      </c>
    </row>
    <row r="7" spans="1:23">
      <c r="K7" s="3535">
        <f>K2/I2</f>
        <v>0.19999999999999998</v>
      </c>
    </row>
    <row r="8" spans="1:23">
      <c r="K8" s="3535">
        <f>K3/I3</f>
        <v>0.1780898013414709</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45799</v>
      </c>
      <c r="B1" s="2927" t="s">
        <v>3374</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520" t="s">
        <v>2823</v>
      </c>
      <c r="S29" s="3521"/>
      <c r="T29" s="3521"/>
      <c r="U29" s="3521"/>
      <c r="V29" s="3521"/>
      <c r="W29" s="3521"/>
      <c r="X29" s="2894"/>
      <c r="Y29" s="3520" t="s">
        <v>2824</v>
      </c>
      <c r="Z29" s="3521"/>
      <c r="AA29" s="3521"/>
      <c r="AB29" s="3521"/>
      <c r="AC29" s="3521"/>
      <c r="AD29" s="3521"/>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3" t="s">
        <v>2835</v>
      </c>
      <c r="B1" s="3533"/>
      <c r="C1" s="3533"/>
      <c r="D1" s="3533"/>
      <c r="E1" s="3533"/>
      <c r="F1" s="3533"/>
      <c r="G1" s="3534"/>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31"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532"/>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6">
      <c r="A3" s="3213"/>
      <c r="B3" s="3213"/>
      <c r="C3" s="3213"/>
      <c r="D3" s="801" t="s">
        <v>925</v>
      </c>
      <c r="E3" s="801" t="s">
        <v>931</v>
      </c>
      <c r="F3" s="801" t="s">
        <v>925</v>
      </c>
      <c r="G3" s="801" t="s">
        <v>926</v>
      </c>
      <c r="H3" s="801" t="s">
        <v>925</v>
      </c>
      <c r="I3" s="801" t="s">
        <v>926</v>
      </c>
    </row>
    <row r="4" spans="1:9" ht="30">
      <c r="A4" s="1403" t="str">
        <f>项目基本情况!S2</f>
        <v>北京市朝阳区朝运街40号院1-3号楼房地产</v>
      </c>
      <c r="B4" s="801">
        <f>项目基本情况!C17</f>
        <v>51026.259999999995</v>
      </c>
      <c r="C4" s="801">
        <f>项目基本情况!C18</f>
        <v>10734.17</v>
      </c>
      <c r="D4" s="801">
        <f ca="1">结果表!D118</f>
        <v>31524</v>
      </c>
      <c r="E4" s="801">
        <f ca="1">结果表!E118</f>
        <v>6213</v>
      </c>
      <c r="F4" s="801">
        <f ca="1">结果表!F118</f>
        <v>58804</v>
      </c>
      <c r="G4" s="801">
        <f ca="1">结果表!G118</f>
        <v>11589</v>
      </c>
      <c r="H4" s="801">
        <f ca="1">结果表!H118</f>
        <v>90328</v>
      </c>
      <c r="I4" s="801">
        <f ca="1">结果表!I118</f>
        <v>17802</v>
      </c>
    </row>
    <row r="5" spans="1:9" ht="30" customHeight="1">
      <c r="A5" s="3213" t="s">
        <v>927</v>
      </c>
      <c r="B5" s="3213"/>
      <c r="C5" s="3213"/>
      <c r="D5" s="3213" t="str">
        <f ca="1">结果表!D119</f>
        <v>叁亿壹仟伍佰贰拾肆万元整</v>
      </c>
      <c r="E5" s="3213"/>
      <c r="F5" s="3213" t="str">
        <f ca="1">结果表!F119</f>
        <v>伍亿捌仟捌佰零肆万元整</v>
      </c>
      <c r="G5" s="3213"/>
      <c r="H5" s="3213" t="str">
        <f ca="1">结果表!H119</f>
        <v>玖亿零叁佰贰拾捌万元整</v>
      </c>
      <c r="I5" s="3213"/>
    </row>
    <row r="6" spans="1:9" ht="15.6">
      <c r="A6" s="3214" t="str">
        <f>结果表!A120</f>
        <v>估价师知悉的法定优先受偿款</v>
      </c>
      <c r="B6" s="3214"/>
      <c r="C6" s="3214"/>
      <c r="D6" s="3214">
        <f>结果表!D120</f>
        <v>0</v>
      </c>
      <c r="E6" s="3214"/>
      <c r="F6" s="3214"/>
      <c r="G6" s="3214"/>
      <c r="H6" s="3214"/>
      <c r="I6" s="3214"/>
    </row>
    <row r="7" spans="1:9" ht="15">
      <c r="A7" s="3213" t="s">
        <v>927</v>
      </c>
      <c r="B7" s="3213"/>
      <c r="C7" s="3213"/>
      <c r="D7" s="3215" t="str">
        <f>结果表!D121</f>
        <v>零元整</v>
      </c>
      <c r="E7" s="3216"/>
      <c r="F7" s="3216"/>
      <c r="G7" s="3216"/>
      <c r="H7" s="3216"/>
      <c r="I7" s="3217"/>
    </row>
    <row r="8" spans="1:9" ht="15.6">
      <c r="A8" s="3214" t="str">
        <f>结果表!A122</f>
        <v>房地产抵押价值</v>
      </c>
      <c r="B8" s="3214"/>
      <c r="C8" s="3214"/>
      <c r="D8" s="3214">
        <f ca="1">结果表!D122</f>
        <v>90328</v>
      </c>
      <c r="E8" s="3214"/>
      <c r="F8" s="3214"/>
      <c r="G8" s="3214"/>
      <c r="H8" s="3214"/>
      <c r="I8" s="3214"/>
    </row>
    <row r="9" spans="1:9" ht="15">
      <c r="A9" s="3213" t="s">
        <v>927</v>
      </c>
      <c r="B9" s="3213"/>
      <c r="C9" s="3213"/>
      <c r="D9" s="3213" t="str">
        <f ca="1">结果表!D123</f>
        <v>玖亿零叁佰贰拾捌万元整</v>
      </c>
      <c r="E9" s="3213"/>
      <c r="F9" s="3213"/>
      <c r="G9" s="3213"/>
      <c r="H9" s="3213"/>
      <c r="I9" s="3213"/>
    </row>
    <row r="10" spans="1:9" ht="15.6">
      <c r="A10" s="3214" t="str">
        <f>结果表!A124</f>
        <v/>
      </c>
      <c r="B10" s="3214"/>
      <c r="C10" s="3214"/>
      <c r="D10" s="3214" t="str">
        <f>结果表!D124</f>
        <v>——</v>
      </c>
      <c r="E10" s="3214"/>
      <c r="F10" s="3214"/>
      <c r="G10" s="3214"/>
      <c r="H10" s="3214"/>
      <c r="I10" s="3214"/>
    </row>
    <row r="11" spans="1:9" ht="15">
      <c r="A11" s="3213" t="s">
        <v>927</v>
      </c>
      <c r="B11" s="3213"/>
      <c r="C11" s="3213"/>
      <c r="D11" s="3213" t="e">
        <f>结果表!D125</f>
        <v>#VALUE!</v>
      </c>
      <c r="E11" s="3213"/>
      <c r="F11" s="3213"/>
      <c r="G11" s="3213"/>
      <c r="H11" s="3213"/>
      <c r="I11" s="3213"/>
    </row>
    <row r="12" spans="1:9" ht="15.6">
      <c r="A12" s="3214" t="str">
        <f>结果表!A126</f>
        <v>抵押净值</v>
      </c>
      <c r="B12" s="3214"/>
      <c r="C12" s="3214"/>
      <c r="D12" s="3214">
        <f ca="1">结果表!D126</f>
        <v>34340</v>
      </c>
      <c r="E12" s="3214"/>
      <c r="F12" s="3214"/>
      <c r="G12" s="3214"/>
      <c r="H12" s="3214"/>
      <c r="I12" s="3214"/>
    </row>
    <row r="13" spans="1:9" ht="15.6" thickBot="1">
      <c r="A13" s="3218" t="s">
        <v>927</v>
      </c>
      <c r="B13" s="3218"/>
      <c r="C13" s="3218"/>
      <c r="D13" s="3218" t="str">
        <f ca="1">结果表!D127</f>
        <v>叁亿肆仟叁佰肆拾万元整</v>
      </c>
      <c r="E13" s="3218"/>
      <c r="F13" s="3218"/>
      <c r="G13" s="3218"/>
      <c r="H13" s="3218"/>
      <c r="I13" s="3218"/>
    </row>
    <row r="14" spans="1:9" ht="14.4" thickTop="1">
      <c r="A14" s="3219" t="s">
        <v>932</v>
      </c>
      <c r="B14" s="3219"/>
      <c r="C14" s="3219"/>
      <c r="D14" s="3219"/>
      <c r="E14" s="3219"/>
      <c r="F14" s="3219"/>
      <c r="G14" s="3219"/>
      <c r="H14" s="3219"/>
      <c r="I14" s="321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0" t="s">
        <v>949</v>
      </c>
      <c r="B1" s="3220"/>
      <c r="C1" s="3220"/>
      <c r="D1" s="3220"/>
    </row>
    <row r="2" spans="1:4" ht="17.399999999999999">
      <c r="A2" s="3221" t="s">
        <v>933</v>
      </c>
      <c r="B2" s="3221"/>
      <c r="C2" s="3221"/>
      <c r="D2" s="3221"/>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21" t="s">
        <v>939</v>
      </c>
      <c r="B6" s="3221"/>
      <c r="C6" s="3221"/>
      <c r="D6" s="322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2" t="s">
        <v>942</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943</v>
      </c>
      <c r="B16" s="3226"/>
      <c r="C16" s="3226"/>
      <c r="D16" s="3226"/>
    </row>
    <row r="17" spans="1:4" ht="144" customHeight="1">
      <c r="A17" s="3226" t="s">
        <v>944</v>
      </c>
      <c r="B17" s="3226"/>
      <c r="C17" s="3226"/>
      <c r="D17" s="3226"/>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945</v>
      </c>
      <c r="B22" s="3228"/>
      <c r="C22" s="3228"/>
      <c r="D22" s="322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4" t="s">
        <v>956</v>
      </c>
      <c r="B15" s="3229" t="s">
        <v>109</v>
      </c>
      <c r="C15" s="3230"/>
    </row>
    <row r="16" spans="1:7" ht="14.4">
      <c r="A16" s="3235"/>
      <c r="B16" s="3229" t="s">
        <v>42</v>
      </c>
      <c r="C16" s="3230"/>
    </row>
    <row r="17" spans="1:3" ht="14.4">
      <c r="A17" s="3235"/>
      <c r="B17" s="3232" t="s">
        <v>957</v>
      </c>
      <c r="C17" s="1429" t="s">
        <v>956</v>
      </c>
    </row>
    <row r="18" spans="1:3" ht="14.4">
      <c r="A18" s="3235"/>
      <c r="B18" s="3232"/>
      <c r="C18" s="1429" t="s">
        <v>958</v>
      </c>
    </row>
    <row r="19" spans="1:3" ht="14.4">
      <c r="A19" s="3235"/>
      <c r="B19" s="3232"/>
      <c r="C19" s="1429" t="s">
        <v>959</v>
      </c>
    </row>
    <row r="20" spans="1:3" ht="14.4">
      <c r="A20" s="3236"/>
      <c r="B20" s="3231" t="s">
        <v>960</v>
      </c>
      <c r="C20" s="3230"/>
    </row>
    <row r="21" spans="1:3" ht="14.4">
      <c r="A21" s="1430" t="s">
        <v>961</v>
      </c>
      <c r="B21" s="1431"/>
      <c r="C21" s="1432"/>
    </row>
    <row r="22" spans="1:3" ht="14.4">
      <c r="A22" s="3233" t="s">
        <v>962</v>
      </c>
      <c r="B22" s="3231" t="s">
        <v>963</v>
      </c>
      <c r="C22" s="3230"/>
    </row>
    <row r="23" spans="1:3" ht="14.4">
      <c r="A23" s="3233"/>
      <c r="B23" s="3231" t="s">
        <v>964</v>
      </c>
      <c r="C23" s="3230"/>
    </row>
    <row r="24" spans="1:3" ht="14.4">
      <c r="A24" s="3233"/>
      <c r="B24" s="3231" t="s">
        <v>965</v>
      </c>
      <c r="C24" s="3230"/>
    </row>
    <row r="25" spans="1:3" ht="14.4">
      <c r="A25" s="3233"/>
      <c r="B25" s="3232" t="s">
        <v>966</v>
      </c>
      <c r="C25" s="1429" t="s">
        <v>967</v>
      </c>
    </row>
    <row r="26" spans="1:3" ht="14.4">
      <c r="A26" s="3233"/>
      <c r="B26" s="3232"/>
      <c r="C26" s="1429" t="s">
        <v>968</v>
      </c>
    </row>
    <row r="27" spans="1:3" ht="14.4">
      <c r="A27" s="3233"/>
      <c r="B27" s="3232"/>
      <c r="C27" s="1429" t="s">
        <v>969</v>
      </c>
    </row>
    <row r="28" spans="1:3" ht="14.4">
      <c r="A28" s="3233"/>
      <c r="B28" s="3232"/>
      <c r="C28" s="1429" t="s">
        <v>970</v>
      </c>
    </row>
    <row r="29" spans="1:3" ht="14.4">
      <c r="A29" s="3233"/>
      <c r="B29" s="3232"/>
      <c r="C29" s="1429" t="s">
        <v>971</v>
      </c>
    </row>
    <row r="30" spans="1:3" ht="14.4">
      <c r="A30" s="3233"/>
      <c r="B30" s="3232"/>
      <c r="C30" s="1429" t="s">
        <v>972</v>
      </c>
    </row>
    <row r="31" spans="1:3" ht="14.4">
      <c r="A31" s="3233"/>
      <c r="B31" s="3232"/>
      <c r="C31" s="1429" t="s">
        <v>973</v>
      </c>
    </row>
    <row r="32" spans="1:3" ht="14.4">
      <c r="A32" s="3233"/>
      <c r="B32" s="3232"/>
      <c r="C32" s="1429" t="s">
        <v>974</v>
      </c>
    </row>
    <row r="33" spans="1:3" ht="14.4">
      <c r="A33" s="3233"/>
      <c r="B33" s="323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7" t="s">
        <v>2160</v>
      </c>
      <c r="B17" s="3237"/>
      <c r="C17" s="3237"/>
      <c r="D17" s="3237"/>
      <c r="E17" s="3237"/>
      <c r="F17" s="3237"/>
      <c r="G17" s="3237"/>
      <c r="H17" s="3237"/>
    </row>
    <row r="18" spans="1:8" ht="24" customHeight="1">
      <c r="A18" s="3238" t="s">
        <v>2161</v>
      </c>
      <c r="B18" s="3238"/>
      <c r="C18" s="3238"/>
      <c r="D18" s="2160"/>
      <c r="E18" s="3239" t="s">
        <v>2162</v>
      </c>
      <c r="F18" s="3238"/>
      <c r="G18" s="323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2025-05-26T01:34:28Z</dcterms:modified>
</cp:coreProperties>
</file>